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225" windowWidth="15195" windowHeight="8325" activeTab="1"/>
  </bookViews>
  <sheets>
    <sheet name="LANDUSE" sheetId="1" r:id="rId1"/>
    <sheet name="Pre-Loadings" sheetId="2" r:id="rId2"/>
    <sheet name="Post-Loadings " sheetId="4" r:id="rId3"/>
    <sheet name="Summary Results" sheetId="3" r:id="rId4"/>
  </sheets>
  <externalReferences>
    <externalReference r:id="rId5"/>
  </externalReferences>
  <definedNames>
    <definedName name="_xlnm.Print_Area" localSheetId="2">'Post-Loadings '!$A$1:$T$136</definedName>
    <definedName name="_xlnm.Print_Area" localSheetId="1">'Pre-Loadings'!$A$1:$T$144</definedName>
    <definedName name="Rainfall" localSheetId="2">'Post-Loadings '!$C$2</definedName>
    <definedName name="Rainfall">'Pre-Loadings'!$C$2</definedName>
    <definedName name="RRF" localSheetId="2">'Post-Loadings '!$C$3</definedName>
    <definedName name="RRF">'Pre-Loadings'!$C$3</definedName>
  </definedNames>
  <calcPr calcId="125725"/>
</workbook>
</file>

<file path=xl/calcChain.xml><?xml version="1.0" encoding="utf-8"?>
<calcChain xmlns="http://schemas.openxmlformats.org/spreadsheetml/2006/main">
  <c r="C28" i="4"/>
  <c r="D28"/>
  <c r="D27"/>
  <c r="C27"/>
  <c r="D26"/>
  <c r="C26"/>
  <c r="F146" l="1"/>
  <c r="F145"/>
  <c r="F144"/>
  <c r="B83"/>
  <c r="B83" i="2"/>
  <c r="B45" i="4"/>
  <c r="B49" s="1"/>
  <c r="C13"/>
  <c r="C11"/>
  <c r="C10"/>
  <c r="C9"/>
  <c r="C7"/>
  <c r="C12" i="2"/>
  <c r="B126" i="4"/>
  <c r="B125"/>
  <c r="D61"/>
  <c r="D60"/>
  <c r="D59"/>
  <c r="B42"/>
  <c r="F61" l="1"/>
  <c r="G61" s="1"/>
  <c r="F59"/>
  <c r="F60"/>
  <c r="G60" s="1"/>
  <c r="B48"/>
  <c r="C83"/>
  <c r="B124" i="2"/>
  <c r="B123"/>
  <c r="B87" i="4" l="1"/>
  <c r="F62"/>
  <c r="G59"/>
  <c r="G62" s="1"/>
  <c r="D60" i="2"/>
  <c r="D61"/>
  <c r="D59"/>
  <c r="B45"/>
  <c r="B48" s="1"/>
  <c r="B75" i="4" l="1"/>
  <c r="B94" s="1"/>
  <c r="G63"/>
  <c r="B74"/>
  <c r="B93" s="1"/>
  <c r="B73"/>
  <c r="B92" s="1"/>
  <c r="B49" i="2"/>
  <c r="F61" s="1"/>
  <c r="C83"/>
  <c r="B87" s="1"/>
  <c r="F60"/>
  <c r="B42"/>
  <c r="D73" i="4" l="1"/>
  <c r="D92"/>
  <c r="D74"/>
  <c r="F74" s="1"/>
  <c r="D93"/>
  <c r="D94"/>
  <c r="B76"/>
  <c r="B95" s="1"/>
  <c r="D75"/>
  <c r="F75" s="1"/>
  <c r="F59" i="2"/>
  <c r="D76" i="4" l="1"/>
  <c r="F76" s="1"/>
  <c r="D95"/>
  <c r="E98"/>
  <c r="N19" i="3" s="1"/>
  <c r="F93" i="4"/>
  <c r="F94"/>
  <c r="F98"/>
  <c r="B29" i="2"/>
  <c r="G98" i="4" l="1"/>
  <c r="M19" i="3" s="1"/>
  <c r="F95" i="4"/>
  <c r="B29"/>
  <c r="F28"/>
  <c r="G28" s="1"/>
  <c r="E28"/>
  <c r="F27"/>
  <c r="G27" s="1"/>
  <c r="E27"/>
  <c r="F26"/>
  <c r="F29" s="1"/>
  <c r="G29" s="1"/>
  <c r="E26"/>
  <c r="C14"/>
  <c r="B14"/>
  <c r="B13"/>
  <c r="B12"/>
  <c r="B11"/>
  <c r="B10"/>
  <c r="D10" s="1"/>
  <c r="F21"/>
  <c r="B9"/>
  <c r="B8"/>
  <c r="E22"/>
  <c r="B7"/>
  <c r="D7" s="1"/>
  <c r="C13" i="2"/>
  <c r="B13"/>
  <c r="E38" i="1"/>
  <c r="C37"/>
  <c r="B37" s="1"/>
  <c r="A37" s="1"/>
  <c r="C36"/>
  <c r="B36" s="1"/>
  <c r="A36" s="1"/>
  <c r="C35"/>
  <c r="B35" s="1"/>
  <c r="A35" s="1"/>
  <c r="C34"/>
  <c r="B34" s="1"/>
  <c r="A34" s="1"/>
  <c r="C33"/>
  <c r="B33" s="1"/>
  <c r="A33" s="1"/>
  <c r="C32"/>
  <c r="B32" s="1"/>
  <c r="A32" s="1"/>
  <c r="C31"/>
  <c r="B31" s="1"/>
  <c r="A31" s="1"/>
  <c r="C30"/>
  <c r="B30" s="1"/>
  <c r="A30" s="1"/>
  <c r="C29"/>
  <c r="B29" s="1"/>
  <c r="A29" s="1"/>
  <c r="C28"/>
  <c r="B28" s="1"/>
  <c r="A28" s="1"/>
  <c r="C27"/>
  <c r="B27" s="1"/>
  <c r="A27" s="1"/>
  <c r="C26"/>
  <c r="B26" s="1"/>
  <c r="A26" s="1"/>
  <c r="C25"/>
  <c r="B25" s="1"/>
  <c r="A25" s="1"/>
  <c r="C24"/>
  <c r="B24" s="1"/>
  <c r="A24" s="1"/>
  <c r="C23"/>
  <c r="B23" s="1"/>
  <c r="A23" s="1"/>
  <c r="C22"/>
  <c r="B22" s="1"/>
  <c r="A22" s="1"/>
  <c r="C21"/>
  <c r="B21" s="1"/>
  <c r="A21" s="1"/>
  <c r="C20"/>
  <c r="B20" s="1"/>
  <c r="A20" s="1"/>
  <c r="C19"/>
  <c r="B19" s="1"/>
  <c r="A19" s="1"/>
  <c r="C18"/>
  <c r="B18" s="1"/>
  <c r="A18" s="1"/>
  <c r="C17"/>
  <c r="B17" s="1"/>
  <c r="A17" s="1"/>
  <c r="C16"/>
  <c r="B16" s="1"/>
  <c r="A16" s="1"/>
  <c r="C15"/>
  <c r="B15" s="1"/>
  <c r="A15" s="1"/>
  <c r="C14"/>
  <c r="B14" s="1"/>
  <c r="A14" s="1"/>
  <c r="C13"/>
  <c r="B13" s="1"/>
  <c r="A13" s="1"/>
  <c r="C12"/>
  <c r="B12" s="1"/>
  <c r="A12" s="1"/>
  <c r="C11"/>
  <c r="B11" s="1"/>
  <c r="A11" s="1"/>
  <c r="C10"/>
  <c r="B10" s="1"/>
  <c r="A10" s="1"/>
  <c r="C9"/>
  <c r="B9" s="1"/>
  <c r="A9" s="1"/>
  <c r="C8"/>
  <c r="B8" s="1"/>
  <c r="A8" s="1"/>
  <c r="C7"/>
  <c r="B7" s="1"/>
  <c r="A7" s="1"/>
  <c r="C6"/>
  <c r="B6" s="1"/>
  <c r="A6" s="1"/>
  <c r="C5"/>
  <c r="B5" s="1"/>
  <c r="A5" s="1"/>
  <c r="C4"/>
  <c r="B4" s="1"/>
  <c r="A4" s="1"/>
  <c r="C3"/>
  <c r="B3" s="1"/>
  <c r="A3" s="1"/>
  <c r="D14" i="4" l="1"/>
  <c r="E14" s="1"/>
  <c r="G60" i="2"/>
  <c r="G61"/>
  <c r="E29" i="4"/>
  <c r="G26"/>
  <c r="F22"/>
  <c r="E21"/>
  <c r="D9"/>
  <c r="E9" s="1"/>
  <c r="D11"/>
  <c r="F11" s="1"/>
  <c r="D13"/>
  <c r="F13" s="1"/>
  <c r="E7"/>
  <c r="F7"/>
  <c r="G22"/>
  <c r="G21"/>
  <c r="F10"/>
  <c r="E10"/>
  <c r="D13" i="2"/>
  <c r="E13" s="1"/>
  <c r="H10" i="1"/>
  <c r="H11"/>
  <c r="H12"/>
  <c r="H3"/>
  <c r="H5"/>
  <c r="H6"/>
  <c r="H4"/>
  <c r="H7"/>
  <c r="H8"/>
  <c r="H9"/>
  <c r="F14" i="4" l="1"/>
  <c r="E11"/>
  <c r="B127"/>
  <c r="C8"/>
  <c r="E20" s="1"/>
  <c r="B125" i="2"/>
  <c r="B135" s="1"/>
  <c r="F62"/>
  <c r="G59"/>
  <c r="G62" s="1"/>
  <c r="E13" i="4"/>
  <c r="F9"/>
  <c r="F13" i="2"/>
  <c r="H13" i="1"/>
  <c r="B137" i="4" l="1"/>
  <c r="B138" s="1"/>
  <c r="E143" s="1"/>
  <c r="N26" i="3" s="1"/>
  <c r="F20" i="4"/>
  <c r="F23" s="1"/>
  <c r="B136" i="2"/>
  <c r="E141" s="1"/>
  <c r="E144" i="4" s="1"/>
  <c r="B137" i="2"/>
  <c r="G141" s="1"/>
  <c r="G144" i="4" s="1"/>
  <c r="D8"/>
  <c r="F8" s="1"/>
  <c r="G63" i="2"/>
  <c r="B74"/>
  <c r="B93" s="1"/>
  <c r="D93" s="1"/>
  <c r="B75"/>
  <c r="B94" s="1"/>
  <c r="D94" s="1"/>
  <c r="B73"/>
  <c r="B92" s="1"/>
  <c r="D92" s="1"/>
  <c r="E33" i="4"/>
  <c r="E23"/>
  <c r="F28" i="2"/>
  <c r="G28" s="1"/>
  <c r="F27"/>
  <c r="G27" s="1"/>
  <c r="F26"/>
  <c r="E28"/>
  <c r="E27"/>
  <c r="E26"/>
  <c r="C14"/>
  <c r="C11"/>
  <c r="C10"/>
  <c r="C9"/>
  <c r="C8"/>
  <c r="C7"/>
  <c r="B14"/>
  <c r="D14" s="1"/>
  <c r="E14" s="1"/>
  <c r="B12"/>
  <c r="D12" s="1"/>
  <c r="F12" s="1"/>
  <c r="B11"/>
  <c r="B10"/>
  <c r="B9"/>
  <c r="B8"/>
  <c r="B7"/>
  <c r="C12" i="4" l="1"/>
  <c r="D12" s="1"/>
  <c r="D15" s="1"/>
  <c r="D17" s="1"/>
  <c r="B139"/>
  <c r="G143" s="1"/>
  <c r="M26" i="3" s="1"/>
  <c r="E145" i="4"/>
  <c r="G20"/>
  <c r="G23" s="1"/>
  <c r="F33"/>
  <c r="G33" s="1"/>
  <c r="E8"/>
  <c r="F93" i="2"/>
  <c r="E98"/>
  <c r="E99" i="4" s="1"/>
  <c r="E100" s="1"/>
  <c r="F94" i="2"/>
  <c r="F98"/>
  <c r="F99" i="4" s="1"/>
  <c r="F100" s="1"/>
  <c r="D74" i="2"/>
  <c r="F74" s="1"/>
  <c r="D73"/>
  <c r="E29"/>
  <c r="F29"/>
  <c r="G29" s="1"/>
  <c r="D9"/>
  <c r="F9" s="1"/>
  <c r="D11"/>
  <c r="E11" s="1"/>
  <c r="F22"/>
  <c r="E22"/>
  <c r="D8"/>
  <c r="E8" s="1"/>
  <c r="D10"/>
  <c r="F10" s="1"/>
  <c r="D7"/>
  <c r="F7" s="1"/>
  <c r="E12"/>
  <c r="C15"/>
  <c r="F21"/>
  <c r="E21"/>
  <c r="F14"/>
  <c r="F20"/>
  <c r="G26"/>
  <c r="E20"/>
  <c r="F11" l="1"/>
  <c r="G145" i="4"/>
  <c r="H7" i="2"/>
  <c r="H9"/>
  <c r="H11"/>
  <c r="H13"/>
  <c r="H10"/>
  <c r="H12"/>
  <c r="H14"/>
  <c r="H8"/>
  <c r="C15" i="4"/>
  <c r="F12"/>
  <c r="F15" s="1"/>
  <c r="F17" s="1"/>
  <c r="E12"/>
  <c r="E15" s="1"/>
  <c r="E17" s="1"/>
  <c r="B76" i="2"/>
  <c r="D75"/>
  <c r="F75" s="1"/>
  <c r="E23"/>
  <c r="E33"/>
  <c r="E34" i="4" s="1"/>
  <c r="E146" s="1"/>
  <c r="F23" i="2"/>
  <c r="F33"/>
  <c r="G33" s="1"/>
  <c r="E10"/>
  <c r="E9"/>
  <c r="F8"/>
  <c r="G21"/>
  <c r="G22"/>
  <c r="D15"/>
  <c r="D17" s="1"/>
  <c r="H17" s="1"/>
  <c r="E7"/>
  <c r="G20"/>
  <c r="F15" l="1"/>
  <c r="F17" s="1"/>
  <c r="M10" i="3" s="1"/>
  <c r="E35" i="4"/>
  <c r="N12" i="3" s="1"/>
  <c r="E10" s="1"/>
  <c r="E101" i="4"/>
  <c r="D76" i="2"/>
  <c r="F76" s="1"/>
  <c r="B95"/>
  <c r="D95" s="1"/>
  <c r="G23"/>
  <c r="F34" i="4"/>
  <c r="E15" i="2"/>
  <c r="E17" s="1"/>
  <c r="N31" i="3" s="1"/>
  <c r="M24"/>
  <c r="M17"/>
  <c r="G34" i="4"/>
  <c r="G146" s="1"/>
  <c r="E36"/>
  <c r="M31" i="3" l="1"/>
  <c r="M27"/>
  <c r="M25"/>
  <c r="M20"/>
  <c r="M18"/>
  <c r="N33"/>
  <c r="N32" s="1"/>
  <c r="G35" i="4"/>
  <c r="M12" i="3" s="1"/>
  <c r="D10" s="1"/>
  <c r="F35" i="4"/>
  <c r="F101"/>
  <c r="F95" i="2"/>
  <c r="G98"/>
  <c r="G99" i="4" s="1"/>
  <c r="G100" s="1"/>
  <c r="F36"/>
  <c r="N17" i="3"/>
  <c r="N24"/>
  <c r="N10"/>
  <c r="E8" s="1"/>
  <c r="E11" s="1"/>
  <c r="D8"/>
  <c r="G36" i="4"/>
  <c r="N27" i="3" l="1"/>
  <c r="N25"/>
  <c r="N34"/>
  <c r="G101" i="4"/>
  <c r="M33" i="3"/>
  <c r="N20"/>
  <c r="N18"/>
  <c r="M11"/>
  <c r="D9" s="1"/>
  <c r="M13"/>
  <c r="D11"/>
  <c r="N13"/>
  <c r="N11"/>
  <c r="E9" s="1"/>
  <c r="M32" l="1"/>
  <c r="M34"/>
</calcChain>
</file>

<file path=xl/comments1.xml><?xml version="1.0" encoding="utf-8"?>
<comments xmlns="http://schemas.openxmlformats.org/spreadsheetml/2006/main">
  <authors>
    <author>Heidecker, Mark</author>
  </authors>
  <commentList>
    <comment ref="L9" authorId="0">
      <text>
        <r>
          <rPr>
            <b/>
            <sz val="8"/>
            <color indexed="81"/>
            <rFont val="Tahoma"/>
            <family val="2"/>
          </rPr>
          <t>Heidecker, Mark:</t>
        </r>
        <r>
          <rPr>
            <sz val="8"/>
            <color indexed="81"/>
            <rFont val="Tahoma"/>
            <family val="2"/>
          </rPr>
          <t xml:space="preserve">
Average (miniumum values) Woodlands &amp; SFR 1/2 Acre Lots &amp; Larger</t>
        </r>
      </text>
    </comment>
    <comment ref="L10" authorId="0">
      <text>
        <r>
          <rPr>
            <b/>
            <sz val="8"/>
            <color indexed="81"/>
            <rFont val="Tahoma"/>
            <family val="2"/>
          </rPr>
          <t>Heidecker, Mark:</t>
        </r>
        <r>
          <rPr>
            <sz val="8"/>
            <color indexed="81"/>
            <rFont val="Tahoma"/>
            <family val="2"/>
          </rPr>
          <t xml:space="preserve">
Minimum Values of Smaller Lots</t>
        </r>
      </text>
    </comment>
    <comment ref="L11" authorId="0">
      <text>
        <r>
          <rPr>
            <b/>
            <sz val="8"/>
            <color indexed="81"/>
            <rFont val="Tahoma"/>
            <family val="2"/>
          </rPr>
          <t>Heidecker, Mark:</t>
        </r>
        <r>
          <rPr>
            <sz val="8"/>
            <color indexed="81"/>
            <rFont val="Tahoma"/>
            <family val="2"/>
          </rPr>
          <t xml:space="preserve">
Multi-Family Minimum Values</t>
        </r>
      </text>
    </comment>
    <comment ref="L12" authorId="0">
      <text>
        <r>
          <rPr>
            <b/>
            <sz val="8"/>
            <color indexed="81"/>
            <rFont val="Tahoma"/>
            <family val="2"/>
          </rPr>
          <t>Heidecker, Mark:</t>
        </r>
        <r>
          <rPr>
            <sz val="8"/>
            <color indexed="81"/>
            <rFont val="Tahoma"/>
            <family val="2"/>
          </rPr>
          <t xml:space="preserve">
Average Value Commercial &amp; Industrial</t>
        </r>
      </text>
    </comment>
    <comment ref="L14" authorId="0">
      <text>
        <r>
          <rPr>
            <b/>
            <sz val="8"/>
            <color indexed="81"/>
            <rFont val="Tahoma"/>
            <family val="2"/>
          </rPr>
          <t>Heidecker, Mark:</t>
        </r>
        <r>
          <rPr>
            <sz val="8"/>
            <color indexed="81"/>
            <rFont val="Tahoma"/>
            <family val="2"/>
          </rPr>
          <t xml:space="preserve">
Average Value Commercial &amp; Industrial</t>
        </r>
      </text>
    </comment>
    <comment ref="L15" authorId="0">
      <text>
        <r>
          <rPr>
            <b/>
            <sz val="8"/>
            <color indexed="81"/>
            <rFont val="Tahoma"/>
            <family val="2"/>
          </rPr>
          <t>Heidecker, Mark:</t>
        </r>
        <r>
          <rPr>
            <sz val="8"/>
            <color indexed="81"/>
            <rFont val="Tahoma"/>
            <family val="2"/>
          </rPr>
          <t xml:space="preserve">
Average Value Commercial &amp; Industrial</t>
        </r>
      </text>
    </comment>
    <comment ref="L19" authorId="0">
      <text>
        <r>
          <rPr>
            <b/>
            <sz val="8"/>
            <color indexed="81"/>
            <rFont val="Tahoma"/>
            <family val="2"/>
          </rPr>
          <t>Heidecker, Mark:</t>
        </r>
        <r>
          <rPr>
            <sz val="8"/>
            <color indexed="81"/>
            <rFont val="Tahoma"/>
            <family val="2"/>
          </rPr>
          <t xml:space="preserve">
Woodlands Minimum Value</t>
        </r>
      </text>
    </comment>
    <comment ref="L20" authorId="0">
      <text>
        <r>
          <rPr>
            <b/>
            <sz val="8"/>
            <color indexed="81"/>
            <rFont val="Tahoma"/>
            <family val="2"/>
          </rPr>
          <t>Heidecker, Mark:</t>
        </r>
        <r>
          <rPr>
            <sz val="8"/>
            <color indexed="81"/>
            <rFont val="Tahoma"/>
            <family val="2"/>
          </rPr>
          <t xml:space="preserve">
Woodlands Minimum Value</t>
        </r>
      </text>
    </comment>
    <comment ref="H22" authorId="0">
      <text>
        <r>
          <rPr>
            <b/>
            <sz val="8"/>
            <color indexed="81"/>
            <rFont val="Tahoma"/>
            <family val="2"/>
          </rPr>
          <t>Heidecker, Mark:</t>
        </r>
        <r>
          <rPr>
            <sz val="8"/>
            <color indexed="81"/>
            <rFont val="Tahoma"/>
            <family val="2"/>
          </rPr>
          <t xml:space="preserve">
Average (miniumum values) Woodlands &amp; SFR 1/2 Acre Lots &amp; Larger</t>
        </r>
      </text>
    </comment>
  </commentList>
</comments>
</file>

<file path=xl/comments2.xml><?xml version="1.0" encoding="utf-8"?>
<comments xmlns="http://schemas.openxmlformats.org/spreadsheetml/2006/main">
  <authors>
    <author>Heidecker, Mark</author>
  </authors>
  <commentList>
    <comment ref="L9" authorId="0">
      <text>
        <r>
          <rPr>
            <b/>
            <sz val="8"/>
            <color indexed="81"/>
            <rFont val="Tahoma"/>
            <family val="2"/>
          </rPr>
          <t>Heidecker, Mark:</t>
        </r>
        <r>
          <rPr>
            <sz val="8"/>
            <color indexed="81"/>
            <rFont val="Tahoma"/>
            <family val="2"/>
          </rPr>
          <t xml:space="preserve">
Average (miniumum values) Woodlands &amp; SFR 1/2 Acre Lots &amp; Larger</t>
        </r>
      </text>
    </comment>
    <comment ref="L10" authorId="0">
      <text>
        <r>
          <rPr>
            <b/>
            <sz val="8"/>
            <color indexed="81"/>
            <rFont val="Tahoma"/>
            <family val="2"/>
          </rPr>
          <t>Heidecker, Mark:</t>
        </r>
        <r>
          <rPr>
            <sz val="8"/>
            <color indexed="81"/>
            <rFont val="Tahoma"/>
            <family val="2"/>
          </rPr>
          <t xml:space="preserve">
Minimum Values of Smaller Lots</t>
        </r>
      </text>
    </comment>
    <comment ref="L11" authorId="0">
      <text>
        <r>
          <rPr>
            <b/>
            <sz val="8"/>
            <color indexed="81"/>
            <rFont val="Tahoma"/>
            <family val="2"/>
          </rPr>
          <t>Heidecker, Mark:</t>
        </r>
        <r>
          <rPr>
            <sz val="8"/>
            <color indexed="81"/>
            <rFont val="Tahoma"/>
            <family val="2"/>
          </rPr>
          <t xml:space="preserve">
Multi-Family Minimum Values</t>
        </r>
      </text>
    </comment>
    <comment ref="L12" authorId="0">
      <text>
        <r>
          <rPr>
            <b/>
            <sz val="8"/>
            <color indexed="81"/>
            <rFont val="Tahoma"/>
            <family val="2"/>
          </rPr>
          <t>Heidecker, Mark:</t>
        </r>
        <r>
          <rPr>
            <sz val="8"/>
            <color indexed="81"/>
            <rFont val="Tahoma"/>
            <family val="2"/>
          </rPr>
          <t xml:space="preserve">
Average Value Commercial &amp; Industrial</t>
        </r>
      </text>
    </comment>
    <comment ref="L14" authorId="0">
      <text>
        <r>
          <rPr>
            <b/>
            <sz val="8"/>
            <color indexed="81"/>
            <rFont val="Tahoma"/>
            <family val="2"/>
          </rPr>
          <t>Heidecker, Mark:</t>
        </r>
        <r>
          <rPr>
            <sz val="8"/>
            <color indexed="81"/>
            <rFont val="Tahoma"/>
            <family val="2"/>
          </rPr>
          <t xml:space="preserve">
Average Value Commercial &amp; Industrial</t>
        </r>
      </text>
    </comment>
    <comment ref="L15" authorId="0">
      <text>
        <r>
          <rPr>
            <b/>
            <sz val="8"/>
            <color indexed="81"/>
            <rFont val="Tahoma"/>
            <family val="2"/>
          </rPr>
          <t>Heidecker, Mark:</t>
        </r>
        <r>
          <rPr>
            <sz val="8"/>
            <color indexed="81"/>
            <rFont val="Tahoma"/>
            <family val="2"/>
          </rPr>
          <t xml:space="preserve">
Average Value Commercial &amp; Industrial</t>
        </r>
      </text>
    </comment>
    <comment ref="L19" authorId="0">
      <text>
        <r>
          <rPr>
            <b/>
            <sz val="8"/>
            <color indexed="81"/>
            <rFont val="Tahoma"/>
            <family val="2"/>
          </rPr>
          <t>Heidecker, Mark:</t>
        </r>
        <r>
          <rPr>
            <sz val="8"/>
            <color indexed="81"/>
            <rFont val="Tahoma"/>
            <family val="2"/>
          </rPr>
          <t xml:space="preserve">
Woodlands Minimum Value</t>
        </r>
      </text>
    </comment>
    <comment ref="L20" authorId="0">
      <text>
        <r>
          <rPr>
            <b/>
            <sz val="8"/>
            <color indexed="81"/>
            <rFont val="Tahoma"/>
            <family val="2"/>
          </rPr>
          <t>Heidecker, Mark:</t>
        </r>
        <r>
          <rPr>
            <sz val="8"/>
            <color indexed="81"/>
            <rFont val="Tahoma"/>
            <family val="2"/>
          </rPr>
          <t xml:space="preserve">
Woodlands Minimum Value</t>
        </r>
      </text>
    </comment>
    <comment ref="H22" authorId="0">
      <text>
        <r>
          <rPr>
            <b/>
            <sz val="8"/>
            <color indexed="81"/>
            <rFont val="Tahoma"/>
            <family val="2"/>
          </rPr>
          <t>Heidecker, Mark:</t>
        </r>
        <r>
          <rPr>
            <sz val="8"/>
            <color indexed="81"/>
            <rFont val="Tahoma"/>
            <family val="2"/>
          </rPr>
          <t xml:space="preserve">
Average (miniumum values) Woodlands &amp; SFR 1/2 Acre Lots &amp; Larger</t>
        </r>
      </text>
    </comment>
  </commentList>
</comments>
</file>

<file path=xl/sharedStrings.xml><?xml version="1.0" encoding="utf-8"?>
<sst xmlns="http://schemas.openxmlformats.org/spreadsheetml/2006/main" count="826" uniqueCount="253">
  <si>
    <t>Acres</t>
  </si>
  <si>
    <t>8140: Roads and Highways</t>
  </si>
  <si>
    <t>LDR</t>
  </si>
  <si>
    <t>5300: Reservoirs</t>
  </si>
  <si>
    <t>MDR</t>
  </si>
  <si>
    <t>3100: Range Land, Herbaceous (Dry Prairie)</t>
  </si>
  <si>
    <t>HDR</t>
  </si>
  <si>
    <t>1820: Golf Courses</t>
  </si>
  <si>
    <t>LID</t>
  </si>
  <si>
    <t>1330: High Density, Multiple Dwelling Units, Low Rise (Three Stories or</t>
  </si>
  <si>
    <t>HID</t>
  </si>
  <si>
    <t>COP</t>
  </si>
  <si>
    <t>1310: High Density, Fixed Single Family Units</t>
  </si>
  <si>
    <t>ROS</t>
  </si>
  <si>
    <t>5200: Lakes</t>
  </si>
  <si>
    <t>UND</t>
  </si>
  <si>
    <t>H20</t>
  </si>
  <si>
    <t>8370: Surface Water Collection Features</t>
  </si>
  <si>
    <t>TOTAL</t>
  </si>
  <si>
    <t>4200: Upland Hardwood Forests</t>
  </si>
  <si>
    <t>4340: Hardwood Coniferous - Mixed</t>
  </si>
  <si>
    <t>1700: Institutional ( Education, Religious, Health)</t>
  </si>
  <si>
    <t>1210: Medium Density, Fixed Single Family Units</t>
  </si>
  <si>
    <t>1400: Commercial and Services</t>
  </si>
  <si>
    <t>Average Annual Rainfall</t>
  </si>
  <si>
    <t>Period of Record</t>
  </si>
  <si>
    <t>1981-2010</t>
  </si>
  <si>
    <t>Rainfall Runoff Factor</t>
  </si>
  <si>
    <t>Adjustment for Trace Events</t>
  </si>
  <si>
    <t xml:space="preserve">Runoff </t>
  </si>
  <si>
    <t>Loading</t>
  </si>
  <si>
    <t>2010 Landuse</t>
  </si>
  <si>
    <t>C-Value</t>
  </si>
  <si>
    <t>(Ac-ft/year)</t>
  </si>
  <si>
    <t>TN (lbs/year)</t>
  </si>
  <si>
    <t>TP (lbs/year)</t>
  </si>
  <si>
    <t xml:space="preserve"> Runoff Coefficient Analysis</t>
  </si>
  <si>
    <t xml:space="preserve">FDOT 2012 - Rolling Hills - Clay </t>
  </si>
  <si>
    <t>Land Use Type</t>
  </si>
  <si>
    <t>Code</t>
  </si>
  <si>
    <t>C Value</t>
  </si>
  <si>
    <t>Low Density Residential (LDR)</t>
  </si>
  <si>
    <t>Medium Density Residential (MDR)</t>
  </si>
  <si>
    <t>High Density Residential (HDR)</t>
  </si>
  <si>
    <t>Commercial, Office, Public (COP)</t>
  </si>
  <si>
    <t>Industrial (LID)</t>
  </si>
  <si>
    <t>Industrial (HID)</t>
  </si>
  <si>
    <t>Recreation - Open Space (ROS)</t>
  </si>
  <si>
    <t>Undeveloped (UND)</t>
  </si>
  <si>
    <t>Water (H20)</t>
  </si>
  <si>
    <t>2012 EMC Table</t>
  </si>
  <si>
    <t>Land Use</t>
  </si>
  <si>
    <t>TKN</t>
  </si>
  <si>
    <t>N3+N2-N</t>
  </si>
  <si>
    <t>TN</t>
  </si>
  <si>
    <t>TP</t>
  </si>
  <si>
    <t>BOD</t>
  </si>
  <si>
    <t>TSS</t>
  </si>
  <si>
    <t>Copper</t>
  </si>
  <si>
    <t>Zinc</t>
  </si>
  <si>
    <t>AGR</t>
  </si>
  <si>
    <t>Volume</t>
  </si>
  <si>
    <t xml:space="preserve">Fairway (Ac) </t>
  </si>
  <si>
    <t>Area</t>
  </si>
  <si>
    <t>LBS/Yr N</t>
  </si>
  <si>
    <t>LBS/Yr P</t>
  </si>
  <si>
    <t>Rough (Ac)</t>
  </si>
  <si>
    <t>Greens and Tees (Ac)</t>
  </si>
  <si>
    <t>*Rates from SL191</t>
  </si>
  <si>
    <t>N rate*</t>
  </si>
  <si>
    <t>P rate*</t>
  </si>
  <si>
    <t>LBS/Yr P2O5</t>
  </si>
  <si>
    <t>N/A</t>
  </si>
  <si>
    <t>Total Runoff Loading</t>
  </si>
  <si>
    <t>Medium Desity Residential (MDR) Load</t>
  </si>
  <si>
    <t>High Density Residential (HDR) Load</t>
  </si>
  <si>
    <t>Golfcourse</t>
  </si>
  <si>
    <t>Load Delivered from Fertilizer (Residential)</t>
  </si>
  <si>
    <t xml:space="preserve">Ac MDR*.6*43.56*(4 for N) or (.5 for P) *.31 or less 20% for P*(.12 for N) or (.2 for P) </t>
  </si>
  <si>
    <t xml:space="preserve">Ac HDR*.45*43.56*(4 for N) or (.5 for P) *.31 or .248 for P*(.12 for N) or (.2 for P) </t>
  </si>
  <si>
    <t>HWY</t>
  </si>
  <si>
    <t>Highway/Transportation(HWY)</t>
  </si>
  <si>
    <t>Harper Bradfordville Study</t>
  </si>
  <si>
    <t>Level 1</t>
  </si>
  <si>
    <t>Level 2</t>
  </si>
  <si>
    <t>Level 3</t>
  </si>
  <si>
    <t>Landuse Description</t>
  </si>
  <si>
    <t>Landuse Category</t>
  </si>
  <si>
    <t>1110: Low Density, Fixed Single Family Units</t>
  </si>
  <si>
    <t>1190: Low Density Under Construction</t>
  </si>
  <si>
    <t>1230: Medium Density, Mixed Units (Fixed and Mobile Home Units)</t>
  </si>
  <si>
    <t>1290: Medium Density, Under Construction</t>
  </si>
  <si>
    <t>1340: High Density, Multiple Dwelling Units, High Rise (Four Stories or</t>
  </si>
  <si>
    <t>1390: High Density, Under Construction</t>
  </si>
  <si>
    <t>1900: Open Land</t>
  </si>
  <si>
    <t>2110: Improved Pastures</t>
  </si>
  <si>
    <t>2230: Other Groves (Pecan, Avocado, Coconut, Mango, etc)</t>
  </si>
  <si>
    <t>4100: Upland Coniferous Forests</t>
  </si>
  <si>
    <t>4110: Pine Flatwoods</t>
  </si>
  <si>
    <t>4410: Coniferous Plantations</t>
  </si>
  <si>
    <t>6170: Mixed Wetland Hardwoods</t>
  </si>
  <si>
    <t>6210: Cypress</t>
  </si>
  <si>
    <t>6250: Hydric Pine Flatwoods</t>
  </si>
  <si>
    <t>6300: Wetland Forested Mixed</t>
  </si>
  <si>
    <t>6410: Freshwater Marshes</t>
  </si>
  <si>
    <t>6430: Wet Prairies</t>
  </si>
  <si>
    <t>6440: Emergent Aquatic Vegetation</t>
  </si>
  <si>
    <t>6460: Mixed Scrub-shrub Wetland</t>
  </si>
  <si>
    <t>8200: Communications</t>
  </si>
  <si>
    <t>8330: Water Supply Plants (Including pumping stations)</t>
  </si>
  <si>
    <t xml:space="preserve">Totals:    </t>
  </si>
  <si>
    <t>TARGET WS WBID 647</t>
  </si>
  <si>
    <t xml:space="preserve">Ac LDR*.8*43.56*(4 for N) or (.5 for P) *.31 or .248 for P*(.12 for N) or (.2 for P) </t>
  </si>
  <si>
    <t>Low Density Residential (LDR) Load</t>
  </si>
  <si>
    <t>Attenuation in Coveyances</t>
  </si>
  <si>
    <t>Total Runoff Loading Delivered</t>
  </si>
  <si>
    <t>Reduce rates 25% from Pre</t>
  </si>
  <si>
    <t>Reduce rates 50% From Pre</t>
  </si>
  <si>
    <t xml:space="preserve">ESTIMATED POLLUTANT LOAD REDUCTION: </t>
  </si>
  <si>
    <t>BMP’s Installed</t>
  </si>
  <si>
    <t>kg/yr</t>
  </si>
  <si>
    <t>Other</t>
  </si>
  <si>
    <t>TC/yr</t>
  </si>
  <si>
    <t>Fecal Coli</t>
  </si>
  <si>
    <t>     </t>
  </si>
  <si>
    <t>Pollutant Loads</t>
  </si>
  <si>
    <t>Pre-Project</t>
  </si>
  <si>
    <t>Post-Project</t>
  </si>
  <si>
    <t>Load Reduction</t>
  </si>
  <si>
    <t>% Reduction</t>
  </si>
  <si>
    <t>(Lbs/yr)</t>
  </si>
  <si>
    <t xml:space="preserve">ESTIMATED NUTRIENT LOAD &amp; POST PROJECT REDUCTION: </t>
  </si>
  <si>
    <t>FERTILIZER MGMT</t>
  </si>
  <si>
    <t>Total Load Delivered from Fertilizer (Post Project)</t>
  </si>
  <si>
    <t>Total Load Delivered from Fertilizer (Pre-Project)</t>
  </si>
  <si>
    <t xml:space="preserve"> % Improvement</t>
  </si>
  <si>
    <t xml:space="preserve">Ac MDR*.6*43.56*(4 for N) or (.5 for P) *.21 or less 20% for P*(.12 for N) or (.2 for P) </t>
  </si>
  <si>
    <t xml:space="preserve">Ac HDR*.45*43.56*(4 for N) or (.5 for P) *.21 or .248 for P*(.12 for N) or (.2 for P) </t>
  </si>
  <si>
    <t xml:space="preserve">Ac LDR*.8*43.56*(4 for N) or (.5 for P) *.21 or .248 for P*(.12 for N) or (.2 for P) </t>
  </si>
  <si>
    <t>(Assume a 10% reduction from 2011 in those that fertilize)</t>
  </si>
  <si>
    <t>Total Load Delivered from Fertilizer (Residential)</t>
  </si>
  <si>
    <t xml:space="preserve">Total Load Golf Course </t>
  </si>
  <si>
    <t>PET WASTE MGMT</t>
  </si>
  <si>
    <t>RES EROSION CNTL</t>
  </si>
  <si>
    <t>SUMMARY</t>
  </si>
  <si>
    <t>(Assume 31% Fertilize from 2011 TAPP Survey)</t>
  </si>
  <si>
    <t>Load Delivered from Fertilizer (Golfcourse)</t>
  </si>
  <si>
    <t>LOAD SUMMARY</t>
  </si>
  <si>
    <t>Load Reduction Pre VS Post (Lbs/Yr)</t>
  </si>
  <si>
    <t>PET WASTE LOAD REDUCTION</t>
  </si>
  <si>
    <t>Survey Date</t>
  </si>
  <si>
    <t>Number of HHs</t>
  </si>
  <si>
    <t xml:space="preserve">INPUT </t>
  </si>
  <si>
    <t xml:space="preserve"> DATA</t>
  </si>
  <si>
    <t>SOURCE</t>
  </si>
  <si>
    <t>FC Concentration in Feces (Count/gr dry weight)</t>
  </si>
  <si>
    <t>% Nitrogen</t>
  </si>
  <si>
    <r>
      <t>% Phosphorus P</t>
    </r>
    <r>
      <rPr>
        <vertAlign val="subscript"/>
        <sz val="10"/>
        <rFont val="Arial"/>
        <family val="2"/>
      </rPr>
      <t>2</t>
    </r>
    <r>
      <rPr>
        <sz val="10"/>
        <rFont val="Arial"/>
        <family val="2"/>
      </rPr>
      <t>O</t>
    </r>
    <r>
      <rPr>
        <vertAlign val="subscript"/>
        <sz val="10"/>
        <rFont val="Arial"/>
        <family val="2"/>
      </rPr>
      <t>5</t>
    </r>
  </si>
  <si>
    <t>No. Households</t>
  </si>
  <si>
    <t>% w/dogs</t>
  </si>
  <si>
    <t>Dogs/Household</t>
  </si>
  <si>
    <t xml:space="preserve"> Pre-Project 2011 Pet Waste Input Data</t>
  </si>
  <si>
    <t>References:</t>
  </si>
  <si>
    <t>1. Van der Wel, 1995</t>
  </si>
  <si>
    <t>2. R.E. Hall, 1999, University of Minnesota</t>
  </si>
  <si>
    <t>Size Range</t>
  </si>
  <si>
    <t>Avg Weight  (Lbs)</t>
  </si>
  <si>
    <t>Waste Generated (Lbs/yr/dog)</t>
  </si>
  <si>
    <t>Waste Generated (Lbs/da/dog)</t>
  </si>
  <si>
    <t>% in Size Range</t>
  </si>
  <si>
    <t>No. in Size Range</t>
  </si>
  <si>
    <t>Total Load Generated (Lbs/da)</t>
  </si>
  <si>
    <t>Small (1-14 lbs)</t>
  </si>
  <si>
    <t>Medium (15-49 lbs)</t>
  </si>
  <si>
    <t>Large (50-100)</t>
  </si>
  <si>
    <t xml:space="preserve">Total </t>
  </si>
  <si>
    <t>Total (Tons/da)</t>
  </si>
  <si>
    <r>
      <t>Notes:</t>
    </r>
    <r>
      <rPr>
        <b/>
        <sz val="10"/>
        <rFont val="Arial"/>
        <family val="2"/>
      </rPr>
      <t xml:space="preserve"> </t>
    </r>
  </si>
  <si>
    <t>1.  The composition of cat and dog manure is similar. The feces contain about 0.7% nitrogen (N), 0.25% phosphate (P2O5) and 0.02% potash (K2O). The urine contains about 1.1% N, 0.01% P2O5 and 0.5% K2O.  (R.E. Hall, 1999)</t>
  </si>
  <si>
    <t xml:space="preserve">2.  How does this compare with cattle manure? </t>
  </si>
  <si>
    <t>Cat and dog manure, as excreted, contains about 2-1/2 times as much N, the same amount of P2O5 and half as much K2O as cattle manure.  (R.E. Hall, 1999)</t>
  </si>
  <si>
    <t>3.. 2012 Utility Customers Database  Interlocal GIS</t>
  </si>
  <si>
    <t>4. Oppenheim Research &amp; Associates, TAPP 2011 Survey</t>
  </si>
  <si>
    <t>Fecal Waste Generation 2011</t>
  </si>
  <si>
    <t>Dog PopulationTotal No. =</t>
  </si>
  <si>
    <t>Parameter</t>
  </si>
  <si>
    <t>Daily Loading</t>
  </si>
  <si>
    <t>Units</t>
  </si>
  <si>
    <r>
      <t xml:space="preserve">Annual Load </t>
    </r>
    <r>
      <rPr>
        <b/>
        <vertAlign val="superscript"/>
        <sz val="10"/>
        <rFont val="Arial"/>
        <family val="2"/>
      </rPr>
      <t>(1)</t>
    </r>
  </si>
  <si>
    <t>Annual Load (Tons)</t>
  </si>
  <si>
    <t>Fecal Coliform</t>
  </si>
  <si>
    <t>cfu's/da</t>
  </si>
  <si>
    <t>cfu's/yr</t>
  </si>
  <si>
    <t>Total N</t>
  </si>
  <si>
    <t>lbs/da</t>
  </si>
  <si>
    <t>lbs/yr</t>
  </si>
  <si>
    <r>
      <t>Total P</t>
    </r>
    <r>
      <rPr>
        <vertAlign val="subscript"/>
        <sz val="10"/>
        <rFont val="Arial"/>
        <family val="2"/>
      </rPr>
      <t>2</t>
    </r>
    <r>
      <rPr>
        <sz val="10"/>
        <rFont val="Arial"/>
        <family val="2"/>
      </rPr>
      <t>O</t>
    </r>
    <r>
      <rPr>
        <vertAlign val="subscript"/>
        <sz val="10"/>
        <rFont val="Arial"/>
        <family val="2"/>
      </rPr>
      <t>5</t>
    </r>
  </si>
  <si>
    <t>Total P</t>
  </si>
  <si>
    <t xml:space="preserve">Notes: </t>
  </si>
  <si>
    <t xml:space="preserve"> Pollutant Load (No Removal) 2011</t>
  </si>
  <si>
    <t xml:space="preserve"> 1. Yearly mass watershed wide from dog fecal material.</t>
  </si>
  <si>
    <t>Calculate the no. HHs in Watershed  that were picking up pet waste effective 2011.</t>
  </si>
  <si>
    <t>No. HH with Dogs</t>
  </si>
  <si>
    <t>Percent HHs  that Pick up</t>
  </si>
  <si>
    <t>with Dogs that began pick up and dispose of waste due to TAPP.</t>
  </si>
  <si>
    <t>Result =</t>
  </si>
  <si>
    <t>Annual Load (1)</t>
  </si>
  <si>
    <t>Total P2O5</t>
  </si>
  <si>
    <t xml:space="preserve">Divide #HH that pickup (C83) by total # with dogs (B57) X 100 to determine the percent HHs </t>
  </si>
  <si>
    <t>Pollutant Load From Dogs (w/24.1% Removal) 2011</t>
  </si>
  <si>
    <t>Avg C</t>
  </si>
  <si>
    <t>Total Load Delivered from Dogs (Pre-Project)</t>
  </si>
  <si>
    <t xml:space="preserve">Note: This Assesment assumes delivery will be equivalent to fertilizer applied.  That is 12% delivery of Applied N and 20% delivery of Applied P2O5. Actual delivery may be higher since up to 60% of pet owners walk their animals such that waste is applied in close proximity  </t>
  </si>
  <si>
    <t xml:space="preserve"> Pre-Project 2011 Residential Erosion Input Data</t>
  </si>
  <si>
    <t xml:space="preserve">NUTRIENT  LOAD REDUCTION RESIDENTIAL EROSION CONTROL </t>
  </si>
  <si>
    <t>UNITS</t>
  </si>
  <si>
    <t>Percent</t>
  </si>
  <si>
    <t>1. FDEP,  FLORIDA STORMWATER EROSION AND SEDIMENTATION CONTROL INSPECTOR’S MANUAL ,July 2008</t>
  </si>
  <si>
    <r>
      <t>Soil Loss, Existing value</t>
    </r>
    <r>
      <rPr>
        <vertAlign val="superscript"/>
        <sz val="11"/>
        <color theme="1"/>
        <rFont val="Calibri"/>
        <family val="2"/>
        <scheme val="minor"/>
      </rPr>
      <t>(1)</t>
    </r>
  </si>
  <si>
    <t>Phosphorus Conc.</t>
  </si>
  <si>
    <t>Nitrogen Conc.</t>
  </si>
  <si>
    <t>2. Jerry Sartain,  IFAS Personal Communication</t>
  </si>
  <si>
    <t>FDEP Quote:  Sediment yields in streams flowing from established, urbanized drainage basins vary</t>
  </si>
  <si>
    <t>Residential Land</t>
  </si>
  <si>
    <t>tons/ac.</t>
  </si>
  <si>
    <t>from approximately 200 to 500 tons per square mile per year =.78tons/ac</t>
  </si>
  <si>
    <t>LOAD DELIVERED TO RECEIVING WATERS</t>
  </si>
  <si>
    <t>Sediment Delivered</t>
  </si>
  <si>
    <t>Lbs</t>
  </si>
  <si>
    <t xml:space="preserve">Nitrogen </t>
  </si>
  <si>
    <t xml:space="preserve">Phosphorus </t>
  </si>
  <si>
    <t>POLLUTANT</t>
  </si>
  <si>
    <t>RESULT</t>
  </si>
  <si>
    <t>TARGET WS WBID 647, Post Project Loading Assessment</t>
  </si>
  <si>
    <t xml:space="preserve">Assume: .8% growth factor for all Land Classes except H2O which remains equal.  Growth Subtracted from Undeveloped Class. </t>
  </si>
  <si>
    <t>Add .8%/yr X 2yrs for growth</t>
  </si>
  <si>
    <t>No change assumed</t>
  </si>
  <si>
    <t>Post-Project Pet Waste Input Data</t>
  </si>
  <si>
    <t>Fecal Waste Generation, Post 2 yr Project</t>
  </si>
  <si>
    <t xml:space="preserve"> Pollutant Load (No Removal) Post Project</t>
  </si>
  <si>
    <t>Calculate the no. HHs in Watershed  that were picking up pet waste Post Project.</t>
  </si>
  <si>
    <t xml:space="preserve">How does this compare with cattle manure? </t>
  </si>
  <si>
    <t xml:space="preserve">Divide #HH that pickup (C83) by total # with dogs (B48) X 100 to determine the percent HHs </t>
  </si>
  <si>
    <t>Note: This Assesment assumes delivery will be equivalent to fertilizer applied.  That is 12% delivery of Applied N and 20% delivery of Applied P2O5. Actual delivery may be higher since up to 60% of pet owners walk their animals such that waste is applied in close proximity to stormwater conveyances (curb and gutter).</t>
  </si>
  <si>
    <t>Total Load Delivered from Dogs (Post-Project)</t>
  </si>
  <si>
    <t>Note: Assumes a 10% /year increase due to project.</t>
  </si>
  <si>
    <t>Pollutant Load From Dogs (w/37% Removal) 2014</t>
  </si>
  <si>
    <t>Total Load Delivered from Residential Erosion Control (Pre-Project)</t>
  </si>
  <si>
    <t>from approximately 200 to 500 tons per square mile per year.  (i.e., 0.3125-0.78tons/ac)</t>
  </si>
  <si>
    <t>Total Load Delivered from Resid Erosion (Post-Project)</t>
  </si>
  <si>
    <t>Total Load Delivered from Resid Erosion  (Pre-Project)</t>
  </si>
  <si>
    <t>Note:  This assessment assumes erosion is reduced from 0.75 down to 0.5 tons/ac/yr.</t>
  </si>
  <si>
    <t>%Landuse Type</t>
  </si>
</sst>
</file>

<file path=xl/styles.xml><?xml version="1.0" encoding="utf-8"?>
<styleSheet xmlns="http://schemas.openxmlformats.org/spreadsheetml/2006/main">
  <numFmts count="5">
    <numFmt numFmtId="164" formatCode="#,##0.0"/>
    <numFmt numFmtId="165" formatCode="0.0"/>
    <numFmt numFmtId="166" formatCode="0.0000"/>
    <numFmt numFmtId="167" formatCode="0.0%"/>
    <numFmt numFmtId="168" formatCode="0.000%"/>
  </numFmts>
  <fonts count="43">
    <font>
      <sz val="11"/>
      <color theme="1"/>
      <name val="Calibri"/>
      <family val="2"/>
      <scheme val="minor"/>
    </font>
    <font>
      <b/>
      <sz val="10"/>
      <name val="Arial"/>
      <family val="2"/>
    </font>
    <font>
      <b/>
      <sz val="10"/>
      <name val="Arial Narrow"/>
      <family val="2"/>
    </font>
    <font>
      <i/>
      <sz val="10"/>
      <name val="Arial Narrow"/>
      <family val="2"/>
    </font>
    <font>
      <i/>
      <sz val="10"/>
      <color indexed="10"/>
      <name val="Arial Narrow"/>
      <family val="2"/>
    </font>
    <font>
      <b/>
      <sz val="10"/>
      <color indexed="10"/>
      <name val="Arial Narrow"/>
      <family val="2"/>
    </font>
    <font>
      <b/>
      <sz val="8"/>
      <color indexed="81"/>
      <name val="Tahoma"/>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i/>
      <sz val="11"/>
      <color theme="1"/>
      <name val="Calibri"/>
      <family val="2"/>
      <scheme val="minor"/>
    </font>
    <font>
      <sz val="11"/>
      <color rgb="FF1F497D"/>
      <name val="Calibri"/>
      <family val="2"/>
      <scheme val="minor"/>
    </font>
    <font>
      <sz val="10"/>
      <name val="Arial"/>
      <family val="2"/>
    </font>
    <font>
      <b/>
      <sz val="11"/>
      <color theme="1"/>
      <name val="Arial"/>
      <family val="2"/>
    </font>
    <font>
      <sz val="11"/>
      <color theme="1"/>
      <name val="Arial"/>
      <family val="2"/>
    </font>
    <font>
      <sz val="10"/>
      <color theme="1"/>
      <name val="Times New Roman"/>
      <family val="1"/>
    </font>
    <font>
      <b/>
      <sz val="9"/>
      <color theme="1"/>
      <name val="Arial"/>
      <family val="2"/>
    </font>
    <font>
      <sz val="9"/>
      <color theme="1"/>
      <name val="Arial"/>
      <family val="2"/>
    </font>
    <font>
      <b/>
      <sz val="8"/>
      <color theme="1"/>
      <name val="Arial"/>
      <family val="2"/>
    </font>
    <font>
      <sz val="8"/>
      <color theme="1"/>
      <name val="Arial"/>
      <family val="2"/>
    </font>
    <font>
      <u/>
      <sz val="11"/>
      <color theme="10"/>
      <name val="Calibri"/>
      <family val="2"/>
      <scheme val="minor"/>
    </font>
    <font>
      <b/>
      <sz val="12"/>
      <name val="Arial"/>
      <family val="2"/>
    </font>
    <font>
      <vertAlign val="subscript"/>
      <sz val="10"/>
      <name val="Arial"/>
      <family val="2"/>
    </font>
    <font>
      <b/>
      <u/>
      <sz val="10"/>
      <name val="Arial"/>
      <family val="2"/>
    </font>
    <font>
      <sz val="9"/>
      <name val="Arial"/>
      <family val="2"/>
    </font>
    <font>
      <b/>
      <vertAlign val="superscript"/>
      <sz val="10"/>
      <name val="Arial"/>
      <family val="2"/>
    </font>
    <font>
      <b/>
      <u/>
      <sz val="11"/>
      <color theme="1"/>
      <name val="Calibri"/>
      <family val="2"/>
      <scheme val="minor"/>
    </font>
    <font>
      <vertAlign val="superscript"/>
      <sz val="11"/>
      <color theme="1"/>
      <name val="Calibri"/>
      <family val="2"/>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gray125">
        <bgColor rgb="FFE5E5E5"/>
      </patternFill>
    </fill>
    <fill>
      <patternFill patternType="solid">
        <fgColor theme="4"/>
        <bgColor indexed="64"/>
      </patternFill>
    </fill>
  </fills>
  <borders count="6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right/>
      <top style="medium">
        <color indexed="64"/>
      </top>
      <bottom/>
      <diagonal/>
    </border>
    <border>
      <left/>
      <right/>
      <top style="double">
        <color auto="1"/>
      </top>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46">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10" fillId="26" borderId="0" applyNumberFormat="0" applyBorder="0" applyAlignment="0" applyProtection="0"/>
    <xf numFmtId="0" fontId="11" fillId="27" borderId="23" applyNumberFormat="0" applyAlignment="0" applyProtection="0"/>
    <xf numFmtId="0" fontId="12" fillId="28" borderId="24" applyNumberFormat="0" applyAlignment="0" applyProtection="0"/>
    <xf numFmtId="0" fontId="13" fillId="0" borderId="0" applyNumberFormat="0" applyFill="0" applyBorder="0" applyAlignment="0" applyProtection="0"/>
    <xf numFmtId="0" fontId="14" fillId="29" borderId="0" applyNumberFormat="0" applyBorder="0" applyAlignment="0" applyProtection="0"/>
    <xf numFmtId="0" fontId="15" fillId="0" borderId="25" applyNumberFormat="0" applyFill="0" applyAlignment="0" applyProtection="0"/>
    <xf numFmtId="0" fontId="16" fillId="0" borderId="26" applyNumberFormat="0" applyFill="0" applyAlignment="0" applyProtection="0"/>
    <xf numFmtId="0" fontId="17" fillId="0" borderId="27" applyNumberFormat="0" applyFill="0" applyAlignment="0" applyProtection="0"/>
    <xf numFmtId="0" fontId="17" fillId="0" borderId="0" applyNumberFormat="0" applyFill="0" applyBorder="0" applyAlignment="0" applyProtection="0"/>
    <xf numFmtId="0" fontId="18" fillId="30" borderId="23" applyNumberFormat="0" applyAlignment="0" applyProtection="0"/>
    <xf numFmtId="0" fontId="19" fillId="0" borderId="28" applyNumberFormat="0" applyFill="0" applyAlignment="0" applyProtection="0"/>
    <xf numFmtId="0" fontId="20" fillId="31" borderId="0" applyNumberFormat="0" applyBorder="0" applyAlignment="0" applyProtection="0"/>
    <xf numFmtId="0" fontId="8" fillId="32" borderId="29" applyNumberFormat="0" applyFont="0" applyAlignment="0" applyProtection="0"/>
    <xf numFmtId="0" fontId="21" fillId="27" borderId="30" applyNumberFormat="0" applyAlignment="0" applyProtection="0"/>
    <xf numFmtId="0" fontId="22" fillId="0" borderId="0" applyNumberFormat="0" applyFill="0" applyBorder="0" applyAlignment="0" applyProtection="0"/>
    <xf numFmtId="0" fontId="23" fillId="0" borderId="31" applyNumberFormat="0" applyFill="0" applyAlignment="0" applyProtection="0"/>
    <xf numFmtId="0" fontId="24" fillId="0" borderId="0" applyNumberFormat="0" applyFill="0" applyBorder="0" applyAlignment="0" applyProtection="0"/>
    <xf numFmtId="0" fontId="27" fillId="0" borderId="0"/>
    <xf numFmtId="0" fontId="8" fillId="0" borderId="0"/>
    <xf numFmtId="0" fontId="8" fillId="32" borderId="29" applyNumberFormat="0" applyFont="0" applyAlignment="0" applyProtection="0"/>
    <xf numFmtId="0" fontId="35" fillId="0" borderId="0" applyNumberFormat="0" applyFill="0" applyBorder="0" applyAlignment="0" applyProtection="0"/>
  </cellStyleXfs>
  <cellXfs count="243">
    <xf numFmtId="0" fontId="0" fillId="0" borderId="0" xfId="0"/>
    <xf numFmtId="2" fontId="0" fillId="33" borderId="0" xfId="0" applyNumberFormat="1" applyFill="1"/>
    <xf numFmtId="0" fontId="0" fillId="0" borderId="0" xfId="0"/>
    <xf numFmtId="0" fontId="0" fillId="0" borderId="0" xfId="0" applyAlignment="1">
      <alignment horizontal="left"/>
    </xf>
    <xf numFmtId="4" fontId="0" fillId="0" borderId="0" xfId="0" applyNumberFormat="1"/>
    <xf numFmtId="0" fontId="0" fillId="0" borderId="0" xfId="0" applyAlignment="1"/>
    <xf numFmtId="0" fontId="23" fillId="0" borderId="0" xfId="0" applyFont="1" applyAlignment="1">
      <alignment horizontal="center"/>
    </xf>
    <xf numFmtId="4" fontId="23" fillId="0" borderId="0" xfId="0" applyNumberFormat="1" applyFont="1"/>
    <xf numFmtId="0" fontId="23" fillId="0" borderId="0" xfId="0" applyFont="1"/>
    <xf numFmtId="2" fontId="0" fillId="0" borderId="0" xfId="0" applyNumberFormat="1"/>
    <xf numFmtId="0" fontId="23" fillId="0" borderId="7" xfId="0" applyFont="1" applyBorder="1"/>
    <xf numFmtId="2" fontId="1" fillId="0" borderId="7" xfId="0" applyNumberFormat="1" applyFont="1" applyBorder="1"/>
    <xf numFmtId="0" fontId="0" fillId="0" borderId="7" xfId="0" applyBorder="1"/>
    <xf numFmtId="2" fontId="0" fillId="0" borderId="7" xfId="0" applyNumberFormat="1" applyBorder="1"/>
    <xf numFmtId="0" fontId="2" fillId="0" borderId="9" xfId="0" applyFont="1" applyBorder="1" applyAlignment="1">
      <alignment horizontal="center"/>
    </xf>
    <xf numFmtId="0" fontId="3" fillId="0" borderId="10" xfId="0" quotePrefix="1" applyFont="1" applyBorder="1" applyAlignment="1">
      <alignment horizontal="center" wrapText="1"/>
    </xf>
    <xf numFmtId="0" fontId="3" fillId="0" borderId="11" xfId="0" applyFont="1" applyBorder="1" applyAlignment="1">
      <alignment horizontal="center" wrapText="1"/>
    </xf>
    <xf numFmtId="0" fontId="2" fillId="0" borderId="12" xfId="0" quotePrefix="1" applyFont="1" applyBorder="1" applyAlignment="1">
      <alignment horizontal="center" wrapText="1"/>
    </xf>
    <xf numFmtId="0" fontId="2" fillId="0" borderId="10" xfId="0" applyFont="1" applyBorder="1" applyAlignment="1">
      <alignment horizontal="center" wrapText="1"/>
    </xf>
    <xf numFmtId="0" fontId="2" fillId="0" borderId="13" xfId="0" applyFont="1" applyBorder="1" applyAlignment="1">
      <alignment horizontal="center" wrapText="1"/>
    </xf>
    <xf numFmtId="0" fontId="2" fillId="0" borderId="14" xfId="0" applyFont="1" applyBorder="1" applyAlignment="1">
      <alignment horizontal="center" wrapText="1"/>
    </xf>
    <xf numFmtId="2" fontId="4" fillId="0" borderId="15" xfId="0" applyNumberFormat="1" applyFont="1" applyBorder="1"/>
    <xf numFmtId="2" fontId="5" fillId="0" borderId="15" xfId="0" applyNumberFormat="1" applyFont="1" applyBorder="1"/>
    <xf numFmtId="4" fontId="5" fillId="0" borderId="15" xfId="0" applyNumberFormat="1" applyFont="1" applyBorder="1"/>
    <xf numFmtId="164" fontId="5" fillId="0" borderId="15" xfId="0" applyNumberFormat="1" applyFont="1" applyBorder="1"/>
    <xf numFmtId="165" fontId="5" fillId="0" borderId="15" xfId="0" applyNumberFormat="1" applyFont="1" applyBorder="1"/>
    <xf numFmtId="166" fontId="5" fillId="0" borderId="15" xfId="0" applyNumberFormat="1" applyFont="1" applyBorder="1"/>
    <xf numFmtId="166" fontId="5" fillId="0" borderId="16" xfId="0" applyNumberFormat="1" applyFont="1" applyBorder="1"/>
    <xf numFmtId="0" fontId="2" fillId="0" borderId="17" xfId="0" applyFont="1" applyBorder="1" applyAlignment="1">
      <alignment horizontal="center" wrapText="1"/>
    </xf>
    <xf numFmtId="2" fontId="4" fillId="0" borderId="18" xfId="0" applyNumberFormat="1" applyFont="1" applyBorder="1"/>
    <xf numFmtId="2" fontId="5" fillId="0" borderId="18" xfId="0" applyNumberFormat="1" applyFont="1" applyBorder="1"/>
    <xf numFmtId="4" fontId="5" fillId="0" borderId="18" xfId="0" applyNumberFormat="1" applyFont="1" applyBorder="1"/>
    <xf numFmtId="164" fontId="5" fillId="0" borderId="18" xfId="0" applyNumberFormat="1" applyFont="1" applyBorder="1"/>
    <xf numFmtId="165" fontId="5" fillId="0" borderId="18" xfId="0" applyNumberFormat="1" applyFont="1" applyBorder="1"/>
    <xf numFmtId="166" fontId="5" fillId="0" borderId="18" xfId="0" applyNumberFormat="1" applyFont="1" applyBorder="1"/>
    <xf numFmtId="166" fontId="5" fillId="0" borderId="19" xfId="0" applyNumberFormat="1" applyFont="1" applyBorder="1"/>
    <xf numFmtId="0" fontId="2" fillId="0" borderId="20" xfId="0" applyFont="1" applyBorder="1" applyAlignment="1">
      <alignment horizontal="center" wrapText="1"/>
    </xf>
    <xf numFmtId="2" fontId="25" fillId="33" borderId="21" xfId="0" applyNumberFormat="1" applyFont="1" applyFill="1" applyBorder="1"/>
    <xf numFmtId="2" fontId="0" fillId="33" borderId="21" xfId="0" applyNumberFormat="1" applyFill="1" applyBorder="1"/>
    <xf numFmtId="4" fontId="0" fillId="33" borderId="21" xfId="0" applyNumberFormat="1" applyFill="1" applyBorder="1"/>
    <xf numFmtId="164" fontId="0" fillId="33" borderId="21" xfId="0" applyNumberFormat="1" applyFill="1" applyBorder="1"/>
    <xf numFmtId="165" fontId="0" fillId="33" borderId="21" xfId="0" applyNumberFormat="1" applyFill="1" applyBorder="1"/>
    <xf numFmtId="166" fontId="0" fillId="33" borderId="21" xfId="0" applyNumberFormat="1" applyFill="1" applyBorder="1"/>
    <xf numFmtId="166" fontId="0" fillId="33" borderId="22" xfId="0" applyNumberFormat="1" applyFill="1" applyBorder="1"/>
    <xf numFmtId="4" fontId="23" fillId="0" borderId="0" xfId="0" applyNumberFormat="1" applyFont="1" applyAlignment="1">
      <alignment horizontal="right"/>
    </xf>
    <xf numFmtId="1" fontId="0" fillId="0" borderId="0" xfId="0" applyNumberFormat="1"/>
    <xf numFmtId="0" fontId="26" fillId="0" borderId="0" xfId="0" applyFont="1" applyAlignment="1">
      <alignment vertical="center"/>
    </xf>
    <xf numFmtId="0" fontId="0" fillId="0" borderId="0" xfId="0" applyAlignment="1">
      <alignment horizontal="right"/>
    </xf>
    <xf numFmtId="0" fontId="23" fillId="0" borderId="0" xfId="0" applyFont="1" applyAlignment="1">
      <alignment horizontal="right"/>
    </xf>
    <xf numFmtId="0" fontId="0" fillId="0" borderId="5" xfId="0" applyBorder="1"/>
    <xf numFmtId="1" fontId="0" fillId="0" borderId="5" xfId="0" applyNumberFormat="1" applyBorder="1"/>
    <xf numFmtId="0" fontId="23" fillId="0" borderId="32" xfId="0" applyFont="1" applyBorder="1"/>
    <xf numFmtId="0" fontId="23" fillId="0" borderId="32" xfId="0" applyFont="1" applyBorder="1" applyAlignment="1">
      <alignment horizontal="right"/>
    </xf>
    <xf numFmtId="9" fontId="0" fillId="0" borderId="0" xfId="0" applyNumberFormat="1"/>
    <xf numFmtId="0" fontId="23" fillId="33" borderId="0" xfId="0" applyFont="1" applyFill="1"/>
    <xf numFmtId="4" fontId="23" fillId="33" borderId="0" xfId="0" applyNumberFormat="1" applyFont="1" applyFill="1"/>
    <xf numFmtId="0" fontId="27" fillId="0" borderId="0" xfId="42"/>
    <xf numFmtId="0" fontId="27" fillId="0" borderId="0" xfId="42" applyFont="1"/>
    <xf numFmtId="0" fontId="0" fillId="0" borderId="0" xfId="0" applyAlignment="1"/>
    <xf numFmtId="0" fontId="23" fillId="0" borderId="0" xfId="0" applyFont="1" applyAlignment="1"/>
    <xf numFmtId="0" fontId="23" fillId="33" borderId="0" xfId="0" applyFont="1" applyFill="1" applyAlignment="1"/>
    <xf numFmtId="0" fontId="0" fillId="0" borderId="0" xfId="0" applyAlignment="1">
      <alignment wrapText="1"/>
    </xf>
    <xf numFmtId="0" fontId="0" fillId="0" borderId="0" xfId="0" applyAlignment="1"/>
    <xf numFmtId="0" fontId="28" fillId="0" borderId="35" xfId="0" applyFont="1" applyBorder="1"/>
    <xf numFmtId="1" fontId="28" fillId="0" borderId="36" xfId="0" applyNumberFormat="1" applyFont="1" applyBorder="1"/>
    <xf numFmtId="0" fontId="28" fillId="0" borderId="36" xfId="0" applyFont="1" applyBorder="1"/>
    <xf numFmtId="2" fontId="28" fillId="0" borderId="37" xfId="0" applyNumberFormat="1" applyFont="1" applyBorder="1"/>
    <xf numFmtId="0" fontId="29" fillId="0" borderId="0" xfId="0" applyFont="1"/>
    <xf numFmtId="0" fontId="29" fillId="0" borderId="38" xfId="0" applyFont="1" applyBorder="1"/>
    <xf numFmtId="0" fontId="29" fillId="0" borderId="39" xfId="0" applyFont="1" applyBorder="1"/>
    <xf numFmtId="1" fontId="29" fillId="0" borderId="39" xfId="0" applyNumberFormat="1" applyFont="1" applyBorder="1"/>
    <xf numFmtId="2" fontId="29" fillId="0" borderId="40" xfId="0" applyNumberFormat="1" applyFont="1" applyBorder="1"/>
    <xf numFmtId="0" fontId="29" fillId="0" borderId="33" xfId="0" applyFont="1" applyBorder="1"/>
    <xf numFmtId="0" fontId="29" fillId="0" borderId="7" xfId="0" applyFont="1" applyBorder="1"/>
    <xf numFmtId="1" fontId="29" fillId="0" borderId="7" xfId="0" applyNumberFormat="1" applyFont="1" applyBorder="1"/>
    <xf numFmtId="2" fontId="29" fillId="0" borderId="34" xfId="0" applyNumberFormat="1" applyFont="1" applyBorder="1"/>
    <xf numFmtId="0" fontId="29" fillId="0" borderId="41" xfId="0" applyFont="1" applyBorder="1"/>
    <xf numFmtId="0" fontId="29" fillId="0" borderId="42" xfId="0" applyFont="1" applyBorder="1"/>
    <xf numFmtId="1" fontId="29" fillId="0" borderId="42" xfId="0" applyNumberFormat="1" applyFont="1" applyBorder="1"/>
    <xf numFmtId="2" fontId="29" fillId="0" borderId="43" xfId="0" applyNumberFormat="1" applyFont="1" applyBorder="1"/>
    <xf numFmtId="1" fontId="29" fillId="0" borderId="46" xfId="0" applyNumberFormat="1" applyFont="1" applyBorder="1"/>
    <xf numFmtId="0" fontId="0" fillId="0" borderId="0" xfId="0" applyFill="1"/>
    <xf numFmtId="0" fontId="0" fillId="0" borderId="0" xfId="0" applyBorder="1"/>
    <xf numFmtId="2" fontId="0" fillId="0" borderId="0" xfId="0" applyNumberFormat="1" applyBorder="1"/>
    <xf numFmtId="0" fontId="23" fillId="0" borderId="0" xfId="0" applyFont="1" applyFill="1"/>
    <xf numFmtId="2" fontId="0" fillId="0" borderId="0" xfId="0" applyNumberFormat="1" applyFill="1"/>
    <xf numFmtId="4" fontId="23" fillId="0" borderId="0" xfId="0" applyNumberFormat="1" applyFont="1" applyFill="1"/>
    <xf numFmtId="0" fontId="23" fillId="0" borderId="0" xfId="0" applyFont="1" applyAlignment="1"/>
    <xf numFmtId="0" fontId="31" fillId="34" borderId="50" xfId="0" applyFont="1" applyFill="1" applyBorder="1" applyAlignment="1">
      <alignment horizontal="center" vertical="center" wrapText="1"/>
    </xf>
    <xf numFmtId="0" fontId="0" fillId="34" borderId="48" xfId="0" applyFill="1" applyBorder="1" applyAlignment="1">
      <alignment vertical="center" wrapText="1"/>
    </xf>
    <xf numFmtId="0" fontId="31" fillId="34" borderId="48" xfId="0" applyFont="1" applyFill="1" applyBorder="1" applyAlignment="1">
      <alignment horizontal="center" vertical="center" wrapText="1"/>
    </xf>
    <xf numFmtId="0" fontId="34" fillId="0" borderId="48" xfId="0" applyFont="1" applyBorder="1" applyAlignment="1">
      <alignment vertical="center" wrapText="1"/>
    </xf>
    <xf numFmtId="3" fontId="32" fillId="0" borderId="48" xfId="0" applyNumberFormat="1" applyFont="1" applyBorder="1" applyAlignment="1">
      <alignment horizontal="center" vertical="center" wrapText="1"/>
    </xf>
    <xf numFmtId="11" fontId="0" fillId="0" borderId="0" xfId="0" applyNumberFormat="1"/>
    <xf numFmtId="11" fontId="32" fillId="0" borderId="48" xfId="0" applyNumberFormat="1" applyFont="1" applyBorder="1" applyAlignment="1">
      <alignment horizontal="center" vertical="center" wrapText="1"/>
    </xf>
    <xf numFmtId="0" fontId="32" fillId="0" borderId="48" xfId="0" applyFont="1" applyBorder="1" applyAlignment="1">
      <alignment horizontal="center" vertical="center" wrapText="1"/>
    </xf>
    <xf numFmtId="0" fontId="34" fillId="0" borderId="48" xfId="0" applyFont="1" applyBorder="1" applyAlignment="1">
      <alignment horizontal="center" vertical="center" wrapText="1"/>
    </xf>
    <xf numFmtId="9" fontId="32" fillId="0" borderId="48" xfId="0" applyNumberFormat="1" applyFont="1" applyBorder="1" applyAlignment="1">
      <alignment horizontal="center" vertical="center" wrapText="1"/>
    </xf>
    <xf numFmtId="0" fontId="31" fillId="34" borderId="0" xfId="0" applyFont="1" applyFill="1" applyBorder="1" applyAlignment="1">
      <alignment horizontal="center" vertical="center" wrapText="1"/>
    </xf>
    <xf numFmtId="0" fontId="31" fillId="34" borderId="45" xfId="0" applyFont="1" applyFill="1" applyBorder="1" applyAlignment="1">
      <alignment horizontal="center" vertical="center" wrapText="1"/>
    </xf>
    <xf numFmtId="0" fontId="32" fillId="0" borderId="45" xfId="0" applyFont="1" applyBorder="1" applyAlignment="1">
      <alignment horizontal="center" vertical="center" wrapText="1"/>
    </xf>
    <xf numFmtId="0" fontId="30" fillId="0" borderId="0" xfId="0" applyFont="1" applyAlignment="1">
      <alignment vertical="center"/>
    </xf>
    <xf numFmtId="1" fontId="0" fillId="0" borderId="0" xfId="0" applyNumberFormat="1" applyFill="1"/>
    <xf numFmtId="0" fontId="23" fillId="0" borderId="0" xfId="0" applyFont="1" applyFill="1" applyBorder="1"/>
    <xf numFmtId="0" fontId="23" fillId="0" borderId="53" xfId="0" applyFont="1" applyFill="1" applyBorder="1"/>
    <xf numFmtId="0" fontId="0" fillId="0" borderId="53" xfId="0" applyBorder="1" applyAlignment="1"/>
    <xf numFmtId="0" fontId="23" fillId="0" borderId="53" xfId="0" applyFont="1" applyBorder="1" applyAlignment="1">
      <alignment horizontal="right"/>
    </xf>
    <xf numFmtId="1" fontId="23" fillId="33" borderId="32" xfId="0" applyNumberFormat="1" applyFont="1" applyFill="1" applyBorder="1" applyAlignment="1">
      <alignment horizontal="right"/>
    </xf>
    <xf numFmtId="4" fontId="23" fillId="33" borderId="54" xfId="0" applyNumberFormat="1" applyFont="1" applyFill="1" applyBorder="1" applyAlignment="1">
      <alignment horizontal="left" wrapText="1"/>
    </xf>
    <xf numFmtId="0" fontId="23" fillId="33" borderId="54" xfId="0" applyFont="1" applyFill="1" applyBorder="1"/>
    <xf numFmtId="1" fontId="23" fillId="33" borderId="54" xfId="0" applyNumberFormat="1" applyFont="1" applyFill="1" applyBorder="1"/>
    <xf numFmtId="2" fontId="0" fillId="33" borderId="54" xfId="0" applyNumberFormat="1" applyFill="1" applyBorder="1"/>
    <xf numFmtId="4" fontId="23" fillId="33" borderId="54" xfId="0" applyNumberFormat="1" applyFont="1" applyFill="1" applyBorder="1"/>
    <xf numFmtId="4" fontId="23" fillId="0" borderId="54" xfId="0" applyNumberFormat="1" applyFont="1" applyBorder="1"/>
    <xf numFmtId="1" fontId="0" fillId="0" borderId="54" xfId="0" applyNumberFormat="1" applyFill="1" applyBorder="1"/>
    <xf numFmtId="166" fontId="27" fillId="0" borderId="0" xfId="0" applyNumberFormat="1" applyFont="1"/>
    <xf numFmtId="166" fontId="0" fillId="0" borderId="0" xfId="0" applyNumberFormat="1"/>
    <xf numFmtId="166" fontId="1" fillId="0" borderId="7" xfId="0" applyNumberFormat="1" applyFont="1" applyBorder="1" applyAlignment="1">
      <alignment horizontal="center"/>
    </xf>
    <xf numFmtId="166" fontId="1" fillId="0" borderId="7" xfId="0" applyNumberFormat="1" applyFont="1" applyBorder="1" applyAlignment="1">
      <alignment horizontal="center" wrapText="1"/>
    </xf>
    <xf numFmtId="0" fontId="1" fillId="0" borderId="7" xfId="0" applyFont="1" applyBorder="1" applyAlignment="1">
      <alignment horizontal="center"/>
    </xf>
    <xf numFmtId="0" fontId="0" fillId="0" borderId="7" xfId="0" applyNumberFormat="1" applyBorder="1"/>
    <xf numFmtId="167" fontId="0" fillId="0" borderId="7" xfId="0" applyNumberFormat="1" applyBorder="1"/>
    <xf numFmtId="1" fontId="0" fillId="0" borderId="7" xfId="0" applyNumberFormat="1" applyBorder="1"/>
    <xf numFmtId="0" fontId="1" fillId="0" borderId="0" xfId="42" applyFont="1" applyAlignment="1"/>
    <xf numFmtId="0" fontId="2" fillId="0" borderId="0" xfId="0" applyFont="1" applyBorder="1" applyAlignment="1">
      <alignment horizontal="center" wrapText="1"/>
    </xf>
    <xf numFmtId="2" fontId="25" fillId="33" borderId="0" xfId="0" applyNumberFormat="1" applyFont="1" applyFill="1" applyBorder="1"/>
    <xf numFmtId="2" fontId="0" fillId="33" borderId="0" xfId="0" applyNumberFormat="1" applyFill="1" applyBorder="1"/>
    <xf numFmtId="4" fontId="0" fillId="33" borderId="0" xfId="0" applyNumberFormat="1" applyFill="1" applyBorder="1"/>
    <xf numFmtId="164" fontId="0" fillId="33" borderId="0" xfId="0" applyNumberFormat="1" applyFill="1" applyBorder="1"/>
    <xf numFmtId="165" fontId="0" fillId="33" borderId="0" xfId="0" applyNumberFormat="1" applyFill="1" applyBorder="1"/>
    <xf numFmtId="166" fontId="0" fillId="33" borderId="0" xfId="0" applyNumberFormat="1" applyFill="1" applyBorder="1"/>
    <xf numFmtId="0" fontId="1" fillId="0" borderId="0" xfId="0" applyFont="1" applyAlignment="1">
      <alignment horizontal="left"/>
    </xf>
    <xf numFmtId="0" fontId="36" fillId="0" borderId="0" xfId="0" applyFont="1" applyAlignment="1">
      <alignment horizontal="center"/>
    </xf>
    <xf numFmtId="0" fontId="1" fillId="0" borderId="55" xfId="0" applyFont="1" applyBorder="1"/>
    <xf numFmtId="0" fontId="1" fillId="0" borderId="56" xfId="0" applyFont="1" applyBorder="1" applyAlignment="1">
      <alignment horizontal="right"/>
    </xf>
    <xf numFmtId="0" fontId="1" fillId="0" borderId="57" xfId="0" applyFont="1" applyBorder="1" applyAlignment="1">
      <alignment horizontal="right"/>
    </xf>
    <xf numFmtId="0" fontId="0" fillId="0" borderId="58" xfId="0" applyBorder="1" applyAlignment="1">
      <alignment wrapText="1"/>
    </xf>
    <xf numFmtId="0" fontId="0" fillId="0" borderId="59" xfId="0" applyBorder="1"/>
    <xf numFmtId="0" fontId="0" fillId="0" borderId="58" xfId="0" applyBorder="1"/>
    <xf numFmtId="10" fontId="0" fillId="0" borderId="7" xfId="0" applyNumberFormat="1" applyBorder="1"/>
    <xf numFmtId="1" fontId="0" fillId="33" borderId="7" xfId="0" applyNumberFormat="1" applyFill="1" applyBorder="1"/>
    <xf numFmtId="167" fontId="0" fillId="33" borderId="7" xfId="0" applyNumberFormat="1" applyFill="1" applyBorder="1"/>
    <xf numFmtId="2" fontId="0" fillId="33" borderId="7" xfId="0" applyNumberFormat="1" applyFill="1" applyBorder="1"/>
    <xf numFmtId="0" fontId="1" fillId="0" borderId="58" xfId="0" applyFont="1" applyBorder="1"/>
    <xf numFmtId="0" fontId="1" fillId="0" borderId="7" xfId="0" applyFont="1" applyBorder="1"/>
    <xf numFmtId="2" fontId="0" fillId="0" borderId="59" xfId="0" applyNumberFormat="1" applyBorder="1"/>
    <xf numFmtId="0" fontId="0" fillId="0" borderId="60" xfId="0" applyBorder="1" applyAlignment="1">
      <alignment horizontal="right"/>
    </xf>
    <xf numFmtId="1" fontId="0" fillId="35" borderId="42" xfId="0" applyNumberFormat="1" applyFill="1" applyBorder="1"/>
    <xf numFmtId="0" fontId="0" fillId="0" borderId="61" xfId="0" applyBorder="1"/>
    <xf numFmtId="0" fontId="38" fillId="0" borderId="0" xfId="0" applyFont="1" applyAlignment="1">
      <alignment horizontal="left"/>
    </xf>
    <xf numFmtId="0" fontId="39" fillId="0" borderId="0" xfId="0" applyFont="1" applyAlignment="1">
      <alignment horizontal="left" wrapText="1"/>
    </xf>
    <xf numFmtId="0" fontId="39" fillId="0" borderId="0" xfId="0" applyFont="1" applyAlignment="1">
      <alignment wrapText="1"/>
    </xf>
    <xf numFmtId="1" fontId="1" fillId="0" borderId="55" xfId="0" applyNumberFormat="1" applyFont="1" applyBorder="1" applyAlignment="1">
      <alignment wrapText="1"/>
    </xf>
    <xf numFmtId="0" fontId="1" fillId="0" borderId="56" xfId="0" applyFont="1" applyBorder="1" applyAlignment="1">
      <alignment wrapText="1"/>
    </xf>
    <xf numFmtId="2" fontId="1" fillId="0" borderId="56" xfId="0" applyNumberFormat="1" applyFont="1" applyBorder="1" applyAlignment="1">
      <alignment wrapText="1"/>
    </xf>
    <xf numFmtId="2" fontId="1" fillId="0" borderId="57" xfId="0" applyNumberFormat="1" applyFont="1" applyBorder="1" applyAlignment="1">
      <alignment wrapText="1"/>
    </xf>
    <xf numFmtId="10" fontId="1" fillId="0" borderId="58" xfId="0" applyNumberFormat="1" applyFont="1" applyBorder="1"/>
    <xf numFmtId="1" fontId="0" fillId="0" borderId="59" xfId="0" applyNumberFormat="1" applyBorder="1"/>
    <xf numFmtId="10" fontId="0" fillId="0" borderId="58" xfId="0" applyNumberFormat="1" applyBorder="1"/>
    <xf numFmtId="0" fontId="1" fillId="0" borderId="58" xfId="0" applyFont="1" applyBorder="1" applyAlignment="1">
      <alignment horizontal="left"/>
    </xf>
    <xf numFmtId="1" fontId="1" fillId="0" borderId="59" xfId="0" applyNumberFormat="1" applyFont="1" applyBorder="1"/>
    <xf numFmtId="0" fontId="38" fillId="0" borderId="42" xfId="0" applyFont="1" applyBorder="1"/>
    <xf numFmtId="0" fontId="0" fillId="0" borderId="42" xfId="0" applyBorder="1"/>
    <xf numFmtId="2" fontId="0" fillId="0" borderId="42" xfId="0" applyNumberFormat="1" applyBorder="1"/>
    <xf numFmtId="165" fontId="1" fillId="0" borderId="61" xfId="0" applyNumberFormat="1" applyFont="1" applyBorder="1"/>
    <xf numFmtId="0" fontId="38" fillId="0" borderId="0" xfId="0" applyFont="1" applyBorder="1"/>
    <xf numFmtId="165" fontId="1" fillId="0" borderId="0" xfId="0" applyNumberFormat="1" applyFont="1" applyBorder="1"/>
    <xf numFmtId="0" fontId="27" fillId="0" borderId="0" xfId="0" applyFont="1"/>
    <xf numFmtId="0" fontId="1" fillId="0" borderId="0" xfId="0" applyFont="1"/>
    <xf numFmtId="0" fontId="27" fillId="0" borderId="0" xfId="0" applyFont="1" applyAlignment="1">
      <alignment wrapText="1"/>
    </xf>
    <xf numFmtId="0" fontId="1" fillId="0" borderId="7" xfId="0" applyFont="1" applyBorder="1" applyAlignment="1">
      <alignment wrapText="1"/>
    </xf>
    <xf numFmtId="11" fontId="0" fillId="0" borderId="7" xfId="0" applyNumberFormat="1" applyBorder="1"/>
    <xf numFmtId="0" fontId="27" fillId="0" borderId="7" xfId="0" applyFont="1" applyBorder="1"/>
    <xf numFmtId="1" fontId="27" fillId="0" borderId="7" xfId="0" applyNumberFormat="1" applyFont="1" applyBorder="1" applyAlignment="1">
      <alignment horizontal="right"/>
    </xf>
    <xf numFmtId="166" fontId="38" fillId="0" borderId="0" xfId="0" applyNumberFormat="1" applyFont="1"/>
    <xf numFmtId="165" fontId="0" fillId="0" borderId="7" xfId="0" applyNumberFormat="1" applyBorder="1"/>
    <xf numFmtId="0" fontId="23" fillId="0" borderId="0" xfId="0" applyFont="1" applyFill="1" applyAlignment="1"/>
    <xf numFmtId="9" fontId="41" fillId="0" borderId="0" xfId="0" applyNumberFormat="1" applyFont="1"/>
    <xf numFmtId="0" fontId="0" fillId="0" borderId="0" xfId="0" applyFont="1" applyFill="1" applyAlignment="1"/>
    <xf numFmtId="0" fontId="0" fillId="0" borderId="0" xfId="0" applyFont="1"/>
    <xf numFmtId="165" fontId="0" fillId="0" borderId="0" xfId="0" applyNumberFormat="1"/>
    <xf numFmtId="1" fontId="23" fillId="0" borderId="0" xfId="0" applyNumberFormat="1" applyFont="1"/>
    <xf numFmtId="0" fontId="0" fillId="0" borderId="0" xfId="0" applyAlignment="1">
      <alignment horizontal="left" wrapText="1"/>
    </xf>
    <xf numFmtId="0" fontId="1" fillId="0" borderId="0" xfId="42" applyFont="1" applyAlignment="1"/>
    <xf numFmtId="0" fontId="23" fillId="0" borderId="0" xfId="0" applyFont="1" applyAlignment="1"/>
    <xf numFmtId="0" fontId="27" fillId="0" borderId="0" xfId="0" applyFont="1" applyAlignment="1">
      <alignment wrapText="1"/>
    </xf>
    <xf numFmtId="0" fontId="23" fillId="0" borderId="0" xfId="0" applyFont="1" applyFill="1" applyAlignment="1"/>
    <xf numFmtId="0" fontId="0" fillId="0" borderId="0" xfId="0" applyAlignment="1"/>
    <xf numFmtId="0" fontId="39" fillId="0" borderId="0" xfId="0" applyFont="1" applyAlignment="1">
      <alignment horizontal="left" wrapText="1"/>
    </xf>
    <xf numFmtId="0" fontId="39" fillId="0" borderId="0" xfId="0" applyFont="1" applyAlignment="1">
      <alignment wrapText="1"/>
    </xf>
    <xf numFmtId="0" fontId="31" fillId="0" borderId="52" xfId="0" applyFont="1" applyFill="1" applyBorder="1" applyAlignment="1">
      <alignment horizontal="center" vertical="center" wrapText="1"/>
    </xf>
    <xf numFmtId="168" fontId="0" fillId="0" borderId="7" xfId="0" applyNumberFormat="1" applyBorder="1"/>
    <xf numFmtId="1" fontId="0" fillId="0" borderId="7" xfId="0" applyNumberFormat="1" applyFill="1" applyBorder="1"/>
    <xf numFmtId="0" fontId="1" fillId="0" borderId="7" xfId="0" applyFont="1" applyBorder="1" applyAlignment="1">
      <alignment horizontal="center" wrapText="1"/>
    </xf>
    <xf numFmtId="1" fontId="23" fillId="33" borderId="54" xfId="0" applyNumberFormat="1" applyFont="1" applyFill="1" applyBorder="1" applyAlignment="1">
      <alignment horizontal="right"/>
    </xf>
    <xf numFmtId="1" fontId="0" fillId="0" borderId="54" xfId="0" applyNumberFormat="1" applyFill="1" applyBorder="1" applyAlignment="1">
      <alignment horizontal="right"/>
    </xf>
    <xf numFmtId="1" fontId="28" fillId="0" borderId="44" xfId="0" applyNumberFormat="1" applyFont="1" applyBorder="1" applyAlignment="1">
      <alignment horizontal="right"/>
    </xf>
    <xf numFmtId="1" fontId="28" fillId="0" borderId="45" xfId="0" applyNumberFormat="1" applyFont="1" applyBorder="1" applyAlignment="1">
      <alignment horizontal="right"/>
    </xf>
    <xf numFmtId="0" fontId="23" fillId="0" borderId="5" xfId="0" applyFont="1" applyBorder="1" applyAlignment="1"/>
    <xf numFmtId="0" fontId="23" fillId="33" borderId="54" xfId="0" applyFont="1" applyFill="1" applyBorder="1" applyAlignment="1"/>
    <xf numFmtId="0" fontId="1" fillId="0" borderId="0" xfId="42" applyFont="1" applyAlignment="1"/>
    <xf numFmtId="0" fontId="23" fillId="0" borderId="0" xfId="0" applyFont="1" applyAlignment="1"/>
    <xf numFmtId="0" fontId="1" fillId="0" borderId="1" xfId="0" applyFont="1" applyBorder="1" applyAlignment="1">
      <alignment horizontal="center"/>
    </xf>
    <xf numFmtId="0" fontId="1" fillId="0" borderId="2" xfId="0" applyFont="1" applyBorder="1" applyAlignment="1">
      <alignment horizontal="center"/>
    </xf>
    <xf numFmtId="0" fontId="0" fillId="0" borderId="3" xfId="0"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3" fillId="0" borderId="6" xfId="0" applyFont="1" applyBorder="1" applyAlignment="1">
      <alignment horizontal="center"/>
    </xf>
    <xf numFmtId="0" fontId="23" fillId="0" borderId="8" xfId="0" applyFont="1" applyBorder="1" applyAlignment="1">
      <alignment horizontal="center"/>
    </xf>
    <xf numFmtId="0" fontId="0" fillId="0" borderId="0" xfId="0" applyAlignment="1">
      <alignment wrapText="1"/>
    </xf>
    <xf numFmtId="0" fontId="0" fillId="0" borderId="5" xfId="0" applyBorder="1" applyAlignment="1">
      <alignment wrapText="1"/>
    </xf>
    <xf numFmtId="0" fontId="23" fillId="0" borderId="0" xfId="0" applyFont="1" applyFill="1" applyAlignment="1"/>
    <xf numFmtId="0" fontId="0" fillId="0" borderId="0" xfId="0" applyFill="1" applyAlignment="1"/>
    <xf numFmtId="0" fontId="23" fillId="33" borderId="0" xfId="0" applyFont="1" applyFill="1" applyAlignment="1"/>
    <xf numFmtId="0" fontId="0" fillId="0" borderId="0" xfId="0" applyAlignment="1"/>
    <xf numFmtId="0" fontId="39" fillId="0" borderId="0" xfId="0" applyFont="1" applyAlignment="1">
      <alignment horizontal="left"/>
    </xf>
    <xf numFmtId="0" fontId="39" fillId="0" borderId="0" xfId="0" applyFont="1" applyAlignment="1"/>
    <xf numFmtId="0" fontId="27" fillId="0" borderId="0" xfId="42" applyFont="1" applyAlignment="1"/>
    <xf numFmtId="0" fontId="27" fillId="0" borderId="0" xfId="42" applyAlignment="1"/>
    <xf numFmtId="0" fontId="39" fillId="0" borderId="0" xfId="0" applyFont="1" applyAlignment="1">
      <alignment horizontal="left" wrapText="1"/>
    </xf>
    <xf numFmtId="0" fontId="39" fillId="0" borderId="0" xfId="0" applyFont="1" applyAlignment="1">
      <alignment wrapText="1"/>
    </xf>
    <xf numFmtId="0" fontId="0" fillId="0" borderId="0" xfId="0" applyAlignment="1">
      <alignment horizontal="left" wrapText="1"/>
    </xf>
    <xf numFmtId="0" fontId="1" fillId="0" borderId="8" xfId="0" applyFont="1" applyBorder="1" applyAlignment="1">
      <alignment horizontal="left"/>
    </xf>
    <xf numFmtId="0" fontId="27" fillId="0" borderId="0" xfId="0" applyFont="1" applyAlignment="1">
      <alignment wrapText="1"/>
    </xf>
    <xf numFmtId="0" fontId="1" fillId="0" borderId="5" xfId="0" applyFont="1" applyBorder="1" applyAlignment="1">
      <alignment horizontal="left" wrapText="1"/>
    </xf>
    <xf numFmtId="0" fontId="38" fillId="0" borderId="5" xfId="0" applyFont="1" applyBorder="1" applyAlignment="1">
      <alignment horizontal="left" wrapText="1"/>
    </xf>
    <xf numFmtId="0" fontId="23" fillId="0" borderId="54" xfId="0" applyFont="1" applyFill="1" applyBorder="1" applyAlignment="1"/>
    <xf numFmtId="0" fontId="0" fillId="0" borderId="54" xfId="0" applyBorder="1" applyAlignment="1"/>
    <xf numFmtId="166" fontId="27" fillId="0" borderId="0" xfId="0" applyNumberFormat="1" applyFont="1" applyAlignment="1"/>
    <xf numFmtId="0" fontId="28" fillId="0" borderId="0" xfId="0" applyFont="1" applyAlignment="1">
      <alignment vertical="center" wrapText="1"/>
    </xf>
    <xf numFmtId="0" fontId="35" fillId="0" borderId="0" xfId="45" applyAlignment="1">
      <alignment vertical="center" wrapText="1"/>
    </xf>
    <xf numFmtId="0" fontId="33" fillId="0" borderId="47" xfId="0" applyFont="1" applyBorder="1" applyAlignment="1">
      <alignment horizontal="center" vertical="center" textRotation="90" wrapText="1"/>
    </xf>
    <xf numFmtId="0" fontId="33" fillId="0" borderId="50" xfId="0" applyFont="1" applyBorder="1" applyAlignment="1">
      <alignment horizontal="center" vertical="center" textRotation="90" wrapText="1"/>
    </xf>
    <xf numFmtId="0" fontId="33" fillId="0" borderId="48" xfId="0" applyFont="1" applyBorder="1" applyAlignment="1">
      <alignment horizontal="center" vertical="center" textRotation="90" wrapText="1"/>
    </xf>
    <xf numFmtId="0" fontId="31" fillId="34" borderId="51" xfId="0" applyFont="1" applyFill="1" applyBorder="1" applyAlignment="1">
      <alignment vertical="center" wrapText="1"/>
    </xf>
    <xf numFmtId="0" fontId="31" fillId="34" borderId="49" xfId="0" applyFont="1" applyFill="1" applyBorder="1" applyAlignment="1">
      <alignment vertical="center" wrapText="1"/>
    </xf>
    <xf numFmtId="0" fontId="31" fillId="34" borderId="0" xfId="0" applyFont="1" applyFill="1" applyBorder="1" applyAlignment="1">
      <alignment horizontal="center" vertical="center" wrapText="1"/>
    </xf>
    <xf numFmtId="0" fontId="31" fillId="34" borderId="50" xfId="0" applyFont="1" applyFill="1" applyBorder="1" applyAlignment="1">
      <alignment horizontal="center" vertical="center" wrapText="1"/>
    </xf>
    <xf numFmtId="0" fontId="31" fillId="34" borderId="45" xfId="0" applyFont="1" applyFill="1" applyBorder="1" applyAlignment="1">
      <alignment horizontal="center" vertical="center" wrapText="1"/>
    </xf>
    <xf numFmtId="0" fontId="31" fillId="34" borderId="48" xfId="0" applyFont="1" applyFill="1" applyBorder="1" applyAlignment="1">
      <alignment horizontal="center" vertical="center" wrapText="1"/>
    </xf>
    <xf numFmtId="0" fontId="31" fillId="34" borderId="52" xfId="0" applyFont="1" applyFill="1" applyBorder="1" applyAlignment="1">
      <alignment horizontal="center" vertical="center" wrapText="1"/>
    </xf>
    <xf numFmtId="0" fontId="31" fillId="34" borderId="47" xfId="0" applyFont="1" applyFill="1" applyBorder="1" applyAlignment="1">
      <alignment horizontal="center" vertical="center" wrapText="1"/>
    </xf>
    <xf numFmtId="0" fontId="31" fillId="0" borderId="52" xfId="0" applyFont="1" applyFill="1" applyBorder="1" applyAlignment="1">
      <alignment horizontal="center" vertical="center"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5" builtinId="8"/>
    <cellStyle name="Input" xfId="34" builtinId="20" customBuiltin="1"/>
    <cellStyle name="Linked Cell" xfId="35" builtinId="24" customBuiltin="1"/>
    <cellStyle name="Neutral" xfId="36" builtinId="28" customBuiltin="1"/>
    <cellStyle name="Normal" xfId="0" builtinId="0"/>
    <cellStyle name="Normal 2" xfId="43"/>
    <cellStyle name="Normal 3" xfId="42"/>
    <cellStyle name="Note" xfId="37" builtinId="10" customBuiltin="1"/>
    <cellStyle name="Note 2" xfId="44"/>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106</xdr:row>
      <xdr:rowOff>0</xdr:rowOff>
    </xdr:from>
    <xdr:to>
      <xdr:col>8</xdr:col>
      <xdr:colOff>342900</xdr:colOff>
      <xdr:row>118</xdr:row>
      <xdr:rowOff>152400</xdr:rowOff>
    </xdr:to>
    <xdr:sp macro="" textlink="">
      <xdr:nvSpPr>
        <xdr:cNvPr id="2" name="TextBox 1"/>
        <xdr:cNvSpPr txBox="1"/>
      </xdr:nvSpPr>
      <xdr:spPr>
        <a:xfrm>
          <a:off x="0" y="21018500"/>
          <a:ext cx="9283700" cy="228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itchFamily="34" charset="0"/>
              <a:cs typeface="Arial" pitchFamily="34" charset="0"/>
            </a:rPr>
            <a:t>Introduction:The</a:t>
          </a:r>
          <a:r>
            <a:rPr lang="en-US" sz="1100"/>
            <a:t> City has conducted several medium sized projects  directed to control sediment/soil loss within this watershed.  Surveys conducted by City staff on 09/24/12 indicated that the  drainage area is generally in good condition with good cover.  It is estimated however, that sheet erosion on the order of 3 tons per area would be  expected  even in areas with good cover since shade and other hydrologicl factors such as steep slopes result in small percentages of lawn areas that have poor to very poor cover or are  open and exposed to rain drop impact and severe erosion.  North Florida soils are high in naturally ocurring phoshorus with levels of 60 parts per millon or more.being very common.  Consequently, in Tallahassee hills region sediment transport delivers significant </a:t>
          </a:r>
          <a:r>
            <a:rPr lang="en-US" sz="1100">
              <a:latin typeface="Arial" pitchFamily="34" charset="0"/>
              <a:cs typeface="Arial" pitchFamily="34" charset="0"/>
            </a:rPr>
            <a:t>amounts of</a:t>
          </a:r>
          <a:r>
            <a:rPr lang="en-US" sz="1100"/>
            <a:t> phosphorus to area lakes.  The top soil carried in runoff</a:t>
          </a:r>
          <a:r>
            <a:rPr lang="en-US" sz="1100" baseline="0"/>
            <a:t> also cariries  significant levels of organic  nitrogen associated  decaying plant material  at levels of approximately 5 times the level of phosphorus.  </a:t>
          </a:r>
          <a:r>
            <a:rPr lang="en-US" sz="1100"/>
            <a:t>While this material is not immediately available for algal growth it  releases a steady supply of both nutrients to the water column as the organic material slowly degrades.  BMPs to adress this condition will include but not be limited to homeowner outreach/education to encourage use of mulch, planting of shade tolerant  vegatative cover  on open areas, practices to slow the flow of runoff and a focus on lawn maintenance to reduce the amount of leaves  and loose sediment that gets blown or raked</a:t>
          </a:r>
          <a:r>
            <a:rPr lang="en-US" sz="1100" baseline="0"/>
            <a:t> </a:t>
          </a:r>
          <a:r>
            <a:rPr lang="en-US" sz="1100"/>
            <a:t>into  streets.. At 3 tons per acre it has been estimated by soil scientists  that it would take about 50 years to remove 1.25  inches of top soil  and is considered sustaninable and protective of the environment.</a:t>
          </a:r>
          <a:r>
            <a:rPr lang="en-US" sz="1100" baseline="0"/>
            <a:t> Therefore a</a:t>
          </a:r>
          <a:r>
            <a:rPr lang="en-US" sz="1100"/>
            <a:t>  reduction to 2 tons per acre would provide  a significant increase in the level of  resource protection.  Given a sediment delivery ratio of 0.25 these levels equate to .75 and .5 tons /acre de3livered to receiving waters respectively.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xdr:colOff>
      <xdr:row>105</xdr:row>
      <xdr:rowOff>76200</xdr:rowOff>
    </xdr:from>
    <xdr:to>
      <xdr:col>8</xdr:col>
      <xdr:colOff>426720</xdr:colOff>
      <xdr:row>120</xdr:row>
      <xdr:rowOff>167640</xdr:rowOff>
    </xdr:to>
    <xdr:sp macro="" textlink="">
      <xdr:nvSpPr>
        <xdr:cNvPr id="2" name="TextBox 1"/>
        <xdr:cNvSpPr txBox="1"/>
      </xdr:nvSpPr>
      <xdr:spPr>
        <a:xfrm>
          <a:off x="53340" y="22166580"/>
          <a:ext cx="8046720" cy="2834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latin typeface="+mn-lt"/>
              <a:ea typeface="+mn-ea"/>
              <a:cs typeface="+mn-cs"/>
            </a:rPr>
            <a:t>Introduction:  </a:t>
          </a:r>
          <a:r>
            <a:rPr lang="en-US" sz="1100" b="0">
              <a:solidFill>
                <a:schemeClr val="dk1"/>
              </a:solidFill>
              <a:latin typeface="+mn-lt"/>
              <a:ea typeface="+mn-ea"/>
              <a:cs typeface="+mn-cs"/>
            </a:rPr>
            <a:t>The</a:t>
          </a:r>
          <a:r>
            <a:rPr lang="en-US" sz="1100" b="1"/>
            <a:t> </a:t>
          </a:r>
          <a:r>
            <a:rPr lang="en-US" sz="1100"/>
            <a:t>City has conducted several medium sized projects  directed to control sediment/soil loss within this watershed.  Surveys conducted by City staff on 09/24/12 indicated that the  drainage area is generally in good condition with good cover.  It is estimated however, that sheet erosion on the order of 3 tons per area would be  expected  even in areas with good cover since shade and other hydrologic factors such as steep slopes result in small percentages of lawn areas that have poor to very poor cover or are  open and exposed to rain drop impact and severe erosion.  North Florida soils are high in naturally ocurring phoshorus with levels of 60 parts per millon or more.being very common.  Consequently, in the Tallahassee hills region sediment transport delivers significant </a:t>
          </a:r>
          <a:r>
            <a:rPr lang="en-US" sz="1100">
              <a:solidFill>
                <a:schemeClr val="dk1"/>
              </a:solidFill>
              <a:latin typeface="+mn-lt"/>
              <a:ea typeface="+mn-ea"/>
              <a:cs typeface="+mn-cs"/>
            </a:rPr>
            <a:t>amounts</a:t>
          </a:r>
          <a:r>
            <a:rPr lang="en-US" sz="1100">
              <a:latin typeface="Arial" pitchFamily="34" charset="0"/>
              <a:cs typeface="Arial" pitchFamily="34" charset="0"/>
            </a:rPr>
            <a:t> </a:t>
          </a:r>
          <a:r>
            <a:rPr lang="en-US" sz="1100">
              <a:solidFill>
                <a:schemeClr val="dk1"/>
              </a:solidFill>
              <a:latin typeface="+mn-lt"/>
              <a:ea typeface="+mn-ea"/>
              <a:cs typeface="+mn-cs"/>
            </a:rPr>
            <a:t>of</a:t>
          </a:r>
          <a:r>
            <a:rPr lang="en-US" sz="1100"/>
            <a:t> phosphorus to area lakes.  The top soil carried in runoff</a:t>
          </a:r>
          <a:r>
            <a:rPr lang="en-US" sz="1100" baseline="0"/>
            <a:t> also carries  significant levels of organic  nitrogen associated  decaying plant material  at levels of approximately 5 times the level of phosphorus.  </a:t>
          </a:r>
          <a:r>
            <a:rPr lang="en-US" sz="1100"/>
            <a:t>While this material is not immediately available for algal growth it  releases a steady supply of both nutrients to the water column as the organic material slowly degrades.  BMPs to address this condition will include but not be limited to homeowner outreach/education to encourage use of mulch, planting of shade tolerant  vegatative cover  on open areas, practices to slow the flow of runoff and a focus on lawn maintenance to reduce the amount of leaves  and loose sediment that gets blown or raked</a:t>
          </a:r>
          <a:r>
            <a:rPr lang="en-US" sz="1100" baseline="0"/>
            <a:t> </a:t>
          </a:r>
          <a:r>
            <a:rPr lang="en-US" sz="1100"/>
            <a:t>into  streets. At 3 tons per acre it has been estimated by soil scientists  that it would take about 50 years to remove 1.25  inches of top soil  and is considered sustainable and protective of the environment.</a:t>
          </a:r>
          <a:r>
            <a:rPr lang="en-US" sz="1100" baseline="0"/>
            <a:t> Therefore a</a:t>
          </a:r>
          <a:r>
            <a:rPr lang="en-US" sz="1100"/>
            <a:t>  reduction to 2 tons per acre would provide  a significant increase in the level of  resource protection.  Given a sediment delivery ratio of 0.25 these levels equate to .75 and .5 tons /acre delivered to receiving waters respectively.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xjo/Documents/Tech%20Assist/Killearn%20HOA/LandUse_ResidentialUnits_KillearnyW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LULC Stats"/>
      <sheetName val="Electric Customers"/>
    </sheetNames>
    <sheetDataSet>
      <sheetData sheetId="0"/>
      <sheetData sheetId="1">
        <row r="4">
          <cell r="C4">
            <v>5685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38"/>
  <sheetViews>
    <sheetView workbookViewId="0">
      <selection activeCell="I12" sqref="I12"/>
    </sheetView>
  </sheetViews>
  <sheetFormatPr defaultRowHeight="15"/>
  <cols>
    <col min="4" max="4" width="64.7109375" bestFit="1" customWidth="1"/>
  </cols>
  <sheetData>
    <row r="1" spans="1:10" ht="15.75" thickBot="1">
      <c r="G1" s="81"/>
      <c r="H1" s="81"/>
    </row>
    <row r="2" spans="1:10" ht="15.75" thickBot="1">
      <c r="A2" s="63" t="s">
        <v>83</v>
      </c>
      <c r="B2" s="65" t="s">
        <v>84</v>
      </c>
      <c r="C2" s="65" t="s">
        <v>85</v>
      </c>
      <c r="D2" s="64" t="s">
        <v>86</v>
      </c>
      <c r="E2" s="66" t="s">
        <v>0</v>
      </c>
      <c r="F2" s="67"/>
      <c r="G2" s="64" t="s">
        <v>87</v>
      </c>
      <c r="H2" s="66" t="s">
        <v>0</v>
      </c>
    </row>
    <row r="3" spans="1:10" ht="16.5" thickTop="1" thickBot="1">
      <c r="A3" s="68">
        <f t="shared" ref="A3:A37" si="0">LEFT(B3,1)*1000</f>
        <v>1000</v>
      </c>
      <c r="B3" s="69">
        <f t="shared" ref="B3:B37" si="1">LEFT(C3,2)*100</f>
        <v>1100</v>
      </c>
      <c r="C3" s="69" t="str">
        <f t="shared" ref="C3:C37" si="2">LEFT(D3,4)</f>
        <v>1110</v>
      </c>
      <c r="D3" s="70" t="s">
        <v>88</v>
      </c>
      <c r="E3" s="71">
        <v>491.67</v>
      </c>
      <c r="F3" s="67"/>
      <c r="G3" s="64" t="s">
        <v>2</v>
      </c>
      <c r="H3" s="66">
        <f>SUMIF($B$3:B37,B3,$E$3:$E$37)</f>
        <v>491.68</v>
      </c>
    </row>
    <row r="4" spans="1:10" ht="16.5" thickTop="1" thickBot="1">
      <c r="A4" s="72">
        <f t="shared" si="0"/>
        <v>1000</v>
      </c>
      <c r="B4" s="73">
        <f t="shared" si="1"/>
        <v>1100</v>
      </c>
      <c r="C4" s="73" t="str">
        <f t="shared" si="2"/>
        <v>1190</v>
      </c>
      <c r="D4" s="74" t="s">
        <v>89</v>
      </c>
      <c r="E4" s="75">
        <v>0.01</v>
      </c>
      <c r="F4" s="67"/>
      <c r="G4" s="64" t="s">
        <v>4</v>
      </c>
      <c r="H4" s="66">
        <f ca="1">SUMIF($B$3:B38,B5,$E$3:$E$37)</f>
        <v>2441.81</v>
      </c>
    </row>
    <row r="5" spans="1:10" ht="16.5" thickTop="1" thickBot="1">
      <c r="A5" s="72">
        <f t="shared" si="0"/>
        <v>1000</v>
      </c>
      <c r="B5" s="73">
        <f t="shared" si="1"/>
        <v>1200</v>
      </c>
      <c r="C5" s="73" t="str">
        <f t="shared" si="2"/>
        <v>1210</v>
      </c>
      <c r="D5" s="74" t="s">
        <v>22</v>
      </c>
      <c r="E5" s="75">
        <v>2366.6799999999998</v>
      </c>
      <c r="F5" s="67"/>
      <c r="G5" s="64" t="s">
        <v>6</v>
      </c>
      <c r="H5" s="66">
        <f>SUMIF($B$3:$B$37,B8,$E$3:$E$37)</f>
        <v>425.12</v>
      </c>
      <c r="J5" s="2"/>
    </row>
    <row r="6" spans="1:10" ht="16.5" thickTop="1" thickBot="1">
      <c r="A6" s="72">
        <f t="shared" si="0"/>
        <v>1000</v>
      </c>
      <c r="B6" s="73">
        <f t="shared" si="1"/>
        <v>1200</v>
      </c>
      <c r="C6" s="73" t="str">
        <f t="shared" si="2"/>
        <v>1230</v>
      </c>
      <c r="D6" s="74" t="s">
        <v>90</v>
      </c>
      <c r="E6" s="75">
        <v>5.98</v>
      </c>
      <c r="F6" s="67"/>
      <c r="G6" s="64" t="s">
        <v>8</v>
      </c>
      <c r="H6" s="66">
        <f>SUMIF($B$3:$B$37,1500,$E$3:$E$37)</f>
        <v>0</v>
      </c>
      <c r="J6" s="2"/>
    </row>
    <row r="7" spans="1:10" ht="16.5" thickTop="1" thickBot="1">
      <c r="A7" s="72">
        <f t="shared" si="0"/>
        <v>1000</v>
      </c>
      <c r="B7" s="73">
        <f t="shared" si="1"/>
        <v>1200</v>
      </c>
      <c r="C7" s="73" t="str">
        <f t="shared" si="2"/>
        <v>1290</v>
      </c>
      <c r="D7" s="74" t="s">
        <v>91</v>
      </c>
      <c r="E7" s="75">
        <v>69.150000000000006</v>
      </c>
      <c r="F7" s="67"/>
      <c r="G7" s="64" t="s">
        <v>80</v>
      </c>
      <c r="H7" s="66">
        <f>SUMIF($B$3:$B$37,B34,$E$3:$E$37)</f>
        <v>52.38</v>
      </c>
      <c r="J7" s="2"/>
    </row>
    <row r="8" spans="1:10" ht="16.5" thickTop="1" thickBot="1">
      <c r="A8" s="72">
        <f t="shared" si="0"/>
        <v>1000</v>
      </c>
      <c r="B8" s="73">
        <f t="shared" si="1"/>
        <v>1300</v>
      </c>
      <c r="C8" s="73" t="str">
        <f t="shared" si="2"/>
        <v>1310</v>
      </c>
      <c r="D8" s="74" t="s">
        <v>12</v>
      </c>
      <c r="E8" s="75">
        <v>290.45</v>
      </c>
      <c r="F8" s="67"/>
      <c r="G8" s="64" t="s">
        <v>11</v>
      </c>
      <c r="H8" s="66">
        <f>SUMIF($B$3:$B$37,B12,$E$3:$E$37)+SUMIF($B$3:$B$37,B13,$E$3:$E$37)+SUMIF($B$3:$B$37,B35,$E$3:$E$37)+SUMIF($B$3:$B$37,B36,$E$3:$E$37)</f>
        <v>215.3</v>
      </c>
    </row>
    <row r="9" spans="1:10" ht="16.5" thickTop="1" thickBot="1">
      <c r="A9" s="72">
        <f t="shared" si="0"/>
        <v>1000</v>
      </c>
      <c r="B9" s="73">
        <f t="shared" si="1"/>
        <v>1300</v>
      </c>
      <c r="C9" s="73" t="str">
        <f t="shared" si="2"/>
        <v>1330</v>
      </c>
      <c r="D9" s="74" t="s">
        <v>9</v>
      </c>
      <c r="E9" s="75">
        <v>46.13</v>
      </c>
      <c r="F9" s="67"/>
      <c r="G9" s="64" t="s">
        <v>13</v>
      </c>
      <c r="H9" s="66">
        <f>SUMIF($B$3:$B$37,B14,$E$3:$E$37)+SUMIF($B$3:$B$37,B15,$E$3:$E$37)</f>
        <v>185.45</v>
      </c>
      <c r="J9" s="2"/>
    </row>
    <row r="10" spans="1:10" ht="16.5" thickTop="1" thickBot="1">
      <c r="A10" s="72">
        <f t="shared" si="0"/>
        <v>1000</v>
      </c>
      <c r="B10" s="73">
        <f t="shared" si="1"/>
        <v>1300</v>
      </c>
      <c r="C10" s="73" t="str">
        <f t="shared" si="2"/>
        <v>1340</v>
      </c>
      <c r="D10" s="74" t="s">
        <v>92</v>
      </c>
      <c r="E10" s="75">
        <v>25.19</v>
      </c>
      <c r="F10" s="67"/>
      <c r="G10" s="64" t="s">
        <v>15</v>
      </c>
      <c r="H10" s="66">
        <f>+SUMIF($A$3:$A$37,A19,$E$3:$E$37)</f>
        <v>619.41</v>
      </c>
    </row>
    <row r="11" spans="1:10" ht="16.5" thickTop="1" thickBot="1">
      <c r="A11" s="72">
        <f t="shared" si="0"/>
        <v>1000</v>
      </c>
      <c r="B11" s="73">
        <f t="shared" si="1"/>
        <v>1300</v>
      </c>
      <c r="C11" s="73" t="str">
        <f t="shared" si="2"/>
        <v>1390</v>
      </c>
      <c r="D11" s="74" t="s">
        <v>93</v>
      </c>
      <c r="E11" s="75">
        <v>63.35</v>
      </c>
      <c r="F11" s="67"/>
      <c r="G11" s="64" t="s">
        <v>16</v>
      </c>
      <c r="H11" s="66">
        <f>SUMIF($A$3:$A$37,A24,$E$3:$E$37)+SUMIF($A$3:$A$37,A26,$E$3:$E$37)</f>
        <v>446.38</v>
      </c>
    </row>
    <row r="12" spans="1:10" ht="16.5" thickTop="1" thickBot="1">
      <c r="A12" s="72">
        <f t="shared" si="0"/>
        <v>1000</v>
      </c>
      <c r="B12" s="73">
        <f t="shared" si="1"/>
        <v>1400</v>
      </c>
      <c r="C12" s="73" t="str">
        <f t="shared" si="2"/>
        <v>1400</v>
      </c>
      <c r="D12" s="74" t="s">
        <v>23</v>
      </c>
      <c r="E12" s="75">
        <v>101.43</v>
      </c>
      <c r="F12" s="67"/>
      <c r="G12" s="64" t="s">
        <v>60</v>
      </c>
      <c r="H12" s="66">
        <f>SUMIF($A$3:$A$37,A16,$E$3:$E$37)+SUMIF($A$3:$A$37,A18,$E$3:$E$37)</f>
        <v>66.430000000000007</v>
      </c>
    </row>
    <row r="13" spans="1:10" ht="16.5" thickTop="1" thickBot="1">
      <c r="A13" s="72">
        <f t="shared" si="0"/>
        <v>1000</v>
      </c>
      <c r="B13" s="73">
        <f t="shared" si="1"/>
        <v>1700</v>
      </c>
      <c r="C13" s="73" t="str">
        <f t="shared" si="2"/>
        <v>1700</v>
      </c>
      <c r="D13" s="74" t="s">
        <v>21</v>
      </c>
      <c r="E13" s="75">
        <v>48.62</v>
      </c>
      <c r="F13" s="67"/>
      <c r="G13" s="64" t="s">
        <v>18</v>
      </c>
      <c r="H13" s="66">
        <f ca="1">SUM(H3:H12)</f>
        <v>4943.96</v>
      </c>
    </row>
    <row r="14" spans="1:10" ht="15.75" thickTop="1">
      <c r="A14" s="72">
        <f t="shared" si="0"/>
        <v>1000</v>
      </c>
      <c r="B14" s="73">
        <f t="shared" si="1"/>
        <v>1800</v>
      </c>
      <c r="C14" s="73" t="str">
        <f t="shared" si="2"/>
        <v>1820</v>
      </c>
      <c r="D14" s="74" t="s">
        <v>7</v>
      </c>
      <c r="E14" s="75">
        <v>182.73</v>
      </c>
      <c r="F14" s="67"/>
    </row>
    <row r="15" spans="1:10">
      <c r="A15" s="72">
        <f t="shared" si="0"/>
        <v>1000</v>
      </c>
      <c r="B15" s="73">
        <f t="shared" si="1"/>
        <v>1900</v>
      </c>
      <c r="C15" s="73" t="str">
        <f t="shared" si="2"/>
        <v>1900</v>
      </c>
      <c r="D15" s="74" t="s">
        <v>94</v>
      </c>
      <c r="E15" s="75">
        <v>2.72</v>
      </c>
      <c r="F15" s="67"/>
    </row>
    <row r="16" spans="1:10">
      <c r="A16" s="72">
        <f t="shared" si="0"/>
        <v>2000</v>
      </c>
      <c r="B16" s="73">
        <f t="shared" si="1"/>
        <v>2100</v>
      </c>
      <c r="C16" s="73" t="str">
        <f t="shared" si="2"/>
        <v>2110</v>
      </c>
      <c r="D16" s="74" t="s">
        <v>95</v>
      </c>
      <c r="E16" s="75">
        <v>13.9</v>
      </c>
      <c r="F16" s="67"/>
    </row>
    <row r="17" spans="1:6">
      <c r="A17" s="72">
        <f t="shared" si="0"/>
        <v>2000</v>
      </c>
      <c r="B17" s="73">
        <f t="shared" si="1"/>
        <v>2200</v>
      </c>
      <c r="C17" s="73" t="str">
        <f t="shared" si="2"/>
        <v>2230</v>
      </c>
      <c r="D17" s="74" t="s">
        <v>96</v>
      </c>
      <c r="E17" s="75">
        <v>18.14</v>
      </c>
      <c r="F17" s="67"/>
    </row>
    <row r="18" spans="1:6">
      <c r="A18" s="72">
        <f t="shared" si="0"/>
        <v>3000</v>
      </c>
      <c r="B18" s="73">
        <f t="shared" si="1"/>
        <v>3100</v>
      </c>
      <c r="C18" s="73" t="str">
        <f t="shared" si="2"/>
        <v>3100</v>
      </c>
      <c r="D18" s="74" t="s">
        <v>5</v>
      </c>
      <c r="E18" s="75">
        <v>34.39</v>
      </c>
      <c r="F18" s="67"/>
    </row>
    <row r="19" spans="1:6">
      <c r="A19" s="72">
        <f t="shared" si="0"/>
        <v>4000</v>
      </c>
      <c r="B19" s="73">
        <f t="shared" si="1"/>
        <v>4100</v>
      </c>
      <c r="C19" s="73" t="str">
        <f t="shared" si="2"/>
        <v>4100</v>
      </c>
      <c r="D19" s="74" t="s">
        <v>97</v>
      </c>
      <c r="E19" s="75">
        <v>217.75</v>
      </c>
      <c r="F19" s="67"/>
    </row>
    <row r="20" spans="1:6">
      <c r="A20" s="72">
        <f t="shared" si="0"/>
        <v>4000</v>
      </c>
      <c r="B20" s="73">
        <f t="shared" si="1"/>
        <v>4100</v>
      </c>
      <c r="C20" s="73" t="str">
        <f t="shared" si="2"/>
        <v>4110</v>
      </c>
      <c r="D20" s="74" t="s">
        <v>98</v>
      </c>
      <c r="E20" s="75">
        <v>15.79</v>
      </c>
      <c r="F20" s="67"/>
    </row>
    <row r="21" spans="1:6">
      <c r="A21" s="72">
        <f t="shared" si="0"/>
        <v>4000</v>
      </c>
      <c r="B21" s="73">
        <f t="shared" si="1"/>
        <v>4200</v>
      </c>
      <c r="C21" s="73" t="str">
        <f t="shared" si="2"/>
        <v>4200</v>
      </c>
      <c r="D21" s="74" t="s">
        <v>19</v>
      </c>
      <c r="E21" s="75">
        <v>38.869999999999997</v>
      </c>
      <c r="F21" s="67"/>
    </row>
    <row r="22" spans="1:6">
      <c r="A22" s="72">
        <f t="shared" si="0"/>
        <v>4000</v>
      </c>
      <c r="B22" s="73">
        <f t="shared" si="1"/>
        <v>4300</v>
      </c>
      <c r="C22" s="73" t="str">
        <f t="shared" si="2"/>
        <v>4340</v>
      </c>
      <c r="D22" s="74" t="s">
        <v>20</v>
      </c>
      <c r="E22" s="75">
        <v>270.64</v>
      </c>
      <c r="F22" s="67"/>
    </row>
    <row r="23" spans="1:6">
      <c r="A23" s="72">
        <f t="shared" si="0"/>
        <v>4000</v>
      </c>
      <c r="B23" s="73">
        <f t="shared" si="1"/>
        <v>4400</v>
      </c>
      <c r="C23" s="73" t="str">
        <f t="shared" si="2"/>
        <v>4410</v>
      </c>
      <c r="D23" s="74" t="s">
        <v>99</v>
      </c>
      <c r="E23" s="75">
        <v>76.36</v>
      </c>
      <c r="F23" s="67"/>
    </row>
    <row r="24" spans="1:6">
      <c r="A24" s="72">
        <f t="shared" si="0"/>
        <v>5000</v>
      </c>
      <c r="B24" s="73">
        <f t="shared" si="1"/>
        <v>5200</v>
      </c>
      <c r="C24" s="73" t="str">
        <f t="shared" si="2"/>
        <v>5200</v>
      </c>
      <c r="D24" s="74" t="s">
        <v>14</v>
      </c>
      <c r="E24" s="75">
        <v>236.67</v>
      </c>
      <c r="F24" s="67"/>
    </row>
    <row r="25" spans="1:6">
      <c r="A25" s="72">
        <f t="shared" si="0"/>
        <v>5000</v>
      </c>
      <c r="B25" s="73">
        <f t="shared" si="1"/>
        <v>5300</v>
      </c>
      <c r="C25" s="73" t="str">
        <f t="shared" si="2"/>
        <v>5300</v>
      </c>
      <c r="D25" s="74" t="s">
        <v>3</v>
      </c>
      <c r="E25" s="75">
        <v>23.91</v>
      </c>
      <c r="F25" s="67"/>
    </row>
    <row r="26" spans="1:6">
      <c r="A26" s="72">
        <f t="shared" si="0"/>
        <v>6000</v>
      </c>
      <c r="B26" s="73">
        <f t="shared" si="1"/>
        <v>6100</v>
      </c>
      <c r="C26" s="73" t="str">
        <f t="shared" si="2"/>
        <v>6170</v>
      </c>
      <c r="D26" s="74" t="s">
        <v>100</v>
      </c>
      <c r="E26" s="75">
        <v>49.26</v>
      </c>
      <c r="F26" s="67"/>
    </row>
    <row r="27" spans="1:6">
      <c r="A27" s="72">
        <f t="shared" si="0"/>
        <v>6000</v>
      </c>
      <c r="B27" s="73">
        <f t="shared" si="1"/>
        <v>6200</v>
      </c>
      <c r="C27" s="73" t="str">
        <f t="shared" si="2"/>
        <v>6210</v>
      </c>
      <c r="D27" s="74" t="s">
        <v>101</v>
      </c>
      <c r="E27" s="75">
        <v>0.91</v>
      </c>
      <c r="F27" s="67"/>
    </row>
    <row r="28" spans="1:6">
      <c r="A28" s="72">
        <f t="shared" si="0"/>
        <v>6000</v>
      </c>
      <c r="B28" s="73">
        <f t="shared" si="1"/>
        <v>6200</v>
      </c>
      <c r="C28" s="73" t="str">
        <f t="shared" si="2"/>
        <v>6250</v>
      </c>
      <c r="D28" s="74" t="s">
        <v>102</v>
      </c>
      <c r="E28" s="75">
        <v>5.84</v>
      </c>
      <c r="F28" s="67"/>
    </row>
    <row r="29" spans="1:6">
      <c r="A29" s="72">
        <f t="shared" si="0"/>
        <v>6000</v>
      </c>
      <c r="B29" s="73">
        <f t="shared" si="1"/>
        <v>6300</v>
      </c>
      <c r="C29" s="73" t="str">
        <f t="shared" si="2"/>
        <v>6300</v>
      </c>
      <c r="D29" s="74" t="s">
        <v>103</v>
      </c>
      <c r="E29" s="75">
        <v>88.31</v>
      </c>
      <c r="F29" s="67"/>
    </row>
    <row r="30" spans="1:6">
      <c r="A30" s="72">
        <f t="shared" si="0"/>
        <v>6000</v>
      </c>
      <c r="B30" s="73">
        <f t="shared" si="1"/>
        <v>6400</v>
      </c>
      <c r="C30" s="73" t="str">
        <f t="shared" si="2"/>
        <v>6410</v>
      </c>
      <c r="D30" s="74" t="s">
        <v>104</v>
      </c>
      <c r="E30" s="75">
        <v>19.72</v>
      </c>
      <c r="F30" s="67"/>
    </row>
    <row r="31" spans="1:6">
      <c r="A31" s="72">
        <f t="shared" si="0"/>
        <v>6000</v>
      </c>
      <c r="B31" s="73">
        <f t="shared" si="1"/>
        <v>6400</v>
      </c>
      <c r="C31" s="73" t="str">
        <f t="shared" si="2"/>
        <v>6430</v>
      </c>
      <c r="D31" s="74" t="s">
        <v>105</v>
      </c>
      <c r="E31" s="75">
        <v>15.04</v>
      </c>
      <c r="F31" s="67"/>
    </row>
    <row r="32" spans="1:6">
      <c r="A32" s="72">
        <f t="shared" si="0"/>
        <v>6000</v>
      </c>
      <c r="B32" s="73">
        <f t="shared" si="1"/>
        <v>6400</v>
      </c>
      <c r="C32" s="73" t="str">
        <f t="shared" si="2"/>
        <v>6440</v>
      </c>
      <c r="D32" s="74" t="s">
        <v>106</v>
      </c>
      <c r="E32" s="75">
        <v>4.66</v>
      </c>
      <c r="F32" s="67"/>
    </row>
    <row r="33" spans="1:6">
      <c r="A33" s="72">
        <f t="shared" si="0"/>
        <v>6000</v>
      </c>
      <c r="B33" s="73">
        <f t="shared" si="1"/>
        <v>6400</v>
      </c>
      <c r="C33" s="73" t="str">
        <f t="shared" si="2"/>
        <v>6460</v>
      </c>
      <c r="D33" s="74" t="s">
        <v>107</v>
      </c>
      <c r="E33" s="75">
        <v>2.06</v>
      </c>
      <c r="F33" s="67"/>
    </row>
    <row r="34" spans="1:6">
      <c r="A34" s="72">
        <f t="shared" si="0"/>
        <v>8000</v>
      </c>
      <c r="B34" s="73">
        <f t="shared" si="1"/>
        <v>8100</v>
      </c>
      <c r="C34" s="73" t="str">
        <f t="shared" si="2"/>
        <v>8140</v>
      </c>
      <c r="D34" s="74" t="s">
        <v>1</v>
      </c>
      <c r="E34" s="75">
        <v>52.38</v>
      </c>
      <c r="F34" s="67"/>
    </row>
    <row r="35" spans="1:6">
      <c r="A35" s="72">
        <f t="shared" si="0"/>
        <v>8000</v>
      </c>
      <c r="B35" s="73">
        <f t="shared" si="1"/>
        <v>8200</v>
      </c>
      <c r="C35" s="73" t="str">
        <f t="shared" si="2"/>
        <v>8200</v>
      </c>
      <c r="D35" s="74" t="s">
        <v>108</v>
      </c>
      <c r="E35" s="75">
        <v>0.27</v>
      </c>
      <c r="F35" s="67"/>
    </row>
    <row r="36" spans="1:6">
      <c r="A36" s="72">
        <f t="shared" si="0"/>
        <v>8000</v>
      </c>
      <c r="B36" s="73">
        <f t="shared" si="1"/>
        <v>8300</v>
      </c>
      <c r="C36" s="73" t="str">
        <f t="shared" si="2"/>
        <v>8330</v>
      </c>
      <c r="D36" s="74" t="s">
        <v>109</v>
      </c>
      <c r="E36" s="75">
        <v>0.97</v>
      </c>
      <c r="F36" s="67"/>
    </row>
    <row r="37" spans="1:6" ht="15.75" thickBot="1">
      <c r="A37" s="76">
        <f t="shared" si="0"/>
        <v>8000</v>
      </c>
      <c r="B37" s="77">
        <f t="shared" si="1"/>
        <v>8300</v>
      </c>
      <c r="C37" s="77" t="str">
        <f t="shared" si="2"/>
        <v>8370</v>
      </c>
      <c r="D37" s="78" t="s">
        <v>17</v>
      </c>
      <c r="E37" s="79">
        <v>64.010000000000005</v>
      </c>
      <c r="F37" s="67"/>
    </row>
    <row r="38" spans="1:6" ht="16.5" thickTop="1" thickBot="1">
      <c r="A38" s="196" t="s">
        <v>110</v>
      </c>
      <c r="B38" s="197"/>
      <c r="C38" s="197"/>
      <c r="D38" s="197"/>
      <c r="E38" s="80">
        <f t="shared" ref="E38" si="3">SUM(E3:E37)</f>
        <v>4943.9600000000009</v>
      </c>
      <c r="F38" s="67"/>
    </row>
  </sheetData>
  <mergeCells count="1">
    <mergeCell ref="A38:D3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W141"/>
  <sheetViews>
    <sheetView tabSelected="1" view="pageBreakPreview" zoomScale="60" zoomScaleNormal="100" workbookViewId="0">
      <selection activeCell="G44" sqref="G44"/>
    </sheetView>
  </sheetViews>
  <sheetFormatPr defaultRowHeight="15"/>
  <cols>
    <col min="1" max="1" width="31.28515625" customWidth="1"/>
    <col min="2" max="2" width="14.7109375" customWidth="1"/>
    <col min="3" max="3" width="15.28515625" customWidth="1"/>
    <col min="4" max="4" width="16.85546875" customWidth="1"/>
    <col min="5" max="5" width="16.140625" customWidth="1"/>
    <col min="6" max="6" width="12.28515625" customWidth="1"/>
    <col min="7" max="7" width="14.140625" bestFit="1" customWidth="1"/>
    <col min="8" max="8" width="14.7109375" customWidth="1"/>
    <col min="9" max="9" width="12.7109375" bestFit="1" customWidth="1"/>
    <col min="10" max="10" width="12.5703125" bestFit="1" customWidth="1"/>
    <col min="12" max="12" width="32.7109375" bestFit="1" customWidth="1"/>
    <col min="14" max="14" width="32.7109375" bestFit="1" customWidth="1"/>
    <col min="19" max="19" width="13.140625" customWidth="1"/>
  </cols>
  <sheetData>
    <row r="1" spans="1:23" s="2" customFormat="1">
      <c r="A1" s="2" t="s">
        <v>111</v>
      </c>
    </row>
    <row r="2" spans="1:23">
      <c r="A2" s="214" t="s">
        <v>24</v>
      </c>
      <c r="B2" s="214"/>
      <c r="C2" s="3">
        <v>59.23</v>
      </c>
      <c r="D2" s="214" t="s">
        <v>25</v>
      </c>
      <c r="E2" s="214"/>
      <c r="F2" s="4" t="s">
        <v>26</v>
      </c>
      <c r="G2" s="4"/>
      <c r="H2" s="2"/>
      <c r="I2" s="2"/>
      <c r="J2" s="2"/>
      <c r="K2" s="2"/>
      <c r="L2" s="2"/>
      <c r="M2" s="2"/>
      <c r="N2" s="2"/>
      <c r="O2" s="2"/>
      <c r="P2" s="2"/>
      <c r="Q2" s="2"/>
      <c r="R2" s="2"/>
      <c r="S2" s="2"/>
      <c r="T2" s="2"/>
      <c r="U2" s="2"/>
      <c r="V2" s="2"/>
      <c r="W2" s="2"/>
    </row>
    <row r="3" spans="1:23">
      <c r="A3" s="214" t="s">
        <v>27</v>
      </c>
      <c r="B3" s="214"/>
      <c r="C3" s="3">
        <v>0.98</v>
      </c>
      <c r="D3" s="2" t="s">
        <v>28</v>
      </c>
      <c r="E3" s="4"/>
      <c r="F3" s="4"/>
      <c r="G3" s="4"/>
      <c r="H3" s="2"/>
      <c r="I3" s="2"/>
      <c r="J3" s="2"/>
      <c r="K3" s="2"/>
      <c r="L3" s="2"/>
      <c r="M3" s="2"/>
      <c r="N3" s="2"/>
      <c r="O3" s="2"/>
      <c r="P3" s="2"/>
      <c r="Q3" s="2"/>
      <c r="R3" s="2"/>
      <c r="S3" s="2"/>
      <c r="T3" s="2"/>
      <c r="U3" s="2"/>
      <c r="V3" s="2"/>
      <c r="W3" s="2"/>
    </row>
    <row r="4" spans="1:23">
      <c r="A4" s="5"/>
      <c r="B4" s="5"/>
      <c r="C4" s="3"/>
      <c r="D4" s="2"/>
      <c r="E4" s="4"/>
      <c r="F4" s="4"/>
      <c r="G4" s="4"/>
      <c r="H4" s="2"/>
      <c r="I4" s="2"/>
      <c r="J4" s="2"/>
      <c r="K4" s="2"/>
      <c r="L4" s="2"/>
      <c r="M4" s="2"/>
      <c r="N4" s="2"/>
      <c r="O4" s="2"/>
      <c r="P4" s="2"/>
      <c r="Q4" s="2"/>
      <c r="R4" s="2"/>
      <c r="S4" s="2"/>
      <c r="T4" s="2"/>
      <c r="U4" s="2"/>
      <c r="V4" s="2"/>
      <c r="W4" s="2"/>
    </row>
    <row r="5" spans="1:23">
      <c r="A5" s="2"/>
      <c r="B5" s="6" t="s">
        <v>29</v>
      </c>
      <c r="C5" s="4"/>
      <c r="D5" s="44" t="s">
        <v>61</v>
      </c>
      <c r="E5" s="7" t="s">
        <v>30</v>
      </c>
      <c r="F5" s="7" t="s">
        <v>30</v>
      </c>
      <c r="G5" s="7"/>
      <c r="I5" s="7"/>
      <c r="J5" s="7"/>
      <c r="K5" s="7"/>
      <c r="L5" s="8"/>
      <c r="M5" s="2"/>
      <c r="N5" s="2"/>
      <c r="O5" s="2"/>
      <c r="P5" s="2"/>
      <c r="Q5" s="2"/>
      <c r="R5" s="2"/>
      <c r="S5" s="2"/>
      <c r="T5" s="2"/>
      <c r="U5" s="2"/>
    </row>
    <row r="6" spans="1:23">
      <c r="A6" s="8" t="s">
        <v>31</v>
      </c>
      <c r="B6" s="8" t="s">
        <v>32</v>
      </c>
      <c r="C6" s="7" t="s">
        <v>0</v>
      </c>
      <c r="D6" s="44" t="s">
        <v>33</v>
      </c>
      <c r="E6" s="7" t="s">
        <v>34</v>
      </c>
      <c r="F6" s="7" t="s">
        <v>35</v>
      </c>
      <c r="G6" s="7"/>
      <c r="H6" s="7" t="s">
        <v>252</v>
      </c>
      <c r="I6" s="7"/>
      <c r="J6" s="7"/>
      <c r="K6" s="7"/>
      <c r="L6" s="202" t="s">
        <v>36</v>
      </c>
      <c r="M6" s="203"/>
      <c r="N6" s="204"/>
      <c r="O6" s="2"/>
      <c r="P6" s="2"/>
      <c r="Q6" s="2"/>
      <c r="R6" s="2"/>
      <c r="S6" s="2"/>
      <c r="T6" s="2"/>
      <c r="U6" s="2"/>
    </row>
    <row r="7" spans="1:23">
      <c r="A7" s="2" t="s">
        <v>2</v>
      </c>
      <c r="B7" s="9">
        <f t="shared" ref="B7:B14" si="0">VLOOKUP(A7,$M$9:$N$21,2,0)</f>
        <v>0.3</v>
      </c>
      <c r="C7" s="4">
        <f>LANDUSE!H3</f>
        <v>491.68</v>
      </c>
      <c r="D7" s="4">
        <f t="shared" ref="D7:D14" si="1">RRF*C7*B7*Rainfall/12</f>
        <v>713.49405680000007</v>
      </c>
      <c r="E7" s="4">
        <f>$D$7*1233481.84*VLOOKUP($A$7,$L$28:$T$39,4,0)*0.000002204623</f>
        <v>2561.1285946408516</v>
      </c>
      <c r="F7" s="4">
        <f t="shared" ref="F7:F14" si="2">D7*1233481.84*VLOOKUP(A7,$L$28:$T$39,5,0)*0.000002204623</f>
        <v>2192.4812969273953</v>
      </c>
      <c r="G7" s="4"/>
      <c r="H7" s="53">
        <f ca="1">C7/$C$15</f>
        <v>9.945064280455343E-2</v>
      </c>
      <c r="I7" s="4"/>
      <c r="J7" s="4"/>
      <c r="K7" s="4"/>
      <c r="L7" s="205" t="s">
        <v>37</v>
      </c>
      <c r="M7" s="206"/>
      <c r="N7" s="207"/>
      <c r="O7" s="2"/>
      <c r="P7" s="2"/>
      <c r="Q7" s="2"/>
      <c r="R7" s="2"/>
      <c r="S7" s="2"/>
      <c r="T7" s="2"/>
      <c r="U7" s="2"/>
    </row>
    <row r="8" spans="1:23">
      <c r="A8" s="2" t="s">
        <v>4</v>
      </c>
      <c r="B8" s="9">
        <f t="shared" si="0"/>
        <v>0.45</v>
      </c>
      <c r="C8" s="4">
        <f ca="1">LANDUSE!H4</f>
        <v>2441.81</v>
      </c>
      <c r="D8" s="4">
        <f t="shared" ca="1" si="1"/>
        <v>5315.0939315249989</v>
      </c>
      <c r="E8" s="4">
        <f t="shared" ref="E8:E14" ca="1" si="3">D8*1233481.84*VLOOKUP(A8,$L$28:$T$39,4,0)*0.000002204623</f>
        <v>24571.233514906129</v>
      </c>
      <c r="F8" s="4">
        <f t="shared" ca="1" si="2"/>
        <v>6937.7600512676127</v>
      </c>
      <c r="G8" s="4"/>
      <c r="H8" s="53">
        <f t="shared" ref="H8:H14" ca="1" si="4">C8/$C$15</f>
        <v>0.49389760434954971</v>
      </c>
      <c r="I8" s="4"/>
      <c r="J8" s="4"/>
      <c r="K8" s="4"/>
      <c r="L8" s="10" t="s">
        <v>38</v>
      </c>
      <c r="M8" s="10" t="s">
        <v>39</v>
      </c>
      <c r="N8" s="11" t="s">
        <v>40</v>
      </c>
      <c r="O8" s="2"/>
      <c r="P8" s="2"/>
      <c r="Q8" s="2"/>
      <c r="R8" s="2"/>
      <c r="S8" s="2"/>
      <c r="T8" s="2"/>
      <c r="U8" s="2"/>
    </row>
    <row r="9" spans="1:23">
      <c r="A9" s="2" t="s">
        <v>6</v>
      </c>
      <c r="B9" s="9">
        <f t="shared" si="0"/>
        <v>0.6</v>
      </c>
      <c r="C9" s="4">
        <f>LANDUSE!H5</f>
        <v>425.12</v>
      </c>
      <c r="D9" s="4">
        <f t="shared" si="1"/>
        <v>1233.8130223999999</v>
      </c>
      <c r="E9" s="4">
        <f t="shared" si="3"/>
        <v>5838.0215248013938</v>
      </c>
      <c r="F9" s="4">
        <f t="shared" si="2"/>
        <v>1241.4183702163884</v>
      </c>
      <c r="G9" s="4"/>
      <c r="H9" s="53">
        <f t="shared" ca="1" si="4"/>
        <v>8.5987750709957206E-2</v>
      </c>
      <c r="I9" s="4"/>
      <c r="J9" s="4"/>
      <c r="K9" s="4"/>
      <c r="L9" s="12" t="s">
        <v>41</v>
      </c>
      <c r="M9" s="12" t="s">
        <v>2</v>
      </c>
      <c r="N9" s="13">
        <v>0.3</v>
      </c>
      <c r="O9" s="2"/>
      <c r="P9" s="2"/>
      <c r="Q9" s="2"/>
      <c r="R9" s="2"/>
      <c r="S9" s="2"/>
      <c r="T9" s="2"/>
      <c r="U9" s="2"/>
    </row>
    <row r="10" spans="1:23">
      <c r="A10" s="2" t="s">
        <v>11</v>
      </c>
      <c r="B10" s="9">
        <f t="shared" si="0"/>
        <v>0.72499999999999998</v>
      </c>
      <c r="C10" s="4">
        <f>LANDUSE!H8</f>
        <v>215.3</v>
      </c>
      <c r="D10" s="4">
        <f t="shared" si="1"/>
        <v>755.03763329166668</v>
      </c>
      <c r="E10" s="4">
        <f t="shared" si="3"/>
        <v>2155.8820254742245</v>
      </c>
      <c r="F10" s="4">
        <f t="shared" si="2"/>
        <v>451.70861486126608</v>
      </c>
      <c r="G10" s="4"/>
      <c r="H10" s="53">
        <f t="shared" ca="1" si="4"/>
        <v>4.3548086958632354E-2</v>
      </c>
      <c r="I10" s="4"/>
      <c r="J10" s="4"/>
      <c r="K10" s="4"/>
      <c r="L10" s="12" t="s">
        <v>42</v>
      </c>
      <c r="M10" s="12" t="s">
        <v>4</v>
      </c>
      <c r="N10" s="13">
        <v>0.45</v>
      </c>
      <c r="O10" s="2"/>
      <c r="P10" s="2"/>
      <c r="Q10" s="2"/>
      <c r="R10" s="2"/>
      <c r="S10" s="2"/>
      <c r="T10" s="2"/>
      <c r="U10" s="2"/>
    </row>
    <row r="11" spans="1:23">
      <c r="A11" s="2" t="s">
        <v>13</v>
      </c>
      <c r="B11" s="9">
        <f t="shared" si="0"/>
        <v>0.2</v>
      </c>
      <c r="C11" s="4">
        <f>LANDUSE!H9</f>
        <v>185.45</v>
      </c>
      <c r="D11" s="4">
        <f t="shared" si="1"/>
        <v>179.40865716666664</v>
      </c>
      <c r="E11" s="4">
        <f t="shared" si="3"/>
        <v>1136.7537891642382</v>
      </c>
      <c r="F11" s="4">
        <f t="shared" si="2"/>
        <v>551.30119388651894</v>
      </c>
      <c r="G11" s="4"/>
      <c r="H11" s="53">
        <f t="shared" ca="1" si="4"/>
        <v>3.7510416750944582E-2</v>
      </c>
      <c r="I11" s="4"/>
      <c r="J11" s="4"/>
      <c r="K11" s="4"/>
      <c r="L11" s="12" t="s">
        <v>43</v>
      </c>
      <c r="M11" s="12" t="s">
        <v>6</v>
      </c>
      <c r="N11" s="13">
        <v>0.6</v>
      </c>
      <c r="O11" s="2"/>
      <c r="P11" s="2"/>
      <c r="Q11" s="2"/>
      <c r="R11" s="2"/>
      <c r="S11" s="2"/>
      <c r="T11" s="2"/>
      <c r="U11" s="2"/>
    </row>
    <row r="12" spans="1:23">
      <c r="A12" s="2" t="s">
        <v>15</v>
      </c>
      <c r="B12" s="9">
        <f t="shared" si="0"/>
        <v>0.2</v>
      </c>
      <c r="C12" s="4">
        <f>LANDUSE!H10+LANDUSE!H12</f>
        <v>685.83999999999992</v>
      </c>
      <c r="D12" s="4">
        <f t="shared" si="1"/>
        <v>663.49761893333323</v>
      </c>
      <c r="E12" s="4">
        <f t="shared" si="3"/>
        <v>1425.3894952672063</v>
      </c>
      <c r="F12" s="4">
        <f t="shared" si="2"/>
        <v>198.47195503720593</v>
      </c>
      <c r="G12" s="4"/>
      <c r="H12" s="53">
        <f t="shared" ca="1" si="4"/>
        <v>0.1387228052006893</v>
      </c>
      <c r="I12" s="4"/>
      <c r="J12" s="4"/>
      <c r="K12" s="4"/>
      <c r="L12" s="12" t="s">
        <v>44</v>
      </c>
      <c r="M12" s="12" t="s">
        <v>11</v>
      </c>
      <c r="N12" s="13">
        <v>0.72499999999999998</v>
      </c>
      <c r="O12" s="2"/>
      <c r="P12" s="2"/>
      <c r="Q12" s="2"/>
      <c r="R12" s="2"/>
      <c r="S12" s="2"/>
      <c r="T12" s="2"/>
      <c r="U12" s="2"/>
    </row>
    <row r="13" spans="1:23" s="2" customFormat="1">
      <c r="A13" s="2" t="s">
        <v>80</v>
      </c>
      <c r="B13" s="9">
        <f t="shared" si="0"/>
        <v>0.78</v>
      </c>
      <c r="C13" s="4">
        <f>LANDUSE!H7</f>
        <v>52.38</v>
      </c>
      <c r="D13" s="4">
        <f t="shared" ref="D13" si="5">RRF*C13*B13*Rainfall/12</f>
        <v>197.62717338000002</v>
      </c>
      <c r="E13" s="4">
        <f t="shared" si="3"/>
        <v>590.62448255732386</v>
      </c>
      <c r="F13" s="4">
        <f t="shared" si="2"/>
        <v>89.211705281633996</v>
      </c>
      <c r="G13" s="4"/>
      <c r="H13" s="53">
        <f t="shared" ca="1" si="4"/>
        <v>1.0594745912183757E-2</v>
      </c>
      <c r="I13" s="4"/>
      <c r="J13" s="4"/>
      <c r="K13" s="4"/>
      <c r="L13" s="12"/>
      <c r="M13" s="12"/>
      <c r="N13" s="13"/>
    </row>
    <row r="14" spans="1:23">
      <c r="A14" s="2" t="s">
        <v>16</v>
      </c>
      <c r="B14" s="9">
        <f t="shared" si="0"/>
        <v>1</v>
      </c>
      <c r="C14" s="4">
        <f>LANDUSE!H11</f>
        <v>446.38</v>
      </c>
      <c r="D14" s="4">
        <f t="shared" si="1"/>
        <v>2159.1921376666664</v>
      </c>
      <c r="E14" s="4">
        <f t="shared" si="3"/>
        <v>5754.1934683757299</v>
      </c>
      <c r="F14" s="4">
        <f t="shared" si="2"/>
        <v>2466.0829150181694</v>
      </c>
      <c r="G14" s="4"/>
      <c r="H14" s="53">
        <f t="shared" ca="1" si="4"/>
        <v>9.0287947313489589E-2</v>
      </c>
      <c r="I14" s="4"/>
      <c r="J14" s="4"/>
      <c r="K14" s="4"/>
      <c r="L14" s="12" t="s">
        <v>45</v>
      </c>
      <c r="M14" s="12" t="s">
        <v>8</v>
      </c>
      <c r="N14" s="13">
        <v>0.73</v>
      </c>
      <c r="O14" s="2"/>
      <c r="P14" s="2"/>
      <c r="Q14" s="2"/>
      <c r="R14" s="2"/>
      <c r="S14" s="2"/>
      <c r="T14" s="2"/>
      <c r="U14" s="2"/>
    </row>
    <row r="15" spans="1:23">
      <c r="A15" s="84" t="s">
        <v>73</v>
      </c>
      <c r="B15" s="85"/>
      <c r="C15" s="86">
        <f ca="1">SUM(C7:C14)</f>
        <v>4943.96</v>
      </c>
      <c r="D15" s="86">
        <f ca="1">SUM(D7:D14)</f>
        <v>11217.164231163333</v>
      </c>
      <c r="E15" s="86">
        <f ca="1">SUM(E7:E14)</f>
        <v>44033.226895187086</v>
      </c>
      <c r="F15" s="86">
        <f t="shared" ref="F15" ca="1" si="6">SUM(F7:F14)</f>
        <v>14128.436102496189</v>
      </c>
      <c r="G15" s="7"/>
      <c r="H15" s="7"/>
      <c r="I15" s="7"/>
      <c r="J15" s="7"/>
      <c r="K15" s="7"/>
      <c r="L15" s="12" t="s">
        <v>46</v>
      </c>
      <c r="M15" s="12" t="s">
        <v>10</v>
      </c>
      <c r="N15" s="13">
        <v>0.73</v>
      </c>
      <c r="O15" s="2"/>
      <c r="P15" s="2"/>
      <c r="Q15" s="2"/>
      <c r="R15" s="2"/>
      <c r="S15" s="2"/>
      <c r="T15" s="2"/>
      <c r="U15" s="2"/>
    </row>
    <row r="16" spans="1:23" s="2" customFormat="1">
      <c r="A16" s="84" t="s">
        <v>114</v>
      </c>
      <c r="B16" s="85"/>
      <c r="C16" s="86"/>
      <c r="D16" s="86">
        <v>0.51</v>
      </c>
      <c r="E16" s="86"/>
      <c r="F16" s="86"/>
      <c r="G16" s="7"/>
      <c r="H16" s="7"/>
      <c r="I16" s="7"/>
      <c r="J16" s="7"/>
      <c r="K16" s="7"/>
      <c r="L16" s="12" t="s">
        <v>81</v>
      </c>
      <c r="M16" s="12" t="s">
        <v>80</v>
      </c>
      <c r="N16" s="13">
        <v>0.78</v>
      </c>
      <c r="O16" s="2" t="s">
        <v>82</v>
      </c>
    </row>
    <row r="17" spans="1:21" s="2" customFormat="1">
      <c r="A17" s="54" t="s">
        <v>115</v>
      </c>
      <c r="B17" s="1"/>
      <c r="C17" s="55"/>
      <c r="D17" s="55">
        <f ca="1">D15*$D$16</f>
        <v>5720.7537578932997</v>
      </c>
      <c r="E17" s="55">
        <f t="shared" ref="E17:F17" ca="1" si="7">E15*$D$16</f>
        <v>22456.945716545415</v>
      </c>
      <c r="F17" s="55">
        <f t="shared" ca="1" si="7"/>
        <v>7205.5024122730565</v>
      </c>
      <c r="G17" s="7"/>
      <c r="H17" s="7">
        <f ca="1">D17/(C15*(Rainfall/12))</f>
        <v>0.23443250036812596</v>
      </c>
      <c r="I17" s="7" t="s">
        <v>210</v>
      </c>
      <c r="J17" s="7"/>
      <c r="K17" s="7"/>
      <c r="L17" s="12"/>
      <c r="M17" s="12"/>
      <c r="N17" s="13"/>
    </row>
    <row r="18" spans="1:21" s="2" customFormat="1" ht="15.75" thickBot="1">
      <c r="A18" s="211" t="s">
        <v>77</v>
      </c>
      <c r="B18" s="212"/>
      <c r="C18" s="212"/>
      <c r="D18" s="212"/>
      <c r="E18" s="86"/>
      <c r="F18" s="86"/>
      <c r="G18" s="7"/>
      <c r="H18" s="7"/>
      <c r="I18" s="7"/>
      <c r="J18" s="7"/>
      <c r="K18" s="7"/>
      <c r="L18" s="12"/>
      <c r="M18" s="12"/>
      <c r="N18" s="13"/>
    </row>
    <row r="19" spans="1:21" ht="15.75" thickTop="1">
      <c r="A19" s="104" t="s">
        <v>145</v>
      </c>
      <c r="B19" s="105"/>
      <c r="C19" s="105"/>
      <c r="D19" s="105"/>
      <c r="E19" s="106" t="s">
        <v>64</v>
      </c>
      <c r="F19" s="106" t="s">
        <v>71</v>
      </c>
      <c r="G19" s="106" t="s">
        <v>65</v>
      </c>
      <c r="K19" s="4"/>
      <c r="L19" s="12" t="s">
        <v>47</v>
      </c>
      <c r="M19" s="12" t="s">
        <v>13</v>
      </c>
      <c r="N19" s="13">
        <v>0.2</v>
      </c>
      <c r="O19" s="2"/>
      <c r="P19" s="2"/>
      <c r="Q19" s="2"/>
      <c r="R19" s="2"/>
      <c r="S19" s="2"/>
      <c r="T19" s="2"/>
      <c r="U19" s="2"/>
    </row>
    <row r="20" spans="1:21" ht="30" customHeight="1">
      <c r="A20" s="209" t="s">
        <v>78</v>
      </c>
      <c r="B20" s="209"/>
      <c r="C20" s="209"/>
      <c r="D20" s="209"/>
      <c r="E20" s="102">
        <f ca="1">$C8*0.6*43.56*4*0.31*0.12</f>
        <v>9496.2889486080003</v>
      </c>
      <c r="F20" s="102">
        <f ca="1">$C8*0.6*43.56*0.5*(0.31-(0.31*0.2))*0.2</f>
        <v>1582.7148247680002</v>
      </c>
      <c r="G20" s="102">
        <f ca="1">F20*0.44</f>
        <v>696.39452289792007</v>
      </c>
      <c r="H20" t="s">
        <v>74</v>
      </c>
      <c r="K20" s="4"/>
      <c r="L20" s="12" t="s">
        <v>48</v>
      </c>
      <c r="M20" s="12" t="s">
        <v>15</v>
      </c>
      <c r="N20" s="13">
        <v>0.2</v>
      </c>
      <c r="O20" s="2"/>
      <c r="P20" s="2"/>
      <c r="Q20" s="2"/>
      <c r="R20" s="2"/>
      <c r="S20" s="2"/>
      <c r="T20" s="2"/>
      <c r="U20" s="2"/>
    </row>
    <row r="21" spans="1:21" ht="30" customHeight="1">
      <c r="A21" s="209" t="s">
        <v>79</v>
      </c>
      <c r="B21" s="209"/>
      <c r="C21" s="209"/>
      <c r="D21" s="209"/>
      <c r="E21" s="102">
        <f>$C9*0.45*43.56*4*0.31*0.12</f>
        <v>1239.9804933119999</v>
      </c>
      <c r="F21" s="102">
        <f>$C9*0.6*43.56*0.5*0.248*0.2</f>
        <v>275.551220736</v>
      </c>
      <c r="G21" s="102">
        <f>F21*0.44</f>
        <v>121.24253712384001</v>
      </c>
      <c r="H21" t="s">
        <v>75</v>
      </c>
      <c r="K21" s="7"/>
      <c r="L21" s="12" t="s">
        <v>49</v>
      </c>
      <c r="M21" s="12" t="s">
        <v>16</v>
      </c>
      <c r="N21" s="13">
        <v>1</v>
      </c>
      <c r="O21" s="2"/>
      <c r="P21" s="2"/>
      <c r="Q21" s="2"/>
      <c r="R21" s="2"/>
      <c r="S21" s="2"/>
      <c r="T21" s="2"/>
      <c r="U21" s="2"/>
    </row>
    <row r="22" spans="1:21" s="2" customFormat="1" ht="30" customHeight="1">
      <c r="A22" s="210" t="s">
        <v>112</v>
      </c>
      <c r="B22" s="210"/>
      <c r="C22" s="210"/>
      <c r="D22" s="210"/>
      <c r="E22" s="102">
        <f>$C7*0.8*43.56*4*0.31*0.12</f>
        <v>2549.5488184320002</v>
      </c>
      <c r="F22" s="102">
        <f>$C7*0.8*43.56*0.5*0.248*0.2</f>
        <v>424.92480307200015</v>
      </c>
      <c r="G22" s="102">
        <f>F21*0.44</f>
        <v>121.24253712384001</v>
      </c>
      <c r="H22" s="12" t="s">
        <v>113</v>
      </c>
      <c r="K22" s="7"/>
      <c r="L22" s="82"/>
      <c r="M22" s="82"/>
      <c r="N22" s="83"/>
    </row>
    <row r="23" spans="1:21" s="2" customFormat="1" ht="15" customHeight="1">
      <c r="A23" s="213" t="s">
        <v>140</v>
      </c>
      <c r="B23" s="214"/>
      <c r="C23" s="214"/>
      <c r="D23" s="214"/>
      <c r="E23" s="107">
        <f ca="1">SUM(E20:E22)</f>
        <v>13285.818260352</v>
      </c>
      <c r="F23" s="107">
        <f ca="1">SUM(F20:F22)</f>
        <v>2283.1908485760005</v>
      </c>
      <c r="G23" s="107">
        <f ca="1">SUM(G20:G22)</f>
        <v>938.8795971456002</v>
      </c>
      <c r="H23" s="82"/>
      <c r="K23" s="7"/>
      <c r="L23" s="82"/>
      <c r="M23" s="82"/>
      <c r="N23" s="83"/>
    </row>
    <row r="24" spans="1:21" s="2" customFormat="1" ht="15" customHeight="1">
      <c r="A24" s="61"/>
      <c r="B24" s="61"/>
      <c r="C24" s="61"/>
      <c r="D24" s="61"/>
      <c r="E24" s="102"/>
      <c r="F24" s="102"/>
      <c r="G24" s="102"/>
      <c r="H24" s="82"/>
      <c r="K24" s="7"/>
      <c r="L24" s="82"/>
      <c r="M24" s="82"/>
      <c r="N24" s="83"/>
    </row>
    <row r="25" spans="1:21">
      <c r="A25" s="51" t="s">
        <v>76</v>
      </c>
      <c r="B25" s="52" t="s">
        <v>63</v>
      </c>
      <c r="C25" s="52" t="s">
        <v>69</v>
      </c>
      <c r="D25" s="52" t="s">
        <v>70</v>
      </c>
      <c r="E25" s="52" t="s">
        <v>64</v>
      </c>
      <c r="F25" s="52" t="s">
        <v>71</v>
      </c>
      <c r="G25" s="52" t="s">
        <v>65</v>
      </c>
      <c r="K25" s="4"/>
      <c r="L25" s="2"/>
      <c r="M25" s="2"/>
      <c r="N25" s="2"/>
      <c r="O25" s="2"/>
      <c r="P25" s="2"/>
      <c r="Q25" s="2"/>
      <c r="R25" s="2"/>
      <c r="S25" s="2"/>
      <c r="T25" s="2"/>
      <c r="U25" s="2"/>
    </row>
    <row r="26" spans="1:21" ht="15.75" thickBot="1">
      <c r="A26" s="46" t="s">
        <v>62</v>
      </c>
      <c r="B26">
        <v>88</v>
      </c>
      <c r="C26">
        <v>6</v>
      </c>
      <c r="D26">
        <v>0.8</v>
      </c>
      <c r="E26" s="45">
        <f>B26*43.56*C26*0.12</f>
        <v>2759.9616000000001</v>
      </c>
      <c r="F26" s="45">
        <f>B26*43.56*D26*0.2</f>
        <v>613.3248000000001</v>
      </c>
      <c r="G26" s="45">
        <f t="shared" ref="G26:G29" si="8">F26*0.44</f>
        <v>269.86291200000005</v>
      </c>
      <c r="K26" s="4"/>
      <c r="L26" s="208" t="s">
        <v>50</v>
      </c>
      <c r="M26" s="208"/>
      <c r="N26" s="208"/>
      <c r="O26" s="208"/>
      <c r="P26" s="208"/>
      <c r="Q26" s="208"/>
      <c r="R26" s="208"/>
      <c r="S26" s="208"/>
      <c r="T26" s="208"/>
      <c r="U26" s="2"/>
    </row>
    <row r="27" spans="1:21" ht="16.5" thickTop="1" thickBot="1">
      <c r="A27" s="46" t="s">
        <v>67</v>
      </c>
      <c r="B27">
        <v>5.9</v>
      </c>
      <c r="C27">
        <v>10.5</v>
      </c>
      <c r="D27">
        <v>1.45</v>
      </c>
      <c r="E27" s="45">
        <f>B27*43.56*C27*0.12</f>
        <v>323.82504000000006</v>
      </c>
      <c r="F27" s="45">
        <f t="shared" ref="F27:F28" si="9">B27*43.56*D27*0.2</f>
        <v>74.53116</v>
      </c>
      <c r="G27" s="45">
        <f t="shared" si="8"/>
        <v>32.793710400000002</v>
      </c>
      <c r="K27" s="7"/>
      <c r="L27" s="14" t="s">
        <v>51</v>
      </c>
      <c r="M27" s="15" t="s">
        <v>52</v>
      </c>
      <c r="N27" s="16" t="s">
        <v>53</v>
      </c>
      <c r="O27" s="17" t="s">
        <v>54</v>
      </c>
      <c r="P27" s="18" t="s">
        <v>55</v>
      </c>
      <c r="Q27" s="18" t="s">
        <v>56</v>
      </c>
      <c r="R27" s="18" t="s">
        <v>57</v>
      </c>
      <c r="S27" s="18" t="s">
        <v>58</v>
      </c>
      <c r="T27" s="19" t="s">
        <v>59</v>
      </c>
      <c r="U27" s="2"/>
    </row>
    <row r="28" spans="1:21" ht="15.75" thickTop="1">
      <c r="A28" s="49" t="s">
        <v>66</v>
      </c>
      <c r="B28" s="49">
        <v>89.1</v>
      </c>
      <c r="C28" s="49">
        <v>2</v>
      </c>
      <c r="D28" s="49">
        <v>0.5</v>
      </c>
      <c r="E28" s="50">
        <f t="shared" ref="E28" si="10">B28*43.56*C28*0.12</f>
        <v>931.48703999999998</v>
      </c>
      <c r="F28" s="50">
        <f t="shared" si="9"/>
        <v>388.11959999999999</v>
      </c>
      <c r="G28" s="50">
        <f t="shared" si="8"/>
        <v>170.77262400000001</v>
      </c>
      <c r="K28" s="4"/>
      <c r="L28" s="20" t="s">
        <v>2</v>
      </c>
      <c r="M28" s="21">
        <v>1.08</v>
      </c>
      <c r="N28" s="21">
        <v>0.24</v>
      </c>
      <c r="O28" s="22">
        <v>1.32</v>
      </c>
      <c r="P28" s="23">
        <v>1.1299999999999999</v>
      </c>
      <c r="Q28" s="24">
        <v>9.83</v>
      </c>
      <c r="R28" s="25">
        <v>206.2</v>
      </c>
      <c r="S28" s="26">
        <v>3.8999999999999998E-3</v>
      </c>
      <c r="T28" s="27">
        <v>5.0200000000000002E-2</v>
      </c>
      <c r="U28" s="2"/>
    </row>
    <row r="29" spans="1:21">
      <c r="A29" s="108" t="s">
        <v>141</v>
      </c>
      <c r="B29" s="109">
        <f>SUM(B26:B28)</f>
        <v>183</v>
      </c>
      <c r="C29" s="109"/>
      <c r="D29" s="109"/>
      <c r="E29" s="110">
        <f t="shared" ref="E29:F29" si="11">SUM(E26:E28)</f>
        <v>4015.2736800000002</v>
      </c>
      <c r="F29" s="110">
        <f t="shared" si="11"/>
        <v>1075.9755600000001</v>
      </c>
      <c r="G29" s="110">
        <f t="shared" si="8"/>
        <v>473.42924640000007</v>
      </c>
      <c r="K29" s="4"/>
      <c r="L29" s="28" t="s">
        <v>4</v>
      </c>
      <c r="M29" s="29">
        <v>1.43</v>
      </c>
      <c r="N29" s="29">
        <v>0.26</v>
      </c>
      <c r="O29" s="30">
        <v>1.7</v>
      </c>
      <c r="P29" s="31">
        <v>0.48</v>
      </c>
      <c r="Q29" s="32">
        <v>9.36</v>
      </c>
      <c r="R29" s="33">
        <v>61.67</v>
      </c>
      <c r="S29" s="34">
        <v>7.0000000000000001E-3</v>
      </c>
      <c r="T29" s="35">
        <v>4.5900000000000003E-2</v>
      </c>
      <c r="U29" s="2"/>
    </row>
    <row r="30" spans="1:21">
      <c r="A30" t="s">
        <v>68</v>
      </c>
      <c r="K30" s="4"/>
      <c r="L30" s="28" t="s">
        <v>6</v>
      </c>
      <c r="M30" s="29">
        <v>1.44</v>
      </c>
      <c r="N30" s="29">
        <v>0.31</v>
      </c>
      <c r="O30" s="30">
        <v>1.74</v>
      </c>
      <c r="P30" s="31">
        <v>0.37</v>
      </c>
      <c r="Q30" s="32">
        <v>7.8</v>
      </c>
      <c r="R30" s="33">
        <v>89.8</v>
      </c>
      <c r="S30" s="34">
        <v>2.0899999999999998E-2</v>
      </c>
      <c r="T30" s="35">
        <v>0.13769999999999999</v>
      </c>
      <c r="U30" s="2"/>
    </row>
    <row r="31" spans="1:21">
      <c r="K31" s="4"/>
      <c r="L31" s="28" t="s">
        <v>11</v>
      </c>
      <c r="M31" s="29">
        <v>0.82</v>
      </c>
      <c r="N31" s="29">
        <v>0.24</v>
      </c>
      <c r="O31" s="30">
        <v>1.05</v>
      </c>
      <c r="P31" s="31">
        <v>0.22</v>
      </c>
      <c r="Q31" s="32">
        <v>7.33</v>
      </c>
      <c r="R31" s="33">
        <v>50.5</v>
      </c>
      <c r="S31" s="34">
        <v>1.2500000000000001E-2</v>
      </c>
      <c r="T31" s="35">
        <v>7.9000000000000001E-2</v>
      </c>
      <c r="U31" s="2"/>
    </row>
    <row r="32" spans="1:21" ht="15" customHeight="1">
      <c r="A32" s="198" t="s">
        <v>147</v>
      </c>
      <c r="B32" s="198"/>
      <c r="C32" s="198"/>
      <c r="D32" s="198"/>
      <c r="E32" s="48" t="s">
        <v>64</v>
      </c>
      <c r="F32" s="48" t="s">
        <v>71</v>
      </c>
      <c r="G32" s="48" t="s">
        <v>65</v>
      </c>
      <c r="K32" s="7"/>
      <c r="L32" s="28" t="s">
        <v>8</v>
      </c>
      <c r="M32" s="29">
        <v>1.25</v>
      </c>
      <c r="N32" s="29">
        <v>0.48</v>
      </c>
      <c r="O32" s="30">
        <v>1.73</v>
      </c>
      <c r="P32" s="31">
        <v>0.24</v>
      </c>
      <c r="Q32" s="32">
        <v>9.25</v>
      </c>
      <c r="R32" s="33">
        <v>59.3</v>
      </c>
      <c r="S32" s="34">
        <v>3.3E-3</v>
      </c>
      <c r="T32" s="35">
        <v>7.6499999999999999E-2</v>
      </c>
      <c r="U32" s="2"/>
    </row>
    <row r="33" spans="1:21" ht="15" customHeight="1">
      <c r="A33" s="199" t="s">
        <v>134</v>
      </c>
      <c r="B33" s="199"/>
      <c r="C33" s="199"/>
      <c r="D33" s="199"/>
      <c r="E33" s="110">
        <f ca="1">SUM(E20:E22,E29)</f>
        <v>17301.091940352002</v>
      </c>
      <c r="F33" s="110">
        <f ca="1">SUM(F20:F22,F29)</f>
        <v>3359.1664085760003</v>
      </c>
      <c r="G33" s="110">
        <f t="shared" ref="G33" ca="1" si="12">F33*0.44</f>
        <v>1478.0332197734401</v>
      </c>
      <c r="K33" s="4"/>
      <c r="L33" s="28" t="s">
        <v>10</v>
      </c>
      <c r="M33" s="29">
        <v>0.72</v>
      </c>
      <c r="N33" s="29">
        <v>0.21</v>
      </c>
      <c r="O33" s="30">
        <v>0.92</v>
      </c>
      <c r="P33" s="31">
        <v>7.0000000000000007E-2</v>
      </c>
      <c r="Q33" s="32">
        <v>7.86</v>
      </c>
      <c r="R33" s="33">
        <v>15</v>
      </c>
      <c r="S33" s="34">
        <v>2E-3</v>
      </c>
      <c r="T33" s="35">
        <v>3.1899999999999998E-2</v>
      </c>
      <c r="U33" s="2"/>
    </row>
    <row r="34" spans="1:21">
      <c r="A34" s="8"/>
      <c r="E34" s="53"/>
      <c r="F34" s="47"/>
      <c r="G34" s="53"/>
      <c r="K34" s="4"/>
      <c r="L34" s="28" t="s">
        <v>13</v>
      </c>
      <c r="M34" s="29">
        <v>2.13</v>
      </c>
      <c r="N34" s="29">
        <v>0.2</v>
      </c>
      <c r="O34" s="30">
        <v>2.33</v>
      </c>
      <c r="P34" s="31">
        <v>1.1299999999999999</v>
      </c>
      <c r="Q34" s="32">
        <v>8.3800000000000008</v>
      </c>
      <c r="R34" s="33">
        <v>105.4</v>
      </c>
      <c r="S34" s="34">
        <v>6.3E-3</v>
      </c>
      <c r="T34" s="35">
        <v>4.6300000000000001E-2</v>
      </c>
      <c r="U34" s="2"/>
    </row>
    <row r="35" spans="1:21" s="2" customFormat="1">
      <c r="A35" s="8"/>
      <c r="E35" s="53"/>
      <c r="F35" s="47"/>
      <c r="G35" s="53"/>
      <c r="K35" s="4"/>
      <c r="L35" s="28" t="s">
        <v>80</v>
      </c>
      <c r="M35" s="29"/>
      <c r="N35" s="29"/>
      <c r="O35" s="30">
        <v>1.099</v>
      </c>
      <c r="P35" s="31">
        <v>0.16600000000000001</v>
      </c>
      <c r="Q35" s="32">
        <v>1.9</v>
      </c>
      <c r="R35" s="33">
        <v>70.599999999999994</v>
      </c>
      <c r="S35" s="34">
        <v>1.1286250000000001E-2</v>
      </c>
      <c r="T35" s="35">
        <v>6.2141176470588221E-2</v>
      </c>
    </row>
    <row r="36" spans="1:21" s="2" customFormat="1">
      <c r="A36" s="8"/>
      <c r="E36" s="53"/>
      <c r="F36" s="47"/>
      <c r="G36" s="53"/>
      <c r="K36" s="4"/>
      <c r="L36" s="28"/>
      <c r="M36" s="29"/>
      <c r="N36" s="29"/>
      <c r="O36" s="30"/>
      <c r="P36" s="31"/>
      <c r="Q36" s="32"/>
      <c r="R36" s="33"/>
      <c r="S36" s="34"/>
      <c r="T36" s="35"/>
    </row>
    <row r="37" spans="1:21" ht="15" customHeight="1">
      <c r="A37" s="211"/>
      <c r="B37" s="212"/>
      <c r="C37" s="212"/>
      <c r="D37" s="212"/>
      <c r="E37" s="211"/>
      <c r="F37" s="212"/>
      <c r="K37" s="4"/>
      <c r="L37" s="28" t="s">
        <v>60</v>
      </c>
      <c r="M37" s="29">
        <v>1.0900000000000001</v>
      </c>
      <c r="N37" s="29">
        <v>0.23</v>
      </c>
      <c r="O37" s="30">
        <v>1.32</v>
      </c>
      <c r="P37" s="31">
        <v>0.94</v>
      </c>
      <c r="Q37" s="32">
        <v>8.4499999999999993</v>
      </c>
      <c r="R37" s="33">
        <v>87.44</v>
      </c>
      <c r="S37" s="34">
        <v>6.3E-3</v>
      </c>
      <c r="T37" s="35">
        <v>5.7700000000000001E-2</v>
      </c>
      <c r="U37" s="2"/>
    </row>
    <row r="38" spans="1:21">
      <c r="A38" s="217"/>
      <c r="B38" s="218"/>
      <c r="C38" s="218"/>
      <c r="D38" s="218"/>
      <c r="E38" s="218"/>
      <c r="F38" s="218"/>
      <c r="G38" s="57"/>
      <c r="H38" s="56"/>
      <c r="K38" s="4"/>
      <c r="L38" s="28" t="s">
        <v>15</v>
      </c>
      <c r="M38" s="29">
        <v>0.72</v>
      </c>
      <c r="N38" s="29">
        <v>7.0000000000000007E-2</v>
      </c>
      <c r="O38" s="30">
        <v>0.79</v>
      </c>
      <c r="P38" s="31">
        <v>0.11</v>
      </c>
      <c r="Q38" s="32">
        <v>5</v>
      </c>
      <c r="R38" s="33">
        <v>12.4</v>
      </c>
      <c r="S38" s="34">
        <v>1.4E-3</v>
      </c>
      <c r="T38" s="35">
        <v>1.0500000000000001E-2</v>
      </c>
      <c r="U38" s="2"/>
    </row>
    <row r="39" spans="1:21" ht="15.75" thickBot="1">
      <c r="A39" s="200" t="s">
        <v>149</v>
      </c>
      <c r="B39" s="200"/>
      <c r="C39" s="200"/>
      <c r="D39" s="200"/>
      <c r="E39" s="201"/>
      <c r="F39" s="201"/>
      <c r="G39" s="201"/>
      <c r="H39" s="56"/>
      <c r="K39" s="4"/>
      <c r="L39" s="36" t="s">
        <v>16</v>
      </c>
      <c r="M39" s="37">
        <v>0.9</v>
      </c>
      <c r="N39" s="37">
        <v>0.08</v>
      </c>
      <c r="O39" s="38">
        <v>0.98</v>
      </c>
      <c r="P39" s="39">
        <v>0.42</v>
      </c>
      <c r="Q39" s="40">
        <v>3.58</v>
      </c>
      <c r="R39" s="41">
        <v>5.88</v>
      </c>
      <c r="S39" s="42">
        <v>7.3000000000000001E-3</v>
      </c>
      <c r="T39" s="43">
        <v>2.8999999999999998E-3</v>
      </c>
      <c r="U39" s="2"/>
    </row>
    <row r="40" spans="1:21" s="2" customFormat="1" ht="17.25" thickTop="1" thickBot="1">
      <c r="A40" s="131" t="s">
        <v>161</v>
      </c>
      <c r="B40" s="132"/>
      <c r="C40" s="132"/>
      <c r="D40" s="123"/>
      <c r="E40" s="59"/>
      <c r="F40" s="59"/>
      <c r="G40" s="59"/>
      <c r="H40" s="56"/>
      <c r="K40" s="4"/>
      <c r="L40" s="124"/>
      <c r="M40" s="125"/>
      <c r="N40" s="125"/>
      <c r="O40" s="126"/>
      <c r="P40" s="127"/>
      <c r="Q40" s="128"/>
      <c r="R40" s="129"/>
      <c r="S40" s="130"/>
      <c r="T40" s="130"/>
    </row>
    <row r="41" spans="1:21" s="2" customFormat="1" ht="15.75" thickTop="1">
      <c r="A41" s="133" t="s">
        <v>152</v>
      </c>
      <c r="B41" s="134" t="s">
        <v>153</v>
      </c>
      <c r="C41" s="135" t="s">
        <v>154</v>
      </c>
      <c r="D41" s="123"/>
      <c r="E41" s="59"/>
      <c r="F41" s="59"/>
      <c r="G41" s="59"/>
      <c r="H41" s="56"/>
      <c r="K41" s="4"/>
      <c r="L41" s="124"/>
      <c r="M41" s="125"/>
      <c r="N41" s="125"/>
      <c r="O41" s="126"/>
      <c r="P41" s="127"/>
      <c r="Q41" s="128"/>
      <c r="R41" s="129"/>
      <c r="S41" s="130"/>
      <c r="T41" s="130"/>
    </row>
    <row r="42" spans="1:21" ht="30">
      <c r="A42" s="136" t="s">
        <v>155</v>
      </c>
      <c r="B42" s="12">
        <f>23*10^6</f>
        <v>23000000</v>
      </c>
      <c r="C42" s="137">
        <v>1</v>
      </c>
      <c r="D42" s="9"/>
      <c r="E42" s="45"/>
      <c r="F42" s="2"/>
      <c r="G42" s="2"/>
      <c r="H42" s="2"/>
    </row>
    <row r="43" spans="1:21">
      <c r="A43" s="138" t="s">
        <v>156</v>
      </c>
      <c r="B43" s="139">
        <v>7.0000000000000001E-3</v>
      </c>
      <c r="C43" s="137">
        <v>2</v>
      </c>
      <c r="D43" s="9"/>
      <c r="E43" s="45"/>
      <c r="F43" s="48"/>
      <c r="G43" s="48"/>
      <c r="H43" s="2"/>
    </row>
    <row r="44" spans="1:21" ht="15.75">
      <c r="A44" s="138" t="s">
        <v>157</v>
      </c>
      <c r="B44" s="139">
        <v>2.5000000000000001E-3</v>
      </c>
      <c r="C44" s="137">
        <v>2</v>
      </c>
      <c r="D44" s="45"/>
      <c r="E44" s="53"/>
      <c r="F44" s="48"/>
      <c r="G44" s="48"/>
      <c r="H44" s="2"/>
    </row>
    <row r="45" spans="1:21">
      <c r="A45" s="138" t="s">
        <v>158</v>
      </c>
      <c r="B45" s="140">
        <f>'[1]Electric Customers'!$C$4</f>
        <v>5685</v>
      </c>
      <c r="C45" s="137">
        <v>3</v>
      </c>
      <c r="D45" s="2"/>
      <c r="E45" s="2"/>
      <c r="F45" s="2"/>
      <c r="G45" s="2"/>
      <c r="H45" s="2"/>
    </row>
    <row r="46" spans="1:21">
      <c r="A46" s="138" t="s">
        <v>159</v>
      </c>
      <c r="B46" s="141">
        <v>0.35419440745672437</v>
      </c>
      <c r="C46" s="137">
        <v>4</v>
      </c>
      <c r="D46" s="60"/>
      <c r="E46" s="48"/>
      <c r="F46" s="2"/>
      <c r="G46" s="2"/>
      <c r="H46" s="2"/>
    </row>
    <row r="47" spans="1:21">
      <c r="A47" s="138" t="s">
        <v>160</v>
      </c>
      <c r="B47" s="142">
        <v>1.5112781954887218</v>
      </c>
      <c r="C47" s="137">
        <v>4</v>
      </c>
      <c r="D47" s="2"/>
      <c r="E47" s="48"/>
      <c r="F47" s="2"/>
      <c r="G47" s="2"/>
      <c r="H47" s="2"/>
    </row>
    <row r="48" spans="1:21">
      <c r="A48" s="143" t="s">
        <v>202</v>
      </c>
      <c r="B48" s="140">
        <f>B45*B46</f>
        <v>2013.5952063914781</v>
      </c>
      <c r="C48" s="145"/>
      <c r="D48" s="2"/>
      <c r="E48" s="2"/>
      <c r="F48" s="2"/>
      <c r="G48" s="2"/>
      <c r="H48" s="2"/>
    </row>
    <row r="49" spans="1:8" ht="15.75" thickBot="1">
      <c r="A49" s="146" t="s">
        <v>184</v>
      </c>
      <c r="B49" s="147">
        <f>B45*B46*B47</f>
        <v>3043.1025299600533</v>
      </c>
      <c r="C49" s="148">
        <v>4</v>
      </c>
      <c r="D49" s="2"/>
      <c r="E49" s="2"/>
      <c r="F49" s="2"/>
      <c r="G49" s="2"/>
      <c r="H49" s="2"/>
    </row>
    <row r="50" spans="1:8" ht="15.75" thickTop="1">
      <c r="A50" s="149" t="s">
        <v>162</v>
      </c>
      <c r="B50" s="45"/>
      <c r="C50" s="2"/>
      <c r="D50" s="9"/>
      <c r="E50" s="45"/>
      <c r="F50" s="2"/>
      <c r="G50" s="2"/>
      <c r="H50" s="2"/>
    </row>
    <row r="51" spans="1:8">
      <c r="A51" s="215" t="s">
        <v>163</v>
      </c>
      <c r="B51" s="216"/>
      <c r="C51" s="216"/>
      <c r="D51" s="9"/>
      <c r="E51" s="45"/>
      <c r="F51" s="2"/>
      <c r="G51" s="2"/>
      <c r="H51" s="2"/>
    </row>
    <row r="52" spans="1:8">
      <c r="A52" s="215" t="s">
        <v>164</v>
      </c>
      <c r="B52" s="216"/>
      <c r="C52" s="216"/>
      <c r="D52" s="9"/>
      <c r="E52" s="45"/>
      <c r="F52" s="2"/>
      <c r="G52" s="2"/>
      <c r="H52" s="2"/>
    </row>
    <row r="53" spans="1:8">
      <c r="A53" s="219" t="s">
        <v>181</v>
      </c>
      <c r="B53" s="220"/>
      <c r="C53" s="220"/>
      <c r="D53" s="9"/>
      <c r="E53" s="45"/>
      <c r="F53" s="2"/>
      <c r="G53" s="2"/>
      <c r="H53" s="2"/>
    </row>
    <row r="54" spans="1:8">
      <c r="A54" s="219" t="s">
        <v>182</v>
      </c>
      <c r="B54" s="220"/>
      <c r="C54" s="220"/>
      <c r="D54" s="9"/>
      <c r="E54" s="45"/>
      <c r="F54" s="2"/>
      <c r="G54" s="2"/>
    </row>
    <row r="55" spans="1:8">
      <c r="A55" s="2"/>
      <c r="B55" s="45"/>
      <c r="C55" s="2"/>
      <c r="D55" s="9"/>
      <c r="E55" s="45"/>
      <c r="F55" s="2"/>
      <c r="G55" s="2"/>
    </row>
    <row r="56" spans="1:8" ht="15.75" thickBot="1">
      <c r="A56" s="222" t="s">
        <v>183</v>
      </c>
      <c r="B56" s="222"/>
      <c r="C56" s="222"/>
      <c r="D56" s="222"/>
      <c r="E56" s="222"/>
      <c r="F56" s="222"/>
      <c r="G56" s="222"/>
    </row>
    <row r="57" spans="1:8" ht="39.75" thickTop="1">
      <c r="A57" s="152" t="s">
        <v>165</v>
      </c>
      <c r="B57" s="153" t="s">
        <v>166</v>
      </c>
      <c r="C57" s="153" t="s">
        <v>167</v>
      </c>
      <c r="D57" s="154" t="s">
        <v>168</v>
      </c>
      <c r="E57" s="153" t="s">
        <v>169</v>
      </c>
      <c r="F57" s="153" t="s">
        <v>170</v>
      </c>
      <c r="G57" s="155" t="s">
        <v>171</v>
      </c>
    </row>
    <row r="58" spans="1:8">
      <c r="A58" s="138"/>
      <c r="B58" s="12"/>
      <c r="C58" s="12"/>
      <c r="D58" s="13"/>
      <c r="E58" s="12"/>
      <c r="F58" s="12"/>
      <c r="G58" s="137"/>
    </row>
    <row r="59" spans="1:8">
      <c r="A59" s="156" t="s">
        <v>172</v>
      </c>
      <c r="B59" s="12">
        <v>10</v>
      </c>
      <c r="C59" s="122">
        <v>68.436999999999998</v>
      </c>
      <c r="D59" s="13">
        <f>C59/365</f>
        <v>0.18749863013698628</v>
      </c>
      <c r="E59" s="121">
        <v>0.37064676616915421</v>
      </c>
      <c r="F59" s="122">
        <f>E59*B$49</f>
        <v>1127.9161118508655</v>
      </c>
      <c r="G59" s="157">
        <f>F59*D59</f>
        <v>211.48272588147307</v>
      </c>
    </row>
    <row r="60" spans="1:8">
      <c r="A60" s="158" t="s">
        <v>173</v>
      </c>
      <c r="B60" s="12">
        <v>40</v>
      </c>
      <c r="C60" s="122">
        <v>273.74799999999999</v>
      </c>
      <c r="D60" s="13">
        <f>C60/365</f>
        <v>0.74999452054794513</v>
      </c>
      <c r="E60" s="121">
        <v>0.28109452736318408</v>
      </c>
      <c r="F60" s="122">
        <f t="shared" ref="F60:F61" si="13">E60*B$49</f>
        <v>855.3994673768309</v>
      </c>
      <c r="G60" s="157">
        <f>F60*D60</f>
        <v>641.54491341225389</v>
      </c>
    </row>
    <row r="61" spans="1:8">
      <c r="A61" s="158" t="s">
        <v>174</v>
      </c>
      <c r="B61" s="12">
        <v>75</v>
      </c>
      <c r="C61" s="122">
        <v>513.27750000000003</v>
      </c>
      <c r="D61" s="13">
        <f>C61/365</f>
        <v>1.4062397260273973</v>
      </c>
      <c r="E61" s="121">
        <v>0.34825870646766172</v>
      </c>
      <c r="F61" s="122">
        <f t="shared" si="13"/>
        <v>1059.7869507323569</v>
      </c>
      <c r="G61" s="157">
        <f>F61*D61</f>
        <v>1490.3145112452803</v>
      </c>
    </row>
    <row r="62" spans="1:8">
      <c r="A62" s="159" t="s">
        <v>175</v>
      </c>
      <c r="B62" s="12"/>
      <c r="C62" s="12"/>
      <c r="D62" s="13"/>
      <c r="E62" s="139"/>
      <c r="F62" s="122">
        <f>SUM(F59:F61)</f>
        <v>3043.1025299600533</v>
      </c>
      <c r="G62" s="160">
        <f>SUM(G59:G61)</f>
        <v>2343.342150539007</v>
      </c>
    </row>
    <row r="63" spans="1:8" ht="15.75" thickBot="1">
      <c r="A63" s="161" t="s">
        <v>176</v>
      </c>
      <c r="B63" s="161"/>
      <c r="C63" s="162"/>
      <c r="D63" s="163"/>
      <c r="E63" s="162"/>
      <c r="F63" s="162"/>
      <c r="G63" s="164">
        <f>G62/2000</f>
        <v>1.1716710752695034</v>
      </c>
    </row>
    <row r="64" spans="1:8" ht="15.75" thickTop="1">
      <c r="A64" s="165"/>
      <c r="B64" s="165"/>
      <c r="C64" s="82"/>
      <c r="D64" s="83"/>
      <c r="E64" s="82"/>
      <c r="F64" s="82"/>
      <c r="G64" s="166"/>
    </row>
    <row r="65" spans="1:7">
      <c r="A65" s="165" t="s">
        <v>177</v>
      </c>
      <c r="B65" s="165"/>
      <c r="C65" s="82"/>
      <c r="D65" s="83"/>
      <c r="E65" s="82"/>
      <c r="F65" s="82"/>
      <c r="G65" s="166"/>
    </row>
    <row r="66" spans="1:7">
      <c r="A66" s="223" t="s">
        <v>178</v>
      </c>
      <c r="B66" s="223"/>
      <c r="C66" s="223"/>
      <c r="D66" s="223"/>
      <c r="E66" s="223"/>
      <c r="F66" s="223"/>
      <c r="G66" s="223"/>
    </row>
    <row r="67" spans="1:7">
      <c r="A67" s="2"/>
      <c r="B67" s="2"/>
      <c r="C67" s="2"/>
      <c r="D67" s="9"/>
      <c r="E67" s="45"/>
      <c r="F67" s="2"/>
      <c r="G67" s="2"/>
    </row>
    <row r="68" spans="1:7">
      <c r="A68" s="167" t="s">
        <v>179</v>
      </c>
      <c r="B68" s="168"/>
      <c r="C68" s="2"/>
      <c r="D68" s="9"/>
      <c r="E68" s="45"/>
      <c r="F68" s="2"/>
      <c r="G68" s="2"/>
    </row>
    <row r="69" spans="1:7">
      <c r="A69" s="223" t="s">
        <v>180</v>
      </c>
      <c r="B69" s="223"/>
      <c r="C69" s="223"/>
      <c r="D69" s="223"/>
      <c r="E69" s="223"/>
      <c r="F69" s="223"/>
      <c r="G69" s="223"/>
    </row>
    <row r="70" spans="1:7">
      <c r="A70" s="165"/>
      <c r="B70" s="169"/>
      <c r="C70" s="169"/>
      <c r="D70" s="169"/>
      <c r="E70" s="169"/>
      <c r="F70" s="169"/>
      <c r="G70" s="169"/>
    </row>
    <row r="71" spans="1:7">
      <c r="A71" s="224" t="s">
        <v>199</v>
      </c>
      <c r="B71" s="225"/>
      <c r="C71" s="225"/>
      <c r="D71" s="225"/>
      <c r="E71" s="225"/>
      <c r="F71" s="169"/>
      <c r="G71" s="169"/>
    </row>
    <row r="72" spans="1:7" ht="26.25">
      <c r="A72" s="144" t="s">
        <v>185</v>
      </c>
      <c r="B72" s="170" t="s">
        <v>186</v>
      </c>
      <c r="C72" s="144" t="s">
        <v>187</v>
      </c>
      <c r="D72" s="170" t="s">
        <v>188</v>
      </c>
      <c r="E72" s="144" t="s">
        <v>187</v>
      </c>
      <c r="F72" s="170" t="s">
        <v>189</v>
      </c>
      <c r="G72" s="2"/>
    </row>
    <row r="73" spans="1:7">
      <c r="A73" s="12" t="s">
        <v>190</v>
      </c>
      <c r="B73" s="171">
        <f>G$62*453.6*B42</f>
        <v>24447619988143.352</v>
      </c>
      <c r="C73" s="12" t="s">
        <v>191</v>
      </c>
      <c r="D73" s="171">
        <f>B73*365</f>
        <v>8923381295672323</v>
      </c>
      <c r="E73" s="172" t="s">
        <v>192</v>
      </c>
      <c r="F73" s="173" t="s">
        <v>72</v>
      </c>
      <c r="G73" s="2"/>
    </row>
    <row r="74" spans="1:7">
      <c r="A74" s="12" t="s">
        <v>193</v>
      </c>
      <c r="B74" s="122">
        <f>G$62*B43</f>
        <v>16.40339505377305</v>
      </c>
      <c r="C74" s="12" t="s">
        <v>194</v>
      </c>
      <c r="D74" s="122">
        <f>B74*365</f>
        <v>5987.2391946271628</v>
      </c>
      <c r="E74" s="172" t="s">
        <v>195</v>
      </c>
      <c r="F74" s="122">
        <f>D74/2000</f>
        <v>2.9936195973135815</v>
      </c>
      <c r="G74" s="2"/>
    </row>
    <row r="75" spans="1:7" ht="15.75">
      <c r="A75" s="12" t="s">
        <v>196</v>
      </c>
      <c r="B75" s="122">
        <f>G$62*B44</f>
        <v>5.8583553763475171</v>
      </c>
      <c r="C75" s="12" t="s">
        <v>194</v>
      </c>
      <c r="D75" s="122">
        <f>B75*365</f>
        <v>2138.2997123668438</v>
      </c>
      <c r="E75" s="172" t="s">
        <v>195</v>
      </c>
      <c r="F75" s="122">
        <f>D75/2000</f>
        <v>1.0691498561834218</v>
      </c>
      <c r="G75" s="2"/>
    </row>
    <row r="76" spans="1:7">
      <c r="A76" s="12" t="s">
        <v>197</v>
      </c>
      <c r="B76" s="122">
        <f>B75*0.44</f>
        <v>2.5776763655929074</v>
      </c>
      <c r="C76" s="12" t="s">
        <v>194</v>
      </c>
      <c r="D76" s="122">
        <f>B76*365</f>
        <v>940.85187344141116</v>
      </c>
      <c r="E76" s="172" t="s">
        <v>195</v>
      </c>
      <c r="F76" s="175">
        <f>D76/2000</f>
        <v>0.4704259367207056</v>
      </c>
      <c r="G76" s="2"/>
    </row>
    <row r="77" spans="1:7">
      <c r="A77" s="174" t="s">
        <v>198</v>
      </c>
      <c r="B77" s="116"/>
      <c r="C77" s="2"/>
      <c r="D77" s="9"/>
      <c r="E77" s="45"/>
      <c r="F77" s="2"/>
      <c r="G77" s="2"/>
    </row>
    <row r="78" spans="1:7">
      <c r="A78" s="116" t="s">
        <v>200</v>
      </c>
      <c r="B78" s="116"/>
      <c r="C78" s="2"/>
      <c r="D78" s="9"/>
      <c r="E78" s="45"/>
      <c r="F78" s="2"/>
      <c r="G78" s="2"/>
    </row>
    <row r="79" spans="1:7">
      <c r="A79" s="123"/>
      <c r="B79" s="123"/>
      <c r="C79" s="123"/>
      <c r="D79" s="2"/>
      <c r="E79" s="2"/>
      <c r="F79" s="2"/>
      <c r="G79" s="2"/>
    </row>
    <row r="80" spans="1:7">
      <c r="A80" s="123"/>
      <c r="B80" s="123"/>
      <c r="C80" s="123"/>
      <c r="D80" s="2"/>
      <c r="E80" s="2"/>
      <c r="F80" s="48"/>
      <c r="G80" s="48"/>
    </row>
    <row r="81" spans="1:7">
      <c r="A81" s="115" t="s">
        <v>201</v>
      </c>
      <c r="B81" s="116"/>
      <c r="C81" s="45"/>
      <c r="D81" s="2"/>
      <c r="E81" s="2"/>
      <c r="F81" s="48"/>
      <c r="G81" s="48"/>
    </row>
    <row r="82" spans="1:7" ht="30" customHeight="1">
      <c r="A82" s="117" t="s">
        <v>150</v>
      </c>
      <c r="B82" s="118" t="s">
        <v>203</v>
      </c>
      <c r="C82" s="119" t="s">
        <v>151</v>
      </c>
      <c r="D82" s="2"/>
      <c r="E82" s="2"/>
      <c r="F82" s="2"/>
      <c r="G82" s="2"/>
    </row>
    <row r="83" spans="1:7">
      <c r="A83" s="120">
        <v>2011</v>
      </c>
      <c r="B83" s="121">
        <f>64/196*196/580</f>
        <v>0.11034482758620688</v>
      </c>
      <c r="C83" s="122">
        <f>B45*B83</f>
        <v>627.31034482758616</v>
      </c>
      <c r="D83" s="62"/>
      <c r="E83" s="48"/>
    </row>
    <row r="84" spans="1:7">
      <c r="A84" s="2"/>
      <c r="B84" s="2"/>
      <c r="C84" s="2"/>
      <c r="D84" s="2"/>
      <c r="E84" s="48"/>
    </row>
    <row r="85" spans="1:7">
      <c r="A85" s="178" t="s">
        <v>208</v>
      </c>
      <c r="B85" s="178"/>
      <c r="C85" s="178"/>
      <c r="D85" s="179"/>
      <c r="E85" s="2"/>
    </row>
    <row r="86" spans="1:7">
      <c r="A86" s="179" t="s">
        <v>204</v>
      </c>
      <c r="B86" s="179"/>
      <c r="C86" s="179"/>
      <c r="D86" s="179"/>
    </row>
    <row r="87" spans="1:7">
      <c r="A87" s="8" t="s">
        <v>205</v>
      </c>
      <c r="B87" s="177">
        <f>C83/B48</f>
        <v>0.31153746435053148</v>
      </c>
      <c r="C87" s="2"/>
    </row>
    <row r="88" spans="1:7">
      <c r="A88" s="2"/>
      <c r="B88" s="2"/>
      <c r="C88" s="2"/>
    </row>
    <row r="89" spans="1:7">
      <c r="A89" s="2"/>
      <c r="B89" s="2"/>
      <c r="C89" s="2"/>
    </row>
    <row r="90" spans="1:7" ht="14.45" customHeight="1">
      <c r="A90" s="2" t="s">
        <v>209</v>
      </c>
      <c r="B90" s="2"/>
      <c r="C90" s="2"/>
    </row>
    <row r="91" spans="1:7">
      <c r="A91" s="2" t="s">
        <v>185</v>
      </c>
      <c r="B91" s="2" t="s">
        <v>186</v>
      </c>
      <c r="C91" s="2" t="s">
        <v>187</v>
      </c>
      <c r="D91" t="s">
        <v>206</v>
      </c>
      <c r="E91" t="s">
        <v>187</v>
      </c>
      <c r="F91" t="s">
        <v>189</v>
      </c>
    </row>
    <row r="92" spans="1:7">
      <c r="A92" s="2" t="s">
        <v>190</v>
      </c>
      <c r="B92" s="93">
        <f>B73*(1-0.241)</f>
        <v>18555743571000.805</v>
      </c>
      <c r="C92" s="2" t="s">
        <v>191</v>
      </c>
      <c r="D92" s="93">
        <f>B92*365</f>
        <v>6772846403415294</v>
      </c>
      <c r="E92" s="93" t="s">
        <v>192</v>
      </c>
      <c r="F92" s="93" t="s">
        <v>72</v>
      </c>
    </row>
    <row r="93" spans="1:7">
      <c r="A93" s="176" t="s">
        <v>193</v>
      </c>
      <c r="B93" s="180">
        <f t="shared" ref="B93:B95" si="14">B74*(1-0.241)</f>
        <v>12.450176845813745</v>
      </c>
      <c r="C93" s="62" t="s">
        <v>194</v>
      </c>
      <c r="D93" s="181">
        <f>B93*365</f>
        <v>4544.3145487220172</v>
      </c>
      <c r="E93" s="8" t="s">
        <v>195</v>
      </c>
      <c r="F93" s="9">
        <f>D93/2000</f>
        <v>2.2721572743610086</v>
      </c>
    </row>
    <row r="94" spans="1:7">
      <c r="A94" s="2" t="s">
        <v>207</v>
      </c>
      <c r="B94" s="180">
        <f t="shared" si="14"/>
        <v>4.4464917306477654</v>
      </c>
      <c r="C94" s="2" t="s">
        <v>194</v>
      </c>
      <c r="D94" s="45">
        <f>B94*365</f>
        <v>1622.9694816864344</v>
      </c>
      <c r="E94" t="s">
        <v>195</v>
      </c>
      <c r="F94" s="9">
        <f>D94/2000</f>
        <v>0.8114847408432172</v>
      </c>
    </row>
    <row r="95" spans="1:7">
      <c r="A95" s="8" t="s">
        <v>197</v>
      </c>
      <c r="B95" s="180">
        <f t="shared" si="14"/>
        <v>1.9564563614850168</v>
      </c>
      <c r="C95" s="2" t="s">
        <v>194</v>
      </c>
      <c r="D95" s="181">
        <f>B95*365</f>
        <v>714.10657194203111</v>
      </c>
      <c r="E95" s="8" t="s">
        <v>195</v>
      </c>
      <c r="F95" s="9">
        <f>D95/2000</f>
        <v>0.35705328597101554</v>
      </c>
    </row>
    <row r="97" spans="1:8">
      <c r="A97" s="198" t="s">
        <v>147</v>
      </c>
      <c r="B97" s="198"/>
      <c r="C97" s="198"/>
      <c r="D97" s="198"/>
      <c r="E97" s="48" t="s">
        <v>64</v>
      </c>
      <c r="F97" s="48" t="s">
        <v>71</v>
      </c>
      <c r="G97" s="48" t="s">
        <v>65</v>
      </c>
    </row>
    <row r="98" spans="1:8">
      <c r="A98" s="199" t="s">
        <v>211</v>
      </c>
      <c r="B98" s="199"/>
      <c r="C98" s="199"/>
      <c r="D98" s="199"/>
      <c r="E98" s="110">
        <f>D93*0.12</f>
        <v>545.31774584664208</v>
      </c>
      <c r="F98" s="110">
        <f>D94*0.2</f>
        <v>324.59389633728688</v>
      </c>
      <c r="G98" s="110">
        <f>D95*0.2</f>
        <v>142.82131438840622</v>
      </c>
    </row>
    <row r="99" spans="1:8">
      <c r="A99" s="221" t="s">
        <v>212</v>
      </c>
      <c r="B99" s="221"/>
      <c r="C99" s="221"/>
      <c r="D99" s="221"/>
      <c r="E99" s="221"/>
      <c r="F99" s="221"/>
      <c r="G99" s="221"/>
      <c r="H99" s="221"/>
    </row>
    <row r="100" spans="1:8">
      <c r="A100" s="221"/>
      <c r="B100" s="221"/>
      <c r="C100" s="221"/>
      <c r="D100" s="221"/>
      <c r="E100" s="221"/>
      <c r="F100" s="221"/>
      <c r="G100" s="221"/>
      <c r="H100" s="221"/>
    </row>
    <row r="101" spans="1:8">
      <c r="A101" s="221"/>
      <c r="B101" s="221"/>
      <c r="C101" s="221"/>
      <c r="D101" s="221"/>
      <c r="E101" s="221"/>
      <c r="F101" s="221"/>
      <c r="G101" s="221"/>
      <c r="H101" s="221"/>
    </row>
    <row r="102" spans="1:8">
      <c r="A102" s="221"/>
      <c r="B102" s="221"/>
      <c r="C102" s="221"/>
      <c r="D102" s="221"/>
      <c r="E102" s="221"/>
      <c r="F102" s="221"/>
      <c r="G102" s="221"/>
      <c r="H102" s="221"/>
    </row>
    <row r="105" spans="1:8">
      <c r="A105" s="200" t="s">
        <v>214</v>
      </c>
      <c r="B105" s="200"/>
      <c r="C105" s="200"/>
      <c r="D105" s="200"/>
      <c r="E105" s="201"/>
      <c r="F105" s="201"/>
      <c r="G105" s="201"/>
    </row>
    <row r="107" spans="1:8" ht="14.45" customHeight="1"/>
    <row r="120" spans="1:7" ht="16.5" thickBot="1">
      <c r="A120" s="131" t="s">
        <v>213</v>
      </c>
      <c r="B120" s="132"/>
      <c r="C120" s="132"/>
      <c r="D120" s="123"/>
      <c r="E120" s="87"/>
      <c r="F120" s="87"/>
      <c r="G120" s="87"/>
    </row>
    <row r="121" spans="1:7" ht="15.75" thickTop="1">
      <c r="A121" s="133" t="s">
        <v>152</v>
      </c>
      <c r="B121" s="134" t="s">
        <v>153</v>
      </c>
      <c r="C121" s="135" t="s">
        <v>215</v>
      </c>
      <c r="D121" s="123"/>
      <c r="E121" s="87"/>
      <c r="F121" s="87"/>
      <c r="G121" s="87"/>
    </row>
    <row r="122" spans="1:7" ht="17.25">
      <c r="A122" s="136" t="s">
        <v>218</v>
      </c>
      <c r="B122" s="12">
        <v>0.75</v>
      </c>
      <c r="C122" s="137" t="s">
        <v>224</v>
      </c>
      <c r="D122" s="9"/>
      <c r="E122" s="45"/>
      <c r="F122" s="2"/>
      <c r="G122" s="2"/>
    </row>
    <row r="123" spans="1:7">
      <c r="A123" s="138" t="s">
        <v>220</v>
      </c>
      <c r="B123" s="191">
        <f>(60*5)/1000000</f>
        <v>2.9999999999999997E-4</v>
      </c>
      <c r="C123" s="137" t="s">
        <v>216</v>
      </c>
      <c r="D123" s="9"/>
      <c r="E123" s="45"/>
      <c r="F123" s="48"/>
      <c r="G123" s="48"/>
    </row>
    <row r="124" spans="1:7">
      <c r="A124" s="138" t="s">
        <v>219</v>
      </c>
      <c r="B124" s="191">
        <f>60/1000000</f>
        <v>6.0000000000000002E-5</v>
      </c>
      <c r="C124" s="137" t="s">
        <v>216</v>
      </c>
      <c r="D124" s="45"/>
      <c r="E124" s="53"/>
      <c r="F124" s="48"/>
      <c r="G124" s="48"/>
    </row>
    <row r="125" spans="1:7">
      <c r="A125" s="138" t="s">
        <v>223</v>
      </c>
      <c r="B125" s="140">
        <f ca="1">SUM(LANDUSE!H3:H5)</f>
        <v>3358.6099999999997</v>
      </c>
      <c r="C125" s="137" t="s">
        <v>0</v>
      </c>
      <c r="D125" s="2"/>
      <c r="E125" s="2"/>
      <c r="F125" s="2"/>
      <c r="G125" s="2"/>
    </row>
    <row r="126" spans="1:7">
      <c r="A126" s="149" t="s">
        <v>162</v>
      </c>
      <c r="B126" s="45"/>
      <c r="C126" s="2"/>
      <c r="D126" s="9"/>
      <c r="E126" s="45"/>
      <c r="F126" s="2"/>
      <c r="G126" s="2"/>
    </row>
    <row r="127" spans="1:7" ht="48.75">
      <c r="A127" s="150" t="s">
        <v>217</v>
      </c>
      <c r="B127" s="151"/>
      <c r="C127" s="151"/>
      <c r="D127" s="9"/>
      <c r="E127" s="45"/>
      <c r="F127" s="2"/>
      <c r="G127" s="2"/>
    </row>
    <row r="128" spans="1:7">
      <c r="A128" s="215" t="s">
        <v>221</v>
      </c>
      <c r="B128" s="216"/>
      <c r="C128" s="216"/>
      <c r="D128" s="9"/>
      <c r="E128" s="45"/>
      <c r="F128" s="2"/>
      <c r="G128" s="2"/>
    </row>
    <row r="130" spans="1:7">
      <c r="A130" s="2" t="s">
        <v>222</v>
      </c>
    </row>
    <row r="131" spans="1:7">
      <c r="A131" s="2" t="s">
        <v>225</v>
      </c>
    </row>
    <row r="133" spans="1:7" ht="15.75" thickBot="1">
      <c r="A133" t="s">
        <v>226</v>
      </c>
    </row>
    <row r="134" spans="1:7" ht="15.75" thickTop="1">
      <c r="A134" s="133" t="s">
        <v>231</v>
      </c>
      <c r="B134" s="134" t="s">
        <v>232</v>
      </c>
      <c r="C134" s="135" t="s">
        <v>215</v>
      </c>
    </row>
    <row r="135" spans="1:7">
      <c r="A135" s="136" t="s">
        <v>227</v>
      </c>
      <c r="B135" s="12">
        <f ca="1">0.75*2000*B125</f>
        <v>5037914.9999999991</v>
      </c>
      <c r="C135" s="137" t="s">
        <v>228</v>
      </c>
    </row>
    <row r="136" spans="1:7">
      <c r="A136" s="138" t="s">
        <v>229</v>
      </c>
      <c r="B136" s="122">
        <f ca="1">(60*5)/1000000*B135</f>
        <v>1511.3744999999997</v>
      </c>
      <c r="C136" s="137" t="s">
        <v>228</v>
      </c>
    </row>
    <row r="137" spans="1:7">
      <c r="A137" s="138" t="s">
        <v>230</v>
      </c>
      <c r="B137" s="122">
        <f ca="1">60/1000000*B135</f>
        <v>302.27489999999995</v>
      </c>
      <c r="C137" s="137" t="s">
        <v>228</v>
      </c>
    </row>
    <row r="138" spans="1:7">
      <c r="A138" s="138"/>
      <c r="B138" s="192"/>
      <c r="C138" s="137"/>
    </row>
    <row r="140" spans="1:7">
      <c r="A140" s="198" t="s">
        <v>147</v>
      </c>
      <c r="B140" s="198"/>
      <c r="C140" s="198"/>
      <c r="D140" s="198"/>
      <c r="E140" s="48" t="s">
        <v>64</v>
      </c>
      <c r="F140" s="48" t="s">
        <v>71</v>
      </c>
      <c r="G140" s="48" t="s">
        <v>65</v>
      </c>
    </row>
    <row r="141" spans="1:7">
      <c r="A141" s="199" t="s">
        <v>247</v>
      </c>
      <c r="B141" s="199"/>
      <c r="C141" s="199"/>
      <c r="D141" s="199"/>
      <c r="E141" s="110">
        <f ca="1">B136</f>
        <v>1511.3744999999997</v>
      </c>
      <c r="F141" s="194" t="s">
        <v>72</v>
      </c>
      <c r="G141" s="110">
        <f ca="1">B137</f>
        <v>302.27489999999995</v>
      </c>
    </row>
  </sheetData>
  <mergeCells count="32">
    <mergeCell ref="A99:H102"/>
    <mergeCell ref="A105:G105"/>
    <mergeCell ref="A56:G56"/>
    <mergeCell ref="A66:G66"/>
    <mergeCell ref="A69:G69"/>
    <mergeCell ref="A71:E71"/>
    <mergeCell ref="A52:C52"/>
    <mergeCell ref="A53:C53"/>
    <mergeCell ref="A54:C54"/>
    <mergeCell ref="A97:D97"/>
    <mergeCell ref="A98:D98"/>
    <mergeCell ref="A2:B2"/>
    <mergeCell ref="D2:E2"/>
    <mergeCell ref="A3:B3"/>
    <mergeCell ref="A33:D33"/>
    <mergeCell ref="A38:F38"/>
    <mergeCell ref="A140:D140"/>
    <mergeCell ref="A141:D141"/>
    <mergeCell ref="A39:G39"/>
    <mergeCell ref="L6:N6"/>
    <mergeCell ref="L7:N7"/>
    <mergeCell ref="L26:T26"/>
    <mergeCell ref="A20:D20"/>
    <mergeCell ref="A21:D21"/>
    <mergeCell ref="A22:D22"/>
    <mergeCell ref="A37:D37"/>
    <mergeCell ref="E37:F37"/>
    <mergeCell ref="A18:D18"/>
    <mergeCell ref="A23:D23"/>
    <mergeCell ref="A32:D32"/>
    <mergeCell ref="A128:C128"/>
    <mergeCell ref="A51:C51"/>
  </mergeCells>
  <pageMargins left="0.7" right="0.7" top="0.75" bottom="0.75" header="0.3" footer="0.3"/>
  <pageSetup scale="59" orientation="portrait" r:id="rId1"/>
  <colBreaks count="1" manualBreakCount="1">
    <brk id="11" max="157" man="1"/>
  </colBreaks>
  <drawing r:id="rId2"/>
  <legacyDrawing r:id="rId3"/>
</worksheet>
</file>

<file path=xl/worksheets/sheet3.xml><?xml version="1.0" encoding="utf-8"?>
<worksheet xmlns="http://schemas.openxmlformats.org/spreadsheetml/2006/main" xmlns:r="http://schemas.openxmlformats.org/officeDocument/2006/relationships">
  <dimension ref="A1:T146"/>
  <sheetViews>
    <sheetView topLeftCell="C18" zoomScaleNormal="100" workbookViewId="0">
      <selection activeCell="C29" sqref="C29"/>
    </sheetView>
  </sheetViews>
  <sheetFormatPr defaultColWidth="8.85546875" defaultRowHeight="15"/>
  <cols>
    <col min="1" max="1" width="20.5703125" style="2" customWidth="1"/>
    <col min="2" max="2" width="11.5703125" style="2" customWidth="1"/>
    <col min="3" max="3" width="10.5703125" style="2" customWidth="1"/>
    <col min="4" max="4" width="16.85546875" style="2" customWidth="1"/>
    <col min="5" max="5" width="12.5703125" style="2" bestFit="1" customWidth="1"/>
    <col min="6" max="6" width="12.28515625" style="2" customWidth="1"/>
    <col min="7" max="7" width="14.140625" style="2" bestFit="1" customWidth="1"/>
    <col min="8" max="8" width="13.28515625" style="2" bestFit="1" customWidth="1"/>
    <col min="9" max="9" width="12.7109375" style="2" bestFit="1" customWidth="1"/>
    <col min="10" max="10" width="12.5703125" style="2" bestFit="1" customWidth="1"/>
    <col min="11" max="11" width="8.85546875" style="2"/>
    <col min="12" max="12" width="32.7109375" style="2" bestFit="1" customWidth="1"/>
    <col min="13" max="13" width="8.85546875" style="2"/>
    <col min="14" max="14" width="32.7109375" style="2" bestFit="1" customWidth="1"/>
    <col min="15" max="18" width="8.85546875" style="2"/>
    <col min="19" max="19" width="13.140625" style="2" customWidth="1"/>
    <col min="20" max="16384" width="8.85546875" style="2"/>
  </cols>
  <sheetData>
    <row r="1" spans="1:15">
      <c r="A1" s="2" t="s">
        <v>233</v>
      </c>
    </row>
    <row r="2" spans="1:15">
      <c r="A2" s="214" t="s">
        <v>24</v>
      </c>
      <c r="B2" s="214"/>
      <c r="C2" s="3">
        <v>59.23</v>
      </c>
      <c r="D2" s="214" t="s">
        <v>25</v>
      </c>
      <c r="E2" s="214"/>
      <c r="F2" s="4" t="s">
        <v>26</v>
      </c>
      <c r="G2" s="4"/>
    </row>
    <row r="3" spans="1:15">
      <c r="A3" s="214" t="s">
        <v>27</v>
      </c>
      <c r="B3" s="214"/>
      <c r="C3" s="3">
        <v>0.98</v>
      </c>
      <c r="D3" s="2" t="s">
        <v>28</v>
      </c>
      <c r="E3" s="4"/>
      <c r="F3" s="4"/>
      <c r="G3" s="4"/>
    </row>
    <row r="4" spans="1:15">
      <c r="A4" s="58" t="s">
        <v>234</v>
      </c>
      <c r="B4" s="58"/>
      <c r="C4" s="3"/>
      <c r="E4" s="4"/>
      <c r="F4" s="4"/>
      <c r="G4" s="4"/>
    </row>
    <row r="5" spans="1:15">
      <c r="B5" s="6" t="s">
        <v>29</v>
      </c>
      <c r="C5" s="4"/>
      <c r="D5" s="44" t="s">
        <v>61</v>
      </c>
      <c r="E5" s="7" t="s">
        <v>30</v>
      </c>
      <c r="F5" s="7" t="s">
        <v>30</v>
      </c>
      <c r="G5" s="7"/>
      <c r="H5" s="7"/>
      <c r="I5" s="7"/>
      <c r="J5" s="7"/>
      <c r="K5" s="7"/>
      <c r="L5" s="8"/>
    </row>
    <row r="6" spans="1:15">
      <c r="A6" s="8" t="s">
        <v>31</v>
      </c>
      <c r="B6" s="8" t="s">
        <v>32</v>
      </c>
      <c r="C6" s="7" t="s">
        <v>0</v>
      </c>
      <c r="D6" s="44" t="s">
        <v>33</v>
      </c>
      <c r="E6" s="7" t="s">
        <v>34</v>
      </c>
      <c r="F6" s="7" t="s">
        <v>35</v>
      </c>
      <c r="G6" s="7"/>
      <c r="H6" s="7"/>
      <c r="I6" s="7"/>
      <c r="J6" s="7"/>
      <c r="K6" s="7"/>
      <c r="L6" s="202" t="s">
        <v>36</v>
      </c>
      <c r="M6" s="203"/>
      <c r="N6" s="204"/>
    </row>
    <row r="7" spans="1:15">
      <c r="A7" s="2" t="s">
        <v>2</v>
      </c>
      <c r="B7" s="9">
        <f t="shared" ref="B7:B14" si="0">VLOOKUP(A7,$M$9:$N$21,2,0)</f>
        <v>0.3</v>
      </c>
      <c r="C7" s="4">
        <f>LANDUSE!H3*1.008</f>
        <v>495.61344000000003</v>
      </c>
      <c r="D7" s="4">
        <f t="shared" ref="D7:D14" si="1">RRF*C7*B7*Rainfall/12</f>
        <v>719.20200925439997</v>
      </c>
      <c r="E7" s="4">
        <f>$D$7*1233481.84*VLOOKUP($A$7,$L$28:$T$39,4,0)*0.000002204623</f>
        <v>2581.6176233979786</v>
      </c>
      <c r="F7" s="4">
        <f t="shared" ref="F7:F14" si="2">D7*1233481.84*VLOOKUP(A7,$L$28:$T$39,5,0)*0.000002204623</f>
        <v>2210.0211473028144</v>
      </c>
      <c r="G7" s="4"/>
      <c r="H7" s="4"/>
      <c r="I7" s="4"/>
      <c r="J7" s="4"/>
      <c r="K7" s="4"/>
      <c r="L7" s="205" t="s">
        <v>37</v>
      </c>
      <c r="M7" s="206"/>
      <c r="N7" s="207"/>
    </row>
    <row r="8" spans="1:15">
      <c r="A8" s="2" t="s">
        <v>4</v>
      </c>
      <c r="B8" s="9">
        <f t="shared" si="0"/>
        <v>0.45</v>
      </c>
      <c r="C8" s="4">
        <f ca="1">LANDUSE!H4*1.008</f>
        <v>2461.3444799999997</v>
      </c>
      <c r="D8" s="4">
        <f t="shared" ca="1" si="1"/>
        <v>5357.6146829771997</v>
      </c>
      <c r="E8" s="4">
        <f t="shared" ref="E8:E14" ca="1" si="3">D8*1233481.84*VLOOKUP(A8,$L$28:$T$39,4,0)*0.000002204623</f>
        <v>24767.803383025377</v>
      </c>
      <c r="F8" s="4">
        <f t="shared" ca="1" si="2"/>
        <v>6993.262131677754</v>
      </c>
      <c r="G8" s="4"/>
      <c r="H8" s="4"/>
      <c r="I8" s="4"/>
      <c r="J8" s="4"/>
      <c r="K8" s="4"/>
      <c r="L8" s="10" t="s">
        <v>38</v>
      </c>
      <c r="M8" s="10" t="s">
        <v>39</v>
      </c>
      <c r="N8" s="11" t="s">
        <v>40</v>
      </c>
    </row>
    <row r="9" spans="1:15">
      <c r="A9" s="2" t="s">
        <v>6</v>
      </c>
      <c r="B9" s="9">
        <f t="shared" si="0"/>
        <v>0.6</v>
      </c>
      <c r="C9" s="4">
        <f>LANDUSE!H5*1.008</f>
        <v>428.52096</v>
      </c>
      <c r="D9" s="4">
        <f t="shared" si="1"/>
        <v>1243.6835265791999</v>
      </c>
      <c r="E9" s="4">
        <f t="shared" si="3"/>
        <v>5884.7256969998052</v>
      </c>
      <c r="F9" s="4">
        <f t="shared" si="2"/>
        <v>1251.3497171781194</v>
      </c>
      <c r="G9" s="4"/>
      <c r="H9" s="4"/>
      <c r="I9" s="4"/>
      <c r="J9" s="4"/>
      <c r="K9" s="4"/>
      <c r="L9" s="12" t="s">
        <v>41</v>
      </c>
      <c r="M9" s="12" t="s">
        <v>2</v>
      </c>
      <c r="N9" s="13">
        <v>0.3</v>
      </c>
    </row>
    <row r="10" spans="1:15">
      <c r="A10" s="2" t="s">
        <v>11</v>
      </c>
      <c r="B10" s="9">
        <f t="shared" si="0"/>
        <v>0.72499999999999998</v>
      </c>
      <c r="C10" s="4">
        <f>LANDUSE!H8*1.008</f>
        <v>217.0224</v>
      </c>
      <c r="D10" s="4">
        <f t="shared" si="1"/>
        <v>761.07793435799988</v>
      </c>
      <c r="E10" s="4">
        <f t="shared" si="3"/>
        <v>2173.1290816780179</v>
      </c>
      <c r="F10" s="4">
        <f t="shared" si="2"/>
        <v>455.32228378015611</v>
      </c>
      <c r="G10" s="4"/>
      <c r="H10" s="4"/>
      <c r="I10" s="4"/>
      <c r="J10" s="4"/>
      <c r="K10" s="4"/>
      <c r="L10" s="12" t="s">
        <v>42</v>
      </c>
      <c r="M10" s="12" t="s">
        <v>4</v>
      </c>
      <c r="N10" s="13">
        <v>0.45</v>
      </c>
    </row>
    <row r="11" spans="1:15">
      <c r="A11" s="2" t="s">
        <v>13</v>
      </c>
      <c r="B11" s="9">
        <f t="shared" si="0"/>
        <v>0.2</v>
      </c>
      <c r="C11" s="4">
        <f>LANDUSE!H9*1.008</f>
        <v>186.93359999999998</v>
      </c>
      <c r="D11" s="4">
        <f t="shared" si="1"/>
        <v>180.84392642399999</v>
      </c>
      <c r="E11" s="4">
        <f t="shared" si="3"/>
        <v>1145.8478194775521</v>
      </c>
      <c r="F11" s="4">
        <f t="shared" si="2"/>
        <v>555.71160343761107</v>
      </c>
      <c r="G11" s="4"/>
      <c r="H11" s="4"/>
      <c r="I11" s="4"/>
      <c r="J11" s="4"/>
      <c r="K11" s="4"/>
      <c r="L11" s="12" t="s">
        <v>43</v>
      </c>
      <c r="M11" s="12" t="s">
        <v>6</v>
      </c>
      <c r="N11" s="13">
        <v>0.6</v>
      </c>
    </row>
    <row r="12" spans="1:15">
      <c r="A12" s="2" t="s">
        <v>15</v>
      </c>
      <c r="B12" s="9">
        <f t="shared" si="0"/>
        <v>0.2</v>
      </c>
      <c r="C12" s="4">
        <f ca="1">LANDUSE!H10+LANDUSE!H12-(C7-'Pre-Loadings'!C7)-(C8-'Pre-Loadings'!C8)-(C9-'Pre-Loadings'!C9)-(C10-'Pre-Loadings'!C10)-(C11-'Pre-Loadings'!C11)-(C13-'Pre-Loadings'!C13)</f>
        <v>655.34608000000014</v>
      </c>
      <c r="D12" s="4">
        <f t="shared" ca="1" si="1"/>
        <v>633.99708920053342</v>
      </c>
      <c r="E12" s="4">
        <f t="shared" ca="1" si="3"/>
        <v>1362.0136157070781</v>
      </c>
      <c r="F12" s="4">
        <f t="shared" ca="1" si="2"/>
        <v>189.64746547820076</v>
      </c>
      <c r="G12" s="4"/>
      <c r="H12" s="4"/>
      <c r="I12" s="4"/>
      <c r="J12" s="4"/>
      <c r="K12" s="4"/>
      <c r="L12" s="12" t="s">
        <v>44</v>
      </c>
      <c r="M12" s="12" t="s">
        <v>11</v>
      </c>
      <c r="N12" s="13">
        <v>0.72499999999999998</v>
      </c>
    </row>
    <row r="13" spans="1:15">
      <c r="A13" s="2" t="s">
        <v>80</v>
      </c>
      <c r="B13" s="9">
        <f t="shared" si="0"/>
        <v>0.78</v>
      </c>
      <c r="C13" s="4">
        <f>LANDUSE!H7*1.008</f>
        <v>52.799040000000005</v>
      </c>
      <c r="D13" s="4">
        <f t="shared" ref="D13" si="4">RRF*C13*B13*Rainfall/12</f>
        <v>199.20819076704004</v>
      </c>
      <c r="E13" s="4">
        <f t="shared" si="3"/>
        <v>595.34947841778251</v>
      </c>
      <c r="F13" s="4">
        <f t="shared" si="2"/>
        <v>89.925398923887101</v>
      </c>
      <c r="G13" s="4"/>
      <c r="H13" s="4"/>
      <c r="I13" s="4"/>
      <c r="J13" s="4"/>
      <c r="K13" s="4"/>
      <c r="L13" s="12"/>
      <c r="M13" s="12"/>
      <c r="N13" s="13"/>
    </row>
    <row r="14" spans="1:15">
      <c r="A14" s="2" t="s">
        <v>16</v>
      </c>
      <c r="B14" s="9">
        <f t="shared" si="0"/>
        <v>1</v>
      </c>
      <c r="C14" s="4">
        <f>LANDUSE!H11</f>
        <v>446.38</v>
      </c>
      <c r="D14" s="4">
        <f t="shared" si="1"/>
        <v>2159.1921376666664</v>
      </c>
      <c r="E14" s="4">
        <f t="shared" si="3"/>
        <v>5754.1934683757299</v>
      </c>
      <c r="F14" s="4">
        <f t="shared" si="2"/>
        <v>2466.0829150181694</v>
      </c>
      <c r="G14" s="4"/>
      <c r="H14" s="4"/>
      <c r="I14" s="4"/>
      <c r="J14" s="4"/>
      <c r="K14" s="4"/>
      <c r="L14" s="12" t="s">
        <v>45</v>
      </c>
      <c r="M14" s="12" t="s">
        <v>8</v>
      </c>
      <c r="N14" s="13">
        <v>0.73</v>
      </c>
    </row>
    <row r="15" spans="1:15">
      <c r="A15" s="84" t="s">
        <v>73</v>
      </c>
      <c r="B15" s="85"/>
      <c r="C15" s="86">
        <f ca="1">SUM(C7:C14)</f>
        <v>4943.9599999999991</v>
      </c>
      <c r="D15" s="86">
        <f ca="1">SUM(D7:D14)</f>
        <v>11254.819497227039</v>
      </c>
      <c r="E15" s="86">
        <f ca="1">SUM(E7:E14)</f>
        <v>44264.680167079321</v>
      </c>
      <c r="F15" s="86">
        <f t="shared" ref="F15" ca="1" si="5">SUM(F7:F14)</f>
        <v>14211.322662796714</v>
      </c>
      <c r="G15" s="7"/>
      <c r="H15" s="7"/>
      <c r="I15" s="7"/>
      <c r="J15" s="7"/>
      <c r="K15" s="7"/>
      <c r="L15" s="12" t="s">
        <v>46</v>
      </c>
      <c r="M15" s="12" t="s">
        <v>10</v>
      </c>
      <c r="N15" s="13">
        <v>0.73</v>
      </c>
    </row>
    <row r="16" spans="1:15">
      <c r="A16" s="84" t="s">
        <v>114</v>
      </c>
      <c r="B16" s="85"/>
      <c r="C16" s="86"/>
      <c r="D16" s="86">
        <v>0.51</v>
      </c>
      <c r="E16" s="86"/>
      <c r="F16" s="86"/>
      <c r="G16" s="7"/>
      <c r="H16" s="7"/>
      <c r="I16" s="7"/>
      <c r="J16" s="7"/>
      <c r="K16" s="7"/>
      <c r="L16" s="12" t="s">
        <v>81</v>
      </c>
      <c r="M16" s="12" t="s">
        <v>80</v>
      </c>
      <c r="N16" s="13">
        <v>0.78</v>
      </c>
      <c r="O16" s="2" t="s">
        <v>82</v>
      </c>
    </row>
    <row r="17" spans="1:20">
      <c r="A17" s="109" t="s">
        <v>115</v>
      </c>
      <c r="B17" s="111"/>
      <c r="C17" s="112"/>
      <c r="D17" s="112">
        <f ca="1">D15*$D$16</f>
        <v>5739.9579435857904</v>
      </c>
      <c r="E17" s="112">
        <f t="shared" ref="E17:F17" ca="1" si="6">E15*$D$16</f>
        <v>22574.986885210456</v>
      </c>
      <c r="F17" s="112">
        <f t="shared" ca="1" si="6"/>
        <v>7247.7745580263245</v>
      </c>
      <c r="G17" s="113"/>
      <c r="H17" s="7"/>
      <c r="I17" s="7"/>
      <c r="J17" s="7"/>
      <c r="K17" s="7"/>
      <c r="L17" s="12"/>
      <c r="M17" s="12"/>
      <c r="N17" s="13"/>
    </row>
    <row r="18" spans="1:20" ht="15.75" thickBot="1">
      <c r="A18" s="211" t="s">
        <v>77</v>
      </c>
      <c r="B18" s="212"/>
      <c r="C18" s="212"/>
      <c r="D18" s="212"/>
      <c r="E18" s="86"/>
      <c r="F18" s="86"/>
      <c r="G18" s="7"/>
      <c r="H18" s="7"/>
      <c r="I18" s="7"/>
      <c r="J18" s="7"/>
      <c r="K18" s="7"/>
      <c r="L18" s="12"/>
      <c r="M18" s="12"/>
      <c r="N18" s="13"/>
    </row>
    <row r="19" spans="1:20" ht="15.75" thickTop="1">
      <c r="A19" s="104" t="s">
        <v>139</v>
      </c>
      <c r="B19" s="105"/>
      <c r="C19" s="105"/>
      <c r="D19" s="105"/>
      <c r="E19" s="106" t="s">
        <v>64</v>
      </c>
      <c r="F19" s="106" t="s">
        <v>71</v>
      </c>
      <c r="G19" s="106" t="s">
        <v>65</v>
      </c>
      <c r="K19" s="4"/>
      <c r="L19" s="12" t="s">
        <v>47</v>
      </c>
      <c r="M19" s="12" t="s">
        <v>13</v>
      </c>
      <c r="N19" s="13">
        <v>0.2</v>
      </c>
    </row>
    <row r="20" spans="1:20" ht="30" customHeight="1">
      <c r="A20" s="209" t="s">
        <v>136</v>
      </c>
      <c r="B20" s="209"/>
      <c r="C20" s="209"/>
      <c r="D20" s="209"/>
      <c r="E20" s="102">
        <f ca="1">$C8*0.6*43.56*4*0.21*0.12</f>
        <v>6484.4336923914234</v>
      </c>
      <c r="F20" s="102">
        <f ca="1">$C8*0.6*43.56*0.5*(0.21-(0.21*0.2))*0.2</f>
        <v>1080.738948731904</v>
      </c>
      <c r="G20" s="102">
        <f ca="1">F20*0.44</f>
        <v>475.52513744203776</v>
      </c>
      <c r="H20" s="2" t="s">
        <v>74</v>
      </c>
      <c r="K20" s="4"/>
      <c r="L20" s="12" t="s">
        <v>48</v>
      </c>
      <c r="M20" s="12" t="s">
        <v>15</v>
      </c>
      <c r="N20" s="13">
        <v>0.2</v>
      </c>
    </row>
    <row r="21" spans="1:20" ht="30" customHeight="1">
      <c r="A21" s="209" t="s">
        <v>137</v>
      </c>
      <c r="B21" s="209"/>
      <c r="C21" s="209"/>
      <c r="D21" s="209"/>
      <c r="E21" s="102">
        <f>$C9*0.45*43.56*4*0.21*0.12</f>
        <v>846.70668007833592</v>
      </c>
      <c r="F21" s="102">
        <f>$C9*0.6*43.56*0.5*(0.21-(0.21*0.2))*0.2</f>
        <v>188.15704001740798</v>
      </c>
      <c r="G21" s="102">
        <f>F21*0.44</f>
        <v>82.789097607659514</v>
      </c>
      <c r="H21" s="2" t="s">
        <v>75</v>
      </c>
      <c r="K21" s="7"/>
      <c r="L21" s="12" t="s">
        <v>49</v>
      </c>
      <c r="M21" s="12" t="s">
        <v>16</v>
      </c>
      <c r="N21" s="13">
        <v>1</v>
      </c>
    </row>
    <row r="22" spans="1:20" ht="30" customHeight="1">
      <c r="A22" s="210" t="s">
        <v>138</v>
      </c>
      <c r="B22" s="210"/>
      <c r="C22" s="210"/>
      <c r="D22" s="210"/>
      <c r="E22" s="102">
        <f>$C7*0.8*43.56*4*0.21*0.12</f>
        <v>1740.9306254376963</v>
      </c>
      <c r="F22" s="102">
        <f>$C7*0.8*43.56*0.5*(0.21-(0.21*0.2))*0.2</f>
        <v>290.15510423961604</v>
      </c>
      <c r="G22" s="102">
        <f>F21*0.44</f>
        <v>82.789097607659514</v>
      </c>
      <c r="H22" s="82" t="s">
        <v>113</v>
      </c>
      <c r="K22" s="7"/>
      <c r="L22" s="82"/>
      <c r="M22" s="82"/>
      <c r="N22" s="83"/>
    </row>
    <row r="23" spans="1:20">
      <c r="A23" s="199" t="s">
        <v>140</v>
      </c>
      <c r="B23" s="227"/>
      <c r="C23" s="227"/>
      <c r="D23" s="227"/>
      <c r="E23" s="107">
        <f ca="1">SUM(E20:E22)</f>
        <v>9072.0709979074563</v>
      </c>
      <c r="F23" s="107">
        <f ca="1">SUM(F20:F22)</f>
        <v>1559.0510929889281</v>
      </c>
      <c r="G23" s="107">
        <f ca="1">SUM(G20:G22)</f>
        <v>641.10333265735676</v>
      </c>
      <c r="K23" s="4"/>
    </row>
    <row r="24" spans="1:20">
      <c r="A24" s="211" t="s">
        <v>146</v>
      </c>
      <c r="B24" s="212"/>
      <c r="C24" s="212"/>
      <c r="D24" s="212"/>
      <c r="E24" s="52"/>
      <c r="F24" s="52"/>
      <c r="G24" s="52"/>
      <c r="K24" s="4"/>
    </row>
    <row r="25" spans="1:20">
      <c r="A25" s="51" t="s">
        <v>76</v>
      </c>
      <c r="B25" s="52" t="s">
        <v>63</v>
      </c>
      <c r="C25" s="52" t="s">
        <v>69</v>
      </c>
      <c r="D25" s="52" t="s">
        <v>70</v>
      </c>
      <c r="E25" s="52" t="s">
        <v>64</v>
      </c>
      <c r="F25" s="52" t="s">
        <v>71</v>
      </c>
      <c r="G25" s="52" t="s">
        <v>65</v>
      </c>
      <c r="K25" s="4"/>
    </row>
    <row r="26" spans="1:20" ht="15.75" thickBot="1">
      <c r="A26" s="46" t="s">
        <v>62</v>
      </c>
      <c r="B26" s="2">
        <v>88</v>
      </c>
      <c r="C26" s="2">
        <f>'Pre-Loadings'!C26*0.75</f>
        <v>4.5</v>
      </c>
      <c r="D26" s="2">
        <f>'Pre-Loadings'!D26*0.75</f>
        <v>0.60000000000000009</v>
      </c>
      <c r="E26" s="45">
        <f>B26*43.56*C26*0.12</f>
        <v>2069.9712</v>
      </c>
      <c r="F26" s="45">
        <f>B26*43.56*D26*0.2</f>
        <v>459.99360000000007</v>
      </c>
      <c r="G26" s="45">
        <f t="shared" ref="G26:G29" si="7">F26*0.44</f>
        <v>202.39718400000004</v>
      </c>
      <c r="H26" s="103" t="s">
        <v>116</v>
      </c>
      <c r="I26" s="8"/>
      <c r="K26" s="4"/>
      <c r="L26" s="208" t="s">
        <v>50</v>
      </c>
      <c r="M26" s="208"/>
      <c r="N26" s="208"/>
      <c r="O26" s="208"/>
      <c r="P26" s="208"/>
      <c r="Q26" s="208"/>
      <c r="R26" s="208"/>
      <c r="S26" s="208"/>
      <c r="T26" s="208"/>
    </row>
    <row r="27" spans="1:20" ht="16.5" thickTop="1" thickBot="1">
      <c r="A27" s="46" t="s">
        <v>67</v>
      </c>
      <c r="B27" s="2">
        <v>5.9</v>
      </c>
      <c r="C27" s="2">
        <f>'Pre-Loadings'!C27*0.75</f>
        <v>7.875</v>
      </c>
      <c r="D27" s="2">
        <f>'Pre-Loadings'!D27*0.75</f>
        <v>1.0874999999999999</v>
      </c>
      <c r="E27" s="45">
        <f>B27*43.56*C27*0.12</f>
        <v>242.86877999999999</v>
      </c>
      <c r="F27" s="45">
        <f t="shared" ref="F27:F28" si="8">B27*43.56*D27*0.2</f>
        <v>55.89837</v>
      </c>
      <c r="G27" s="45">
        <f t="shared" si="7"/>
        <v>24.5952828</v>
      </c>
      <c r="H27" s="103" t="s">
        <v>116</v>
      </c>
      <c r="I27" s="8"/>
      <c r="K27" s="7"/>
      <c r="L27" s="14" t="s">
        <v>51</v>
      </c>
      <c r="M27" s="15" t="s">
        <v>52</v>
      </c>
      <c r="N27" s="16" t="s">
        <v>53</v>
      </c>
      <c r="O27" s="17" t="s">
        <v>54</v>
      </c>
      <c r="P27" s="18" t="s">
        <v>55</v>
      </c>
      <c r="Q27" s="18" t="s">
        <v>56</v>
      </c>
      <c r="R27" s="18" t="s">
        <v>57</v>
      </c>
      <c r="S27" s="18" t="s">
        <v>58</v>
      </c>
      <c r="T27" s="19" t="s">
        <v>59</v>
      </c>
    </row>
    <row r="28" spans="1:20" ht="15.75" thickTop="1">
      <c r="A28" s="49" t="s">
        <v>66</v>
      </c>
      <c r="B28" s="49">
        <v>89.1</v>
      </c>
      <c r="C28" s="2">
        <f>'Pre-Loadings'!C28*0.5</f>
        <v>1</v>
      </c>
      <c r="D28" s="2">
        <f>'Pre-Loadings'!D28*0.5</f>
        <v>0.25</v>
      </c>
      <c r="E28" s="50">
        <f t="shared" ref="E28" si="9">B28*43.56*C28*0.12</f>
        <v>465.74351999999999</v>
      </c>
      <c r="F28" s="50">
        <f t="shared" si="8"/>
        <v>194.0598</v>
      </c>
      <c r="G28" s="50">
        <f t="shared" si="7"/>
        <v>85.386312000000004</v>
      </c>
      <c r="H28" s="103" t="s">
        <v>117</v>
      </c>
      <c r="I28" s="8"/>
      <c r="K28" s="4"/>
      <c r="L28" s="20" t="s">
        <v>2</v>
      </c>
      <c r="M28" s="21">
        <v>1.08</v>
      </c>
      <c r="N28" s="21">
        <v>0.24</v>
      </c>
      <c r="O28" s="22">
        <v>1.32</v>
      </c>
      <c r="P28" s="23">
        <v>1.1299999999999999</v>
      </c>
      <c r="Q28" s="24">
        <v>9.83</v>
      </c>
      <c r="R28" s="25">
        <v>206.2</v>
      </c>
      <c r="S28" s="26">
        <v>3.8999999999999998E-3</v>
      </c>
      <c r="T28" s="27">
        <v>5.0200000000000002E-2</v>
      </c>
    </row>
    <row r="29" spans="1:20" ht="30">
      <c r="A29" s="108" t="s">
        <v>141</v>
      </c>
      <c r="B29" s="109">
        <f>SUM(B26:B28)</f>
        <v>183</v>
      </c>
      <c r="C29" s="109"/>
      <c r="D29" s="109"/>
      <c r="E29" s="110">
        <f t="shared" ref="E29:F29" si="10">SUM(E26:E28)</f>
        <v>2778.5834999999997</v>
      </c>
      <c r="F29" s="110">
        <f t="shared" si="10"/>
        <v>709.95177000000012</v>
      </c>
      <c r="G29" s="110">
        <f t="shared" si="7"/>
        <v>312.37877880000008</v>
      </c>
      <c r="K29" s="4"/>
      <c r="L29" s="28" t="s">
        <v>4</v>
      </c>
      <c r="M29" s="29">
        <v>1.43</v>
      </c>
      <c r="N29" s="29">
        <v>0.26</v>
      </c>
      <c r="O29" s="30">
        <v>1.7</v>
      </c>
      <c r="P29" s="31">
        <v>0.48</v>
      </c>
      <c r="Q29" s="32">
        <v>9.36</v>
      </c>
      <c r="R29" s="33">
        <v>61.67</v>
      </c>
      <c r="S29" s="34">
        <v>7.0000000000000001E-3</v>
      </c>
      <c r="T29" s="35">
        <v>4.5900000000000003E-2</v>
      </c>
    </row>
    <row r="30" spans="1:20">
      <c r="A30" s="2" t="s">
        <v>68</v>
      </c>
      <c r="K30" s="4"/>
      <c r="L30" s="28" t="s">
        <v>6</v>
      </c>
      <c r="M30" s="29">
        <v>1.44</v>
      </c>
      <c r="N30" s="29">
        <v>0.31</v>
      </c>
      <c r="O30" s="30">
        <v>1.74</v>
      </c>
      <c r="P30" s="31">
        <v>0.37</v>
      </c>
      <c r="Q30" s="32">
        <v>7.8</v>
      </c>
      <c r="R30" s="33">
        <v>89.8</v>
      </c>
      <c r="S30" s="34">
        <v>2.0899999999999998E-2</v>
      </c>
      <c r="T30" s="35">
        <v>0.13769999999999999</v>
      </c>
    </row>
    <row r="31" spans="1:20">
      <c r="K31" s="4"/>
      <c r="L31" s="28" t="s">
        <v>11</v>
      </c>
      <c r="M31" s="29">
        <v>0.82</v>
      </c>
      <c r="N31" s="29">
        <v>0.24</v>
      </c>
      <c r="O31" s="30">
        <v>1.05</v>
      </c>
      <c r="P31" s="31">
        <v>0.22</v>
      </c>
      <c r="Q31" s="32">
        <v>7.33</v>
      </c>
      <c r="R31" s="33">
        <v>50.5</v>
      </c>
      <c r="S31" s="34">
        <v>1.2500000000000001E-2</v>
      </c>
      <c r="T31" s="35">
        <v>7.9000000000000001E-2</v>
      </c>
    </row>
    <row r="32" spans="1:20">
      <c r="A32" s="198" t="s">
        <v>147</v>
      </c>
      <c r="B32" s="198"/>
      <c r="C32" s="198"/>
      <c r="D32" s="198"/>
      <c r="E32" s="48" t="s">
        <v>64</v>
      </c>
      <c r="F32" s="48" t="s">
        <v>71</v>
      </c>
      <c r="G32" s="48" t="s">
        <v>65</v>
      </c>
      <c r="K32" s="7"/>
      <c r="L32" s="28" t="s">
        <v>8</v>
      </c>
      <c r="M32" s="29">
        <v>1.25</v>
      </c>
      <c r="N32" s="29">
        <v>0.48</v>
      </c>
      <c r="O32" s="30">
        <v>1.73</v>
      </c>
      <c r="P32" s="31">
        <v>0.24</v>
      </c>
      <c r="Q32" s="32">
        <v>9.25</v>
      </c>
      <c r="R32" s="33">
        <v>59.3</v>
      </c>
      <c r="S32" s="34">
        <v>3.3E-3</v>
      </c>
      <c r="T32" s="35">
        <v>7.6499999999999999E-2</v>
      </c>
    </row>
    <row r="33" spans="1:20">
      <c r="A33" s="199" t="s">
        <v>133</v>
      </c>
      <c r="B33" s="199"/>
      <c r="C33" s="199"/>
      <c r="D33" s="199"/>
      <c r="E33" s="110">
        <f ca="1">SUM(E20:E22,E29)</f>
        <v>11850.654497907457</v>
      </c>
      <c r="F33" s="110">
        <f ca="1">SUM(F20:F22,F29)</f>
        <v>2269.0028629889284</v>
      </c>
      <c r="G33" s="110">
        <f t="shared" ref="G33" ca="1" si="11">F33*0.44</f>
        <v>998.36125971512854</v>
      </c>
      <c r="K33" s="4"/>
      <c r="L33" s="28" t="s">
        <v>10</v>
      </c>
      <c r="M33" s="29">
        <v>0.72</v>
      </c>
      <c r="N33" s="29">
        <v>0.21</v>
      </c>
      <c r="O33" s="30">
        <v>0.92</v>
      </c>
      <c r="P33" s="31">
        <v>7.0000000000000007E-2</v>
      </c>
      <c r="Q33" s="32">
        <v>7.86</v>
      </c>
      <c r="R33" s="33">
        <v>15</v>
      </c>
      <c r="S33" s="34">
        <v>2E-3</v>
      </c>
      <c r="T33" s="35">
        <v>3.1899999999999998E-2</v>
      </c>
    </row>
    <row r="34" spans="1:20">
      <c r="A34" s="226" t="s">
        <v>134</v>
      </c>
      <c r="B34" s="226"/>
      <c r="C34" s="226"/>
      <c r="D34" s="226"/>
      <c r="E34" s="114">
        <f ca="1">'Pre-Loadings'!E33</f>
        <v>17301.091940352002</v>
      </c>
      <c r="F34" s="114">
        <f ca="1">'Pre-Loadings'!F33</f>
        <v>3359.1664085760003</v>
      </c>
      <c r="G34" s="114">
        <f ca="1">'Pre-Loadings'!G33</f>
        <v>1478.0332197734401</v>
      </c>
      <c r="K34" s="4"/>
      <c r="L34" s="28" t="s">
        <v>13</v>
      </c>
      <c r="M34" s="29">
        <v>2.13</v>
      </c>
      <c r="N34" s="29">
        <v>0.2</v>
      </c>
      <c r="O34" s="30">
        <v>2.33</v>
      </c>
      <c r="P34" s="31">
        <v>1.1299999999999999</v>
      </c>
      <c r="Q34" s="32">
        <v>8.3800000000000008</v>
      </c>
      <c r="R34" s="33">
        <v>105.4</v>
      </c>
      <c r="S34" s="34">
        <v>6.3E-3</v>
      </c>
      <c r="T34" s="35">
        <v>4.6300000000000001E-2</v>
      </c>
    </row>
    <row r="35" spans="1:20">
      <c r="A35" s="199" t="s">
        <v>148</v>
      </c>
      <c r="B35" s="227"/>
      <c r="C35" s="227"/>
      <c r="D35" s="227"/>
      <c r="E35" s="110">
        <f ca="1">E34-E33</f>
        <v>5450.437442444545</v>
      </c>
      <c r="F35" s="110">
        <f t="shared" ref="F35:G35" ca="1" si="12">F34-F33</f>
        <v>1090.1635455870719</v>
      </c>
      <c r="G35" s="110">
        <f t="shared" ca="1" si="12"/>
        <v>479.67196005831158</v>
      </c>
      <c r="K35" s="4"/>
      <c r="L35" s="28" t="s">
        <v>80</v>
      </c>
      <c r="M35" s="29"/>
      <c r="N35" s="29"/>
      <c r="O35" s="30">
        <v>1.099</v>
      </c>
      <c r="P35" s="31">
        <v>0.16600000000000001</v>
      </c>
      <c r="Q35" s="32">
        <v>1.9</v>
      </c>
      <c r="R35" s="33">
        <v>70.599999999999994</v>
      </c>
      <c r="S35" s="34">
        <v>1.1286250000000001E-2</v>
      </c>
      <c r="T35" s="35">
        <v>6.2141176470588221E-2</v>
      </c>
    </row>
    <row r="36" spans="1:20">
      <c r="A36" s="8" t="s">
        <v>135</v>
      </c>
      <c r="E36" s="53">
        <f ca="1">(E34-E33)/E$34</f>
        <v>0.31503430310848068</v>
      </c>
      <c r="F36" s="53">
        <f t="shared" ref="F36:G36" ca="1" si="13">(F34-F33)/F$34</f>
        <v>0.32453395068605967</v>
      </c>
      <c r="G36" s="53">
        <f t="shared" ca="1" si="13"/>
        <v>0.32453395068605967</v>
      </c>
      <c r="K36" s="4"/>
      <c r="L36" s="28"/>
      <c r="M36" s="29"/>
      <c r="N36" s="29"/>
      <c r="O36" s="30"/>
      <c r="P36" s="31"/>
      <c r="Q36" s="32"/>
      <c r="R36" s="33"/>
      <c r="S36" s="34"/>
      <c r="T36" s="35"/>
    </row>
    <row r="37" spans="1:20" ht="15" customHeight="1">
      <c r="A37" s="211"/>
      <c r="B37" s="212"/>
      <c r="C37" s="212"/>
      <c r="D37" s="212"/>
      <c r="E37" s="211"/>
      <c r="F37" s="212"/>
      <c r="K37" s="4"/>
      <c r="L37" s="28" t="s">
        <v>60</v>
      </c>
      <c r="M37" s="29">
        <v>1.0900000000000001</v>
      </c>
      <c r="N37" s="29">
        <v>0.23</v>
      </c>
      <c r="O37" s="30">
        <v>1.32</v>
      </c>
      <c r="P37" s="31">
        <v>0.94</v>
      </c>
      <c r="Q37" s="32">
        <v>8.4499999999999993</v>
      </c>
      <c r="R37" s="33">
        <v>87.44</v>
      </c>
      <c r="S37" s="34">
        <v>6.3E-3</v>
      </c>
      <c r="T37" s="35">
        <v>5.7700000000000001E-2</v>
      </c>
    </row>
    <row r="38" spans="1:20">
      <c r="A38" s="217"/>
      <c r="B38" s="218"/>
      <c r="C38" s="218"/>
      <c r="D38" s="218"/>
      <c r="E38" s="218"/>
      <c r="F38" s="218"/>
      <c r="G38" s="57"/>
      <c r="H38" s="56"/>
      <c r="K38" s="4"/>
      <c r="L38" s="28" t="s">
        <v>15</v>
      </c>
      <c r="M38" s="29">
        <v>0.72</v>
      </c>
      <c r="N38" s="29">
        <v>7.0000000000000007E-2</v>
      </c>
      <c r="O38" s="30">
        <v>0.79</v>
      </c>
      <c r="P38" s="31">
        <v>0.11</v>
      </c>
      <c r="Q38" s="32">
        <v>5</v>
      </c>
      <c r="R38" s="33">
        <v>12.4</v>
      </c>
      <c r="S38" s="34">
        <v>1.4E-3</v>
      </c>
      <c r="T38" s="35">
        <v>1.0500000000000001E-2</v>
      </c>
    </row>
    <row r="39" spans="1:20" ht="15.75" thickBot="1">
      <c r="A39" s="200" t="s">
        <v>149</v>
      </c>
      <c r="B39" s="200"/>
      <c r="C39" s="200"/>
      <c r="D39" s="200"/>
      <c r="E39" s="201"/>
      <c r="F39" s="201"/>
      <c r="G39" s="201"/>
      <c r="H39" s="56"/>
      <c r="K39" s="4"/>
      <c r="L39" s="36" t="s">
        <v>16</v>
      </c>
      <c r="M39" s="37">
        <v>0.9</v>
      </c>
      <c r="N39" s="37">
        <v>0.08</v>
      </c>
      <c r="O39" s="38">
        <v>0.98</v>
      </c>
      <c r="P39" s="39">
        <v>0.42</v>
      </c>
      <c r="Q39" s="40">
        <v>3.58</v>
      </c>
      <c r="R39" s="41">
        <v>5.88</v>
      </c>
      <c r="S39" s="42">
        <v>7.3000000000000001E-3</v>
      </c>
      <c r="T39" s="43">
        <v>2.8999999999999998E-3</v>
      </c>
    </row>
    <row r="40" spans="1:20" ht="17.25" thickTop="1" thickBot="1">
      <c r="A40" s="131" t="s">
        <v>237</v>
      </c>
      <c r="B40" s="132"/>
      <c r="C40" s="132"/>
      <c r="D40" s="183"/>
      <c r="E40" s="184"/>
      <c r="F40" s="184"/>
      <c r="G40" s="184"/>
      <c r="H40" s="56"/>
      <c r="K40" s="7"/>
    </row>
    <row r="41" spans="1:20" ht="15.75" thickTop="1">
      <c r="A41" s="133" t="s">
        <v>152</v>
      </c>
      <c r="B41" s="134" t="s">
        <v>153</v>
      </c>
      <c r="C41" s="135" t="s">
        <v>154</v>
      </c>
      <c r="D41" s="183"/>
      <c r="E41" s="184"/>
      <c r="F41" s="184"/>
      <c r="G41" s="184"/>
      <c r="H41" s="56"/>
    </row>
    <row r="42" spans="1:20" ht="45">
      <c r="A42" s="136" t="s">
        <v>155</v>
      </c>
      <c r="B42" s="12">
        <f>23*10^6</f>
        <v>23000000</v>
      </c>
      <c r="C42" s="137">
        <v>1</v>
      </c>
      <c r="D42" s="9"/>
      <c r="E42" s="45"/>
    </row>
    <row r="43" spans="1:20" ht="14.25" customHeight="1">
      <c r="A43" s="138" t="s">
        <v>156</v>
      </c>
      <c r="B43" s="139">
        <v>7.0000000000000001E-3</v>
      </c>
      <c r="C43" s="137">
        <v>2</v>
      </c>
      <c r="D43" s="9"/>
      <c r="E43" s="45"/>
      <c r="F43" s="48"/>
      <c r="G43" s="48"/>
    </row>
    <row r="44" spans="1:20" ht="15" customHeight="1">
      <c r="A44" s="138" t="s">
        <v>157</v>
      </c>
      <c r="B44" s="139">
        <v>2.5000000000000001E-3</v>
      </c>
      <c r="C44" s="137">
        <v>2</v>
      </c>
      <c r="D44" s="45"/>
      <c r="E44" s="53"/>
      <c r="F44" s="48"/>
      <c r="G44" s="48"/>
    </row>
    <row r="45" spans="1:20" ht="30" customHeight="1">
      <c r="A45" s="138" t="s">
        <v>158</v>
      </c>
      <c r="B45" s="140">
        <f>'[1]Electric Customers'!$C$4*1.016</f>
        <v>5775.96</v>
      </c>
      <c r="C45" s="137">
        <v>3</v>
      </c>
      <c r="D45" s="2" t="s">
        <v>235</v>
      </c>
    </row>
    <row r="46" spans="1:20">
      <c r="A46" s="138" t="s">
        <v>159</v>
      </c>
      <c r="B46" s="141">
        <v>0.35419440745672437</v>
      </c>
      <c r="C46" s="137">
        <v>4</v>
      </c>
      <c r="D46" s="2" t="s">
        <v>236</v>
      </c>
      <c r="E46" s="48"/>
    </row>
    <row r="47" spans="1:20">
      <c r="A47" s="138" t="s">
        <v>160</v>
      </c>
      <c r="B47" s="142">
        <v>1.5112781954887218</v>
      </c>
      <c r="C47" s="137">
        <v>4</v>
      </c>
      <c r="D47" s="2" t="s">
        <v>236</v>
      </c>
      <c r="E47" s="48"/>
    </row>
    <row r="48" spans="1:20">
      <c r="A48" s="143" t="s">
        <v>202</v>
      </c>
      <c r="B48" s="140">
        <f>B45*B46</f>
        <v>2045.8127296937416</v>
      </c>
      <c r="C48" s="145"/>
    </row>
    <row r="49" spans="1:7" ht="15.75" thickBot="1">
      <c r="A49" s="146" t="s">
        <v>184</v>
      </c>
      <c r="B49" s="147">
        <f>B45*B46*B47</f>
        <v>3091.7921704394139</v>
      </c>
      <c r="C49" s="148">
        <v>4</v>
      </c>
    </row>
    <row r="50" spans="1:7" ht="15.75" thickTop="1">
      <c r="A50" s="149" t="s">
        <v>162</v>
      </c>
      <c r="B50" s="45"/>
      <c r="D50" s="9"/>
      <c r="E50" s="45"/>
    </row>
    <row r="51" spans="1:7">
      <c r="A51" s="215" t="s">
        <v>163</v>
      </c>
      <c r="B51" s="216"/>
      <c r="C51" s="216"/>
      <c r="D51" s="9"/>
      <c r="E51" s="45"/>
    </row>
    <row r="52" spans="1:7">
      <c r="A52" s="215" t="s">
        <v>164</v>
      </c>
      <c r="B52" s="216"/>
      <c r="C52" s="216"/>
      <c r="D52" s="9"/>
      <c r="E52" s="45"/>
    </row>
    <row r="53" spans="1:7">
      <c r="A53" s="219" t="s">
        <v>181</v>
      </c>
      <c r="B53" s="220"/>
      <c r="C53" s="220"/>
      <c r="D53" s="9"/>
      <c r="E53" s="45"/>
    </row>
    <row r="54" spans="1:7" ht="14.45" customHeight="1">
      <c r="A54" s="215" t="s">
        <v>182</v>
      </c>
      <c r="B54" s="214"/>
      <c r="C54" s="214"/>
      <c r="D54" s="214"/>
      <c r="E54" s="214"/>
      <c r="F54" s="214"/>
      <c r="G54" s="214"/>
    </row>
    <row r="55" spans="1:7">
      <c r="B55" s="45"/>
      <c r="D55" s="9"/>
      <c r="E55" s="45"/>
    </row>
    <row r="56" spans="1:7" ht="15.75" thickBot="1">
      <c r="A56" s="222" t="s">
        <v>238</v>
      </c>
      <c r="B56" s="222"/>
      <c r="C56" s="222"/>
      <c r="D56" s="222"/>
      <c r="E56" s="222"/>
      <c r="F56" s="222"/>
      <c r="G56" s="222"/>
    </row>
    <row r="57" spans="1:7" ht="52.5" thickTop="1">
      <c r="A57" s="152" t="s">
        <v>165</v>
      </c>
      <c r="B57" s="153" t="s">
        <v>166</v>
      </c>
      <c r="C57" s="153" t="s">
        <v>167</v>
      </c>
      <c r="D57" s="154" t="s">
        <v>168</v>
      </c>
      <c r="E57" s="153" t="s">
        <v>169</v>
      </c>
      <c r="F57" s="153" t="s">
        <v>170</v>
      </c>
      <c r="G57" s="155" t="s">
        <v>171</v>
      </c>
    </row>
    <row r="58" spans="1:7">
      <c r="A58" s="138"/>
      <c r="B58" s="12"/>
      <c r="C58" s="12"/>
      <c r="D58" s="13"/>
      <c r="E58" s="12"/>
      <c r="F58" s="12"/>
      <c r="G58" s="137"/>
    </row>
    <row r="59" spans="1:7">
      <c r="A59" s="156" t="s">
        <v>172</v>
      </c>
      <c r="B59" s="12">
        <v>10</v>
      </c>
      <c r="C59" s="122">
        <v>68.436999999999998</v>
      </c>
      <c r="D59" s="13">
        <f>C59/365</f>
        <v>0.18749863013698628</v>
      </c>
      <c r="E59" s="121">
        <v>0.37064676616915421</v>
      </c>
      <c r="F59" s="122">
        <f>E59*B$49</f>
        <v>1145.9627696404791</v>
      </c>
      <c r="G59" s="157">
        <f>F59*D59</f>
        <v>214.8664494955766</v>
      </c>
    </row>
    <row r="60" spans="1:7">
      <c r="A60" s="158" t="s">
        <v>173</v>
      </c>
      <c r="B60" s="12">
        <v>40</v>
      </c>
      <c r="C60" s="122">
        <v>273.74799999999999</v>
      </c>
      <c r="D60" s="13">
        <f>C60/365</f>
        <v>0.74999452054794513</v>
      </c>
      <c r="E60" s="121">
        <v>0.28109452736318408</v>
      </c>
      <c r="F60" s="122">
        <f t="shared" ref="F60:F61" si="14">E60*B$49</f>
        <v>869.08585885486013</v>
      </c>
      <c r="G60" s="157">
        <f>F60*D60</f>
        <v>651.80963202684995</v>
      </c>
    </row>
    <row r="61" spans="1:7">
      <c r="A61" s="158" t="s">
        <v>174</v>
      </c>
      <c r="B61" s="12">
        <v>75</v>
      </c>
      <c r="C61" s="122">
        <v>513.27750000000003</v>
      </c>
      <c r="D61" s="13">
        <f>C61/365</f>
        <v>1.4062397260273973</v>
      </c>
      <c r="E61" s="121">
        <v>0.34825870646766172</v>
      </c>
      <c r="F61" s="122">
        <f t="shared" si="14"/>
        <v>1076.7435419440747</v>
      </c>
      <c r="G61" s="157">
        <f>F61*D61</f>
        <v>1514.1595434252049</v>
      </c>
    </row>
    <row r="62" spans="1:7">
      <c r="A62" s="159" t="s">
        <v>175</v>
      </c>
      <c r="B62" s="12"/>
      <c r="C62" s="12"/>
      <c r="D62" s="13"/>
      <c r="E62" s="139"/>
      <c r="F62" s="122">
        <f>SUM(F59:F61)</f>
        <v>3091.7921704394139</v>
      </c>
      <c r="G62" s="160">
        <f>SUM(G59:G61)</f>
        <v>2380.8356249476315</v>
      </c>
    </row>
    <row r="63" spans="1:7" ht="15.75" thickBot="1">
      <c r="A63" s="161" t="s">
        <v>176</v>
      </c>
      <c r="B63" s="161"/>
      <c r="C63" s="162"/>
      <c r="D63" s="163"/>
      <c r="E63" s="162"/>
      <c r="F63" s="162"/>
      <c r="G63" s="164">
        <f>G62/2000</f>
        <v>1.1904178124738158</v>
      </c>
    </row>
    <row r="64" spans="1:7" ht="15.75" thickTop="1">
      <c r="A64" s="165"/>
      <c r="B64" s="165"/>
      <c r="C64" s="82"/>
      <c r="D64" s="83"/>
      <c r="E64" s="82"/>
      <c r="F64" s="82"/>
      <c r="G64" s="166"/>
    </row>
    <row r="65" spans="1:7">
      <c r="A65" s="165" t="s">
        <v>177</v>
      </c>
      <c r="B65" s="165"/>
      <c r="C65" s="82"/>
      <c r="D65" s="83"/>
      <c r="E65" s="82"/>
      <c r="F65" s="82"/>
      <c r="G65" s="166"/>
    </row>
    <row r="66" spans="1:7">
      <c r="A66" s="223" t="s">
        <v>178</v>
      </c>
      <c r="B66" s="223"/>
      <c r="C66" s="223"/>
      <c r="D66" s="223"/>
      <c r="E66" s="223"/>
      <c r="F66" s="223"/>
      <c r="G66" s="223"/>
    </row>
    <row r="67" spans="1:7">
      <c r="D67" s="9"/>
      <c r="E67" s="45"/>
    </row>
    <row r="68" spans="1:7">
      <c r="A68" s="167" t="s">
        <v>241</v>
      </c>
      <c r="B68" s="168"/>
      <c r="D68" s="9"/>
      <c r="E68" s="45"/>
    </row>
    <row r="69" spans="1:7" ht="30" customHeight="1">
      <c r="A69" s="223" t="s">
        <v>180</v>
      </c>
      <c r="B69" s="223"/>
      <c r="C69" s="223"/>
      <c r="D69" s="223"/>
      <c r="E69" s="223"/>
      <c r="F69" s="223"/>
      <c r="G69" s="223"/>
    </row>
    <row r="70" spans="1:7">
      <c r="A70" s="165"/>
      <c r="B70" s="185"/>
      <c r="C70" s="185"/>
      <c r="D70" s="185"/>
      <c r="E70" s="185"/>
      <c r="F70" s="185"/>
      <c r="G70" s="185"/>
    </row>
    <row r="71" spans="1:7">
      <c r="A71" s="224" t="s">
        <v>239</v>
      </c>
      <c r="B71" s="225"/>
      <c r="C71" s="225"/>
      <c r="D71" s="225"/>
      <c r="E71" s="225"/>
      <c r="F71" s="185"/>
      <c r="G71" s="185"/>
    </row>
    <row r="72" spans="1:7" ht="26.25">
      <c r="A72" s="144" t="s">
        <v>185</v>
      </c>
      <c r="B72" s="170" t="s">
        <v>186</v>
      </c>
      <c r="C72" s="144" t="s">
        <v>187</v>
      </c>
      <c r="D72" s="170" t="s">
        <v>188</v>
      </c>
      <c r="E72" s="144" t="s">
        <v>187</v>
      </c>
      <c r="F72" s="170" t="s">
        <v>189</v>
      </c>
    </row>
    <row r="73" spans="1:7">
      <c r="A73" s="12" t="s">
        <v>190</v>
      </c>
      <c r="B73" s="171">
        <f>G$62*453.6*B42</f>
        <v>24838781907953.648</v>
      </c>
      <c r="C73" s="12" t="s">
        <v>191</v>
      </c>
      <c r="D73" s="171">
        <f>B73*365</f>
        <v>9066155396403082</v>
      </c>
      <c r="E73" s="172" t="s">
        <v>192</v>
      </c>
      <c r="F73" s="173" t="s">
        <v>72</v>
      </c>
    </row>
    <row r="74" spans="1:7">
      <c r="A74" s="12" t="s">
        <v>193</v>
      </c>
      <c r="B74" s="122">
        <f>G$62*B43</f>
        <v>16.665849374633421</v>
      </c>
      <c r="C74" s="12" t="s">
        <v>194</v>
      </c>
      <c r="D74" s="122">
        <f>B74*365</f>
        <v>6083.0350217411988</v>
      </c>
      <c r="E74" s="172" t="s">
        <v>195</v>
      </c>
      <c r="F74" s="122">
        <f>D74/2000</f>
        <v>3.0415175108705994</v>
      </c>
    </row>
    <row r="75" spans="1:7" ht="15.75">
      <c r="A75" s="12" t="s">
        <v>196</v>
      </c>
      <c r="B75" s="122">
        <f>G$62*B44</f>
        <v>5.9520890623690788</v>
      </c>
      <c r="C75" s="12" t="s">
        <v>194</v>
      </c>
      <c r="D75" s="122">
        <f>B75*365</f>
        <v>2172.5125077647135</v>
      </c>
      <c r="E75" s="172" t="s">
        <v>195</v>
      </c>
      <c r="F75" s="122">
        <f>D75/2000</f>
        <v>1.0862562538823568</v>
      </c>
    </row>
    <row r="76" spans="1:7">
      <c r="A76" s="12" t="s">
        <v>197</v>
      </c>
      <c r="B76" s="122">
        <f>B75*0.44</f>
        <v>2.6189191874423945</v>
      </c>
      <c r="C76" s="12" t="s">
        <v>194</v>
      </c>
      <c r="D76" s="122">
        <f>B76*365</f>
        <v>955.90550341647395</v>
      </c>
      <c r="E76" s="172" t="s">
        <v>195</v>
      </c>
      <c r="F76" s="175">
        <f>D76/2000</f>
        <v>0.47795275170823698</v>
      </c>
    </row>
    <row r="77" spans="1:7">
      <c r="A77" s="174" t="s">
        <v>198</v>
      </c>
      <c r="B77" s="116"/>
      <c r="D77" s="9"/>
      <c r="E77" s="45"/>
    </row>
    <row r="78" spans="1:7">
      <c r="A78" s="116" t="s">
        <v>200</v>
      </c>
      <c r="B78" s="116"/>
      <c r="D78" s="9"/>
      <c r="E78" s="45"/>
    </row>
    <row r="79" spans="1:7">
      <c r="A79" s="183"/>
      <c r="B79" s="183"/>
      <c r="C79" s="183"/>
    </row>
    <row r="80" spans="1:7">
      <c r="A80" s="183"/>
      <c r="B80" s="183"/>
      <c r="C80" s="183"/>
      <c r="F80" s="48"/>
      <c r="G80" s="48"/>
    </row>
    <row r="81" spans="1:7">
      <c r="A81" s="228" t="s">
        <v>240</v>
      </c>
      <c r="B81" s="214"/>
      <c r="C81" s="214"/>
      <c r="D81" s="214"/>
      <c r="E81" s="214"/>
      <c r="F81" s="214"/>
      <c r="G81" s="48"/>
    </row>
    <row r="82" spans="1:7" ht="39">
      <c r="A82" s="117" t="s">
        <v>150</v>
      </c>
      <c r="B82" s="118" t="s">
        <v>203</v>
      </c>
      <c r="C82" s="193" t="s">
        <v>151</v>
      </c>
    </row>
    <row r="83" spans="1:7">
      <c r="A83" s="120">
        <v>2014</v>
      </c>
      <c r="B83" s="121">
        <f>'Pre-Loadings'!B83*1.2</f>
        <v>0.13241379310344825</v>
      </c>
      <c r="C83" s="122">
        <f>B45*B83</f>
        <v>764.81677241379293</v>
      </c>
      <c r="D83" s="187"/>
      <c r="E83" s="48"/>
    </row>
    <row r="84" spans="1:7">
      <c r="A84" s="2" t="s">
        <v>245</v>
      </c>
      <c r="E84" s="48"/>
    </row>
    <row r="85" spans="1:7">
      <c r="A85" s="178" t="s">
        <v>242</v>
      </c>
      <c r="B85" s="178"/>
      <c r="C85" s="178"/>
      <c r="D85" s="179"/>
    </row>
    <row r="86" spans="1:7">
      <c r="A86" s="179" t="s">
        <v>204</v>
      </c>
      <c r="B86" s="179"/>
      <c r="C86" s="179"/>
      <c r="D86" s="179"/>
    </row>
    <row r="87" spans="1:7">
      <c r="A87" s="8" t="s">
        <v>205</v>
      </c>
      <c r="B87" s="177">
        <f>C83/B48</f>
        <v>0.37384495722063771</v>
      </c>
    </row>
    <row r="90" spans="1:7">
      <c r="A90" s="2" t="s">
        <v>246</v>
      </c>
    </row>
    <row r="91" spans="1:7">
      <c r="A91" s="2" t="s">
        <v>185</v>
      </c>
      <c r="B91" s="2" t="s">
        <v>186</v>
      </c>
      <c r="C91" s="2" t="s">
        <v>187</v>
      </c>
      <c r="D91" s="2" t="s">
        <v>206</v>
      </c>
      <c r="E91" s="2" t="s">
        <v>187</v>
      </c>
      <c r="F91" s="2" t="s">
        <v>189</v>
      </c>
    </row>
    <row r="92" spans="1:7">
      <c r="A92" s="2" t="s">
        <v>190</v>
      </c>
      <c r="B92" s="93">
        <f>B73*(1-0.37)</f>
        <v>15648432602010.799</v>
      </c>
      <c r="C92" s="2" t="s">
        <v>191</v>
      </c>
      <c r="D92" s="93">
        <f>B92*365</f>
        <v>5711677899733942</v>
      </c>
      <c r="E92" s="93" t="s">
        <v>192</v>
      </c>
      <c r="F92" s="93" t="s">
        <v>72</v>
      </c>
    </row>
    <row r="93" spans="1:7">
      <c r="A93" s="186" t="s">
        <v>193</v>
      </c>
      <c r="B93" s="180">
        <f>B74*(1-0.37)</f>
        <v>10.499485106019055</v>
      </c>
      <c r="C93" s="187" t="s">
        <v>194</v>
      </c>
      <c r="D93" s="181">
        <f>B93*365</f>
        <v>3832.3120636969552</v>
      </c>
      <c r="E93" s="8" t="s">
        <v>195</v>
      </c>
      <c r="F93" s="9">
        <f>D93/2000</f>
        <v>1.9161560318484776</v>
      </c>
    </row>
    <row r="94" spans="1:7">
      <c r="A94" s="2" t="s">
        <v>207</v>
      </c>
      <c r="B94" s="180">
        <f>B75*(1-0.37)</f>
        <v>3.7498161092925195</v>
      </c>
      <c r="C94" s="2" t="s">
        <v>194</v>
      </c>
      <c r="D94" s="45">
        <f>B94*365</f>
        <v>1368.6828798917695</v>
      </c>
      <c r="E94" s="2" t="s">
        <v>195</v>
      </c>
      <c r="F94" s="9">
        <f>D94/2000</f>
        <v>0.68434143994588481</v>
      </c>
    </row>
    <row r="95" spans="1:7">
      <c r="A95" s="8" t="s">
        <v>197</v>
      </c>
      <c r="B95" s="180">
        <f>B76*(1-0.37)</f>
        <v>1.6499190880887085</v>
      </c>
      <c r="C95" s="2" t="s">
        <v>194</v>
      </c>
      <c r="D95" s="181">
        <f>B95*365</f>
        <v>602.22046715237855</v>
      </c>
      <c r="E95" s="8" t="s">
        <v>195</v>
      </c>
      <c r="F95" s="9">
        <f>D95/2000</f>
        <v>0.30111023357618927</v>
      </c>
    </row>
    <row r="97" spans="1:8">
      <c r="A97" s="198" t="s">
        <v>147</v>
      </c>
      <c r="B97" s="198"/>
      <c r="C97" s="198"/>
      <c r="D97" s="198"/>
      <c r="E97" s="48" t="s">
        <v>64</v>
      </c>
      <c r="F97" s="48" t="s">
        <v>71</v>
      </c>
      <c r="G97" s="48" t="s">
        <v>65</v>
      </c>
    </row>
    <row r="98" spans="1:8">
      <c r="A98" s="199" t="s">
        <v>244</v>
      </c>
      <c r="B98" s="199"/>
      <c r="C98" s="199"/>
      <c r="D98" s="199"/>
      <c r="E98" s="110">
        <f>D93*0.12</f>
        <v>459.87744764363458</v>
      </c>
      <c r="F98" s="110">
        <f>D94*0.2</f>
        <v>273.73657597835393</v>
      </c>
      <c r="G98" s="110">
        <f>D95*0.2</f>
        <v>120.44409343047572</v>
      </c>
    </row>
    <row r="99" spans="1:8" ht="14.45" customHeight="1">
      <c r="A99" s="226" t="s">
        <v>211</v>
      </c>
      <c r="B99" s="226"/>
      <c r="C99" s="226"/>
      <c r="D99" s="226"/>
      <c r="E99" s="114">
        <f>'Pre-Loadings'!E98</f>
        <v>545.31774584664208</v>
      </c>
      <c r="F99" s="114">
        <f>'Pre-Loadings'!F98</f>
        <v>324.59389633728688</v>
      </c>
      <c r="G99" s="114">
        <f>'Pre-Loadings'!G98</f>
        <v>142.82131438840622</v>
      </c>
      <c r="H99" s="182"/>
    </row>
    <row r="100" spans="1:8">
      <c r="A100" s="199" t="s">
        <v>148</v>
      </c>
      <c r="B100" s="227"/>
      <c r="C100" s="227"/>
      <c r="D100" s="227"/>
      <c r="E100" s="110">
        <f>E99-E98</f>
        <v>85.440298203007501</v>
      </c>
      <c r="F100" s="110">
        <f t="shared" ref="F100:G100" si="15">F99-F98</f>
        <v>50.857320358932952</v>
      </c>
      <c r="G100" s="110">
        <f t="shared" si="15"/>
        <v>22.377220957930504</v>
      </c>
      <c r="H100" s="182"/>
    </row>
    <row r="101" spans="1:8">
      <c r="A101" s="8" t="s">
        <v>135</v>
      </c>
      <c r="E101" s="53">
        <f ca="1">(E99-E98)/E$34</f>
        <v>4.9384338570984537E-3</v>
      </c>
      <c r="F101" s="53">
        <f t="shared" ref="F101:G101" ca="1" si="16">(F99-F98)/F$34</f>
        <v>1.5139863339039555E-2</v>
      </c>
      <c r="G101" s="53">
        <f t="shared" ca="1" si="16"/>
        <v>1.5139863339039559E-2</v>
      </c>
      <c r="H101" s="182"/>
    </row>
    <row r="102" spans="1:8" ht="45" customHeight="1">
      <c r="A102" s="221" t="s">
        <v>243</v>
      </c>
      <c r="B102" s="221"/>
      <c r="C102" s="221"/>
      <c r="D102" s="221"/>
      <c r="E102" s="221"/>
      <c r="F102" s="221"/>
      <c r="G102" s="221"/>
      <c r="H102" s="182"/>
    </row>
    <row r="103" spans="1:8">
      <c r="A103" s="182"/>
      <c r="B103" s="182"/>
      <c r="C103" s="182"/>
      <c r="D103" s="182"/>
      <c r="E103" s="182"/>
      <c r="F103" s="182"/>
      <c r="G103" s="182"/>
    </row>
    <row r="105" spans="1:8">
      <c r="A105" s="200" t="s">
        <v>214</v>
      </c>
      <c r="B105" s="200"/>
      <c r="C105" s="200"/>
      <c r="D105" s="200"/>
      <c r="E105" s="201"/>
      <c r="F105" s="201"/>
      <c r="G105" s="201"/>
    </row>
    <row r="122" spans="1:7" ht="16.5" thickBot="1">
      <c r="A122" s="131" t="s">
        <v>213</v>
      </c>
      <c r="B122" s="132"/>
      <c r="C122" s="132"/>
      <c r="D122" s="183"/>
      <c r="E122" s="184"/>
      <c r="F122" s="184"/>
      <c r="G122" s="184"/>
    </row>
    <row r="123" spans="1:7" ht="15.75" thickTop="1">
      <c r="A123" s="133" t="s">
        <v>152</v>
      </c>
      <c r="B123" s="134" t="s">
        <v>153</v>
      </c>
      <c r="C123" s="135" t="s">
        <v>215</v>
      </c>
      <c r="D123" s="183"/>
      <c r="E123" s="184"/>
      <c r="F123" s="184"/>
      <c r="G123" s="184"/>
    </row>
    <row r="124" spans="1:7" ht="32.25">
      <c r="A124" s="136" t="s">
        <v>218</v>
      </c>
      <c r="B124" s="12">
        <v>0.75</v>
      </c>
      <c r="C124" s="137" t="s">
        <v>224</v>
      </c>
      <c r="D124" s="9"/>
      <c r="E124" s="45"/>
    </row>
    <row r="125" spans="1:7">
      <c r="A125" s="138" t="s">
        <v>220</v>
      </c>
      <c r="B125" s="191">
        <f>(60*5)/1000000</f>
        <v>2.9999999999999997E-4</v>
      </c>
      <c r="C125" s="137" t="s">
        <v>216</v>
      </c>
      <c r="D125" s="9"/>
      <c r="E125" s="45"/>
      <c r="F125" s="48"/>
      <c r="G125" s="48"/>
    </row>
    <row r="126" spans="1:7">
      <c r="A126" s="138" t="s">
        <v>219</v>
      </c>
      <c r="B126" s="191">
        <f>60/1000000</f>
        <v>6.0000000000000002E-5</v>
      </c>
      <c r="C126" s="137" t="s">
        <v>216</v>
      </c>
      <c r="D126" s="45"/>
      <c r="E126" s="53"/>
      <c r="F126" s="48"/>
      <c r="G126" s="48"/>
    </row>
    <row r="127" spans="1:7">
      <c r="A127" s="138" t="s">
        <v>223</v>
      </c>
      <c r="B127" s="140">
        <f ca="1">SUM(LANDUSE!H3:H5)</f>
        <v>3358.6099999999997</v>
      </c>
      <c r="C127" s="137" t="s">
        <v>0</v>
      </c>
    </row>
    <row r="128" spans="1:7">
      <c r="A128" s="149" t="s">
        <v>162</v>
      </c>
      <c r="B128" s="45"/>
      <c r="D128" s="9"/>
      <c r="E128" s="45"/>
    </row>
    <row r="129" spans="1:7" ht="84.75">
      <c r="A129" s="188" t="s">
        <v>217</v>
      </c>
      <c r="B129" s="189"/>
      <c r="C129" s="189"/>
      <c r="D129" s="9"/>
      <c r="E129" s="45"/>
    </row>
    <row r="130" spans="1:7">
      <c r="A130" s="215" t="s">
        <v>221</v>
      </c>
      <c r="B130" s="216"/>
      <c r="C130" s="216"/>
      <c r="D130" s="9"/>
      <c r="E130" s="45"/>
    </row>
    <row r="132" spans="1:7">
      <c r="A132" s="2" t="s">
        <v>222</v>
      </c>
    </row>
    <row r="133" spans="1:7">
      <c r="A133" s="2" t="s">
        <v>248</v>
      </c>
    </row>
    <row r="134" spans="1:7">
      <c r="A134" s="2" t="s">
        <v>251</v>
      </c>
    </row>
    <row r="135" spans="1:7" ht="15.75" thickBot="1">
      <c r="A135" s="2" t="s">
        <v>226</v>
      </c>
    </row>
    <row r="136" spans="1:7" ht="15.75" thickTop="1">
      <c r="A136" s="133" t="s">
        <v>231</v>
      </c>
      <c r="B136" s="134" t="s">
        <v>232</v>
      </c>
      <c r="C136" s="135" t="s">
        <v>215</v>
      </c>
    </row>
    <row r="137" spans="1:7">
      <c r="A137" s="136" t="s">
        <v>227</v>
      </c>
      <c r="B137" s="12">
        <f ca="1">0.5*2000*B127</f>
        <v>3358609.9999999995</v>
      </c>
      <c r="C137" s="137" t="s">
        <v>228</v>
      </c>
    </row>
    <row r="138" spans="1:7">
      <c r="A138" s="138" t="s">
        <v>229</v>
      </c>
      <c r="B138" s="122">
        <f ca="1">(60*5)/1000000*B137</f>
        <v>1007.5829999999997</v>
      </c>
      <c r="C138" s="137" t="s">
        <v>228</v>
      </c>
    </row>
    <row r="139" spans="1:7">
      <c r="A139" s="138" t="s">
        <v>230</v>
      </c>
      <c r="B139" s="122">
        <f ca="1">60/1000000*B137</f>
        <v>201.51659999999998</v>
      </c>
      <c r="C139" s="137" t="s">
        <v>228</v>
      </c>
    </row>
    <row r="140" spans="1:7">
      <c r="A140" s="138"/>
      <c r="B140" s="192"/>
      <c r="C140" s="137"/>
    </row>
    <row r="142" spans="1:7">
      <c r="A142" s="198" t="s">
        <v>147</v>
      </c>
      <c r="B142" s="198"/>
      <c r="C142" s="198"/>
      <c r="D142" s="198"/>
      <c r="E142" s="48" t="s">
        <v>64</v>
      </c>
      <c r="F142" s="48" t="s">
        <v>71</v>
      </c>
      <c r="G142" s="48" t="s">
        <v>65</v>
      </c>
    </row>
    <row r="143" spans="1:7">
      <c r="A143" s="199" t="s">
        <v>249</v>
      </c>
      <c r="B143" s="199"/>
      <c r="C143" s="199"/>
      <c r="D143" s="199"/>
      <c r="E143" s="110">
        <f ca="1">$B138</f>
        <v>1007.5829999999997</v>
      </c>
      <c r="F143" s="194" t="s">
        <v>72</v>
      </c>
      <c r="G143" s="110">
        <f ca="1">$B139</f>
        <v>201.51659999999998</v>
      </c>
    </row>
    <row r="144" spans="1:7">
      <c r="A144" s="226" t="s">
        <v>250</v>
      </c>
      <c r="B144" s="226"/>
      <c r="C144" s="226"/>
      <c r="D144" s="226"/>
      <c r="E144" s="114">
        <f ca="1">'Pre-Loadings'!E141</f>
        <v>1511.3744999999997</v>
      </c>
      <c r="F144" s="195" t="str">
        <f>'Pre-Loadings'!F141</f>
        <v>N/A</v>
      </c>
      <c r="G144" s="114">
        <f ca="1">'Pre-Loadings'!G141</f>
        <v>302.27489999999995</v>
      </c>
    </row>
    <row r="145" spans="1:7">
      <c r="A145" s="199" t="s">
        <v>148</v>
      </c>
      <c r="B145" s="227"/>
      <c r="C145" s="227"/>
      <c r="D145" s="227"/>
      <c r="E145" s="110">
        <f ca="1">E144-E143</f>
        <v>503.79149999999993</v>
      </c>
      <c r="F145" s="194" t="str">
        <f>'Pre-Loadings'!F141</f>
        <v>N/A</v>
      </c>
      <c r="G145" s="110">
        <f t="shared" ref="G145" ca="1" si="17">G144-G143</f>
        <v>100.75829999999996</v>
      </c>
    </row>
    <row r="146" spans="1:7">
      <c r="A146" s="8" t="s">
        <v>135</v>
      </c>
      <c r="E146" s="53">
        <f ca="1">(E144-E143)/E$34</f>
        <v>2.9119058018817163E-2</v>
      </c>
      <c r="F146" s="195" t="str">
        <f>'Pre-Loadings'!F141</f>
        <v>N/A</v>
      </c>
      <c r="G146" s="53">
        <f t="shared" ref="G146" ca="1" si="18">(G144-G143)/G$34</f>
        <v>6.8170524621526882E-2</v>
      </c>
    </row>
  </sheetData>
  <mergeCells count="40">
    <mergeCell ref="L26:T26"/>
    <mergeCell ref="A33:D33"/>
    <mergeCell ref="A37:D37"/>
    <mergeCell ref="E37:F37"/>
    <mergeCell ref="A35:D35"/>
    <mergeCell ref="A34:D34"/>
    <mergeCell ref="A2:B2"/>
    <mergeCell ref="D2:E2"/>
    <mergeCell ref="A3:B3"/>
    <mergeCell ref="L6:N6"/>
    <mergeCell ref="L7:N7"/>
    <mergeCell ref="A52:C52"/>
    <mergeCell ref="A53:C53"/>
    <mergeCell ref="A56:G56"/>
    <mergeCell ref="A66:G66"/>
    <mergeCell ref="A18:D18"/>
    <mergeCell ref="A24:D24"/>
    <mergeCell ref="A32:D32"/>
    <mergeCell ref="A39:G39"/>
    <mergeCell ref="A51:C51"/>
    <mergeCell ref="A20:D20"/>
    <mergeCell ref="A21:D21"/>
    <mergeCell ref="A22:D22"/>
    <mergeCell ref="A38:F38"/>
    <mergeCell ref="A23:D23"/>
    <mergeCell ref="A54:G54"/>
    <mergeCell ref="A81:F81"/>
    <mergeCell ref="A99:D99"/>
    <mergeCell ref="A100:D100"/>
    <mergeCell ref="A102:G102"/>
    <mergeCell ref="A69:G69"/>
    <mergeCell ref="A71:E71"/>
    <mergeCell ref="A97:D97"/>
    <mergeCell ref="A98:D98"/>
    <mergeCell ref="A142:D142"/>
    <mergeCell ref="A143:D143"/>
    <mergeCell ref="A144:D144"/>
    <mergeCell ref="A145:D145"/>
    <mergeCell ref="A105:G105"/>
    <mergeCell ref="A130:C130"/>
  </mergeCells>
  <pageMargins left="0.7" right="0.7" top="0.75" bottom="0.75" header="0.3" footer="0.3"/>
  <pageSetup scale="63" orientation="portrait" r:id="rId1"/>
  <colBreaks count="1" manualBreakCount="1">
    <brk id="11" max="134" man="1"/>
  </colBreaks>
  <drawing r:id="rId2"/>
  <legacyDrawing r:id="rId3"/>
</worksheet>
</file>

<file path=xl/worksheets/sheet4.xml><?xml version="1.0" encoding="utf-8"?>
<worksheet xmlns="http://schemas.openxmlformats.org/spreadsheetml/2006/main" xmlns:r="http://schemas.openxmlformats.org/officeDocument/2006/relationships">
  <dimension ref="A3:Q39"/>
  <sheetViews>
    <sheetView topLeftCell="A16" workbookViewId="0">
      <selection activeCell="L35" sqref="L35"/>
    </sheetView>
  </sheetViews>
  <sheetFormatPr defaultRowHeight="15"/>
  <sheetData>
    <row r="3" spans="1:17">
      <c r="A3" s="229" t="s">
        <v>118</v>
      </c>
      <c r="B3" s="229"/>
      <c r="C3" s="229"/>
      <c r="D3" s="229"/>
      <c r="E3" s="229"/>
      <c r="F3" s="229"/>
      <c r="G3" s="229"/>
      <c r="H3" s="229"/>
      <c r="J3" s="2"/>
      <c r="K3" s="2"/>
      <c r="L3" s="2"/>
      <c r="M3" s="2"/>
      <c r="N3" s="2"/>
      <c r="O3" s="2"/>
      <c r="P3" s="2"/>
      <c r="Q3" s="2"/>
    </row>
    <row r="4" spans="1:17">
      <c r="A4" s="229"/>
      <c r="B4" s="229"/>
      <c r="C4" s="229"/>
      <c r="D4" s="229"/>
      <c r="E4" s="229"/>
      <c r="F4" s="229"/>
      <c r="G4" s="229"/>
      <c r="H4" s="229"/>
      <c r="J4" s="2"/>
      <c r="K4" s="2"/>
      <c r="L4" s="2"/>
      <c r="M4" s="2"/>
      <c r="N4" s="2"/>
      <c r="O4" s="2"/>
      <c r="P4" s="2"/>
      <c r="Q4" s="2"/>
    </row>
    <row r="5" spans="1:17" ht="14.45" customHeight="1">
      <c r="A5" s="236" t="s">
        <v>119</v>
      </c>
      <c r="B5" s="237"/>
      <c r="C5" s="88" t="s">
        <v>57</v>
      </c>
      <c r="D5" s="88" t="s">
        <v>55</v>
      </c>
      <c r="E5" s="88" t="s">
        <v>54</v>
      </c>
      <c r="F5" s="88" t="s">
        <v>56</v>
      </c>
      <c r="G5" s="88" t="s">
        <v>121</v>
      </c>
      <c r="H5" s="98" t="s">
        <v>121</v>
      </c>
      <c r="J5" s="229" t="s">
        <v>131</v>
      </c>
      <c r="K5" s="229"/>
      <c r="L5" s="229"/>
      <c r="M5" s="229"/>
      <c r="N5" s="229"/>
      <c r="O5" s="229"/>
      <c r="P5" s="229"/>
      <c r="Q5" s="229"/>
    </row>
    <row r="6" spans="1:17" ht="15.75" thickBot="1">
      <c r="A6" s="238"/>
      <c r="B6" s="239"/>
      <c r="C6" s="88" t="s">
        <v>120</v>
      </c>
      <c r="D6" s="88" t="s">
        <v>120</v>
      </c>
      <c r="E6" s="88" t="s">
        <v>120</v>
      </c>
      <c r="F6" s="88" t="s">
        <v>120</v>
      </c>
      <c r="G6" s="90" t="s">
        <v>122</v>
      </c>
      <c r="H6" s="99" t="s">
        <v>120</v>
      </c>
      <c r="J6" s="229"/>
      <c r="K6" s="229"/>
      <c r="L6" s="229"/>
      <c r="M6" s="229"/>
      <c r="N6" s="229"/>
      <c r="O6" s="229"/>
      <c r="P6" s="229"/>
      <c r="Q6" s="229"/>
    </row>
    <row r="7" spans="1:17" ht="15" customHeight="1" thickBot="1">
      <c r="A7" s="234" t="s">
        <v>132</v>
      </c>
      <c r="B7" s="235"/>
      <c r="C7" s="89"/>
      <c r="D7" s="89"/>
      <c r="E7" s="89"/>
      <c r="F7" s="89"/>
      <c r="G7" s="90" t="s">
        <v>123</v>
      </c>
      <c r="H7" s="99" t="s">
        <v>124</v>
      </c>
      <c r="J7" s="236" t="s">
        <v>119</v>
      </c>
      <c r="K7" s="237"/>
      <c r="L7" s="88" t="s">
        <v>57</v>
      </c>
      <c r="M7" s="88" t="s">
        <v>55</v>
      </c>
      <c r="N7" s="88" t="s">
        <v>54</v>
      </c>
      <c r="O7" s="88" t="s">
        <v>56</v>
      </c>
      <c r="P7" s="88" t="s">
        <v>121</v>
      </c>
      <c r="Q7" s="98" t="s">
        <v>121</v>
      </c>
    </row>
    <row r="8" spans="1:17" ht="15.75" thickBot="1">
      <c r="A8" s="231" t="s">
        <v>125</v>
      </c>
      <c r="B8" s="91" t="s">
        <v>126</v>
      </c>
      <c r="C8" s="92"/>
      <c r="D8" s="92">
        <f t="shared" ref="D8:E10" ca="1" si="0">2.2*M10</f>
        <v>15852.105307000726</v>
      </c>
      <c r="E8" s="92">
        <f t="shared" ca="1" si="0"/>
        <v>49405.28057639992</v>
      </c>
      <c r="F8" s="92"/>
      <c r="G8" s="94"/>
      <c r="H8" s="100" t="s">
        <v>124</v>
      </c>
      <c r="J8" s="238"/>
      <c r="K8" s="239"/>
      <c r="L8" s="88" t="s">
        <v>130</v>
      </c>
      <c r="M8" s="88" t="s">
        <v>130</v>
      </c>
      <c r="N8" s="88" t="s">
        <v>130</v>
      </c>
      <c r="O8" s="88" t="s">
        <v>130</v>
      </c>
      <c r="P8" s="90" t="s">
        <v>122</v>
      </c>
      <c r="Q8" s="99" t="s">
        <v>120</v>
      </c>
    </row>
    <row r="9" spans="1:17" ht="15" customHeight="1" thickBot="1">
      <c r="A9" s="232"/>
      <c r="B9" s="96" t="s">
        <v>127</v>
      </c>
      <c r="C9" s="92"/>
      <c r="D9" s="92">
        <f t="shared" ca="1" si="0"/>
        <v>14796.826994872439</v>
      </c>
      <c r="E9" s="92">
        <f t="shared" ca="1" si="0"/>
        <v>37414.318203021918</v>
      </c>
      <c r="F9" s="92"/>
      <c r="G9" s="94"/>
      <c r="H9" s="100" t="s">
        <v>124</v>
      </c>
      <c r="J9" s="234" t="s">
        <v>132</v>
      </c>
      <c r="K9" s="235"/>
      <c r="L9" s="89"/>
      <c r="M9" s="89"/>
      <c r="N9" s="89"/>
      <c r="O9" s="89"/>
      <c r="P9" s="90" t="s">
        <v>123</v>
      </c>
      <c r="Q9" s="99" t="s">
        <v>124</v>
      </c>
    </row>
    <row r="10" spans="1:17" ht="21" customHeight="1" thickBot="1">
      <c r="A10" s="232"/>
      <c r="B10" s="96" t="s">
        <v>128</v>
      </c>
      <c r="C10" s="92"/>
      <c r="D10" s="92">
        <f t="shared" ca="1" si="0"/>
        <v>1055.2783121282855</v>
      </c>
      <c r="E10" s="92">
        <f t="shared" ca="1" si="0"/>
        <v>11990.962373378001</v>
      </c>
      <c r="F10" s="92"/>
      <c r="G10" s="94"/>
      <c r="H10" s="100" t="s">
        <v>124</v>
      </c>
      <c r="J10" s="231" t="s">
        <v>125</v>
      </c>
      <c r="K10" s="91" t="s">
        <v>126</v>
      </c>
      <c r="L10" s="92"/>
      <c r="M10" s="92">
        <f ca="1">'Pre-Loadings'!$F$17</f>
        <v>7205.5024122730565</v>
      </c>
      <c r="N10" s="92">
        <f ca="1">'Pre-Loadings'!$E$17</f>
        <v>22456.945716545415</v>
      </c>
      <c r="O10" s="92"/>
      <c r="P10" s="94"/>
      <c r="Q10" s="100" t="s">
        <v>124</v>
      </c>
    </row>
    <row r="11" spans="1:17" ht="23.25" thickBot="1">
      <c r="A11" s="233"/>
      <c r="B11" s="96" t="s">
        <v>129</v>
      </c>
      <c r="C11" s="97"/>
      <c r="D11" s="97">
        <f t="shared" ref="D11:E11" ca="1" si="1">D10/D8</f>
        <v>6.6570231000310454E-2</v>
      </c>
      <c r="E11" s="97">
        <f t="shared" ca="1" si="1"/>
        <v>0.24270608796230345</v>
      </c>
      <c r="F11" s="97"/>
      <c r="G11" s="97"/>
      <c r="H11" s="100" t="s">
        <v>124</v>
      </c>
      <c r="J11" s="232"/>
      <c r="K11" s="96" t="s">
        <v>127</v>
      </c>
      <c r="L11" s="92"/>
      <c r="M11" s="92">
        <f ca="1">M10-M12</f>
        <v>6725.8304522147446</v>
      </c>
      <c r="N11" s="92">
        <f ca="1">N10-N12</f>
        <v>17006.50827410087</v>
      </c>
      <c r="O11" s="92"/>
      <c r="P11" s="94"/>
      <c r="Q11" s="100" t="s">
        <v>124</v>
      </c>
    </row>
    <row r="12" spans="1:17" ht="23.25" thickBot="1">
      <c r="A12" s="236" t="s">
        <v>119</v>
      </c>
      <c r="B12" s="237"/>
      <c r="C12" s="88" t="s">
        <v>57</v>
      </c>
      <c r="D12" s="88" t="s">
        <v>55</v>
      </c>
      <c r="E12" s="88" t="s">
        <v>54</v>
      </c>
      <c r="F12" s="88" t="s">
        <v>56</v>
      </c>
      <c r="G12" s="88" t="s">
        <v>121</v>
      </c>
      <c r="H12" s="98" t="s">
        <v>121</v>
      </c>
      <c r="J12" s="232"/>
      <c r="K12" s="96" t="s">
        <v>128</v>
      </c>
      <c r="L12" s="92"/>
      <c r="M12" s="92">
        <f ca="1">'Post-Loadings '!G35</f>
        <v>479.67196005831158</v>
      </c>
      <c r="N12" s="92">
        <f ca="1">'Post-Loadings '!E35</f>
        <v>5450.437442444545</v>
      </c>
      <c r="O12" s="92"/>
      <c r="P12" s="94"/>
      <c r="Q12" s="100" t="s">
        <v>124</v>
      </c>
    </row>
    <row r="13" spans="1:17" ht="23.25" thickBot="1">
      <c r="A13" s="238"/>
      <c r="B13" s="239"/>
      <c r="C13" s="88" t="s">
        <v>120</v>
      </c>
      <c r="D13" s="88" t="s">
        <v>120</v>
      </c>
      <c r="E13" s="88" t="s">
        <v>120</v>
      </c>
      <c r="F13" s="88" t="s">
        <v>120</v>
      </c>
      <c r="G13" s="90" t="s">
        <v>120</v>
      </c>
      <c r="H13" s="99" t="s">
        <v>120</v>
      </c>
      <c r="J13" s="233"/>
      <c r="K13" s="96" t="s">
        <v>129</v>
      </c>
      <c r="L13" s="97"/>
      <c r="M13" s="97">
        <f ca="1">M12/M10</f>
        <v>6.6570231000310454E-2</v>
      </c>
      <c r="N13" s="97">
        <f ca="1">N12/N10</f>
        <v>0.24270608796230345</v>
      </c>
      <c r="O13" s="97"/>
      <c r="P13" s="97"/>
      <c r="Q13" s="100" t="s">
        <v>124</v>
      </c>
    </row>
    <row r="14" spans="1:17" ht="15.75" thickBot="1">
      <c r="A14" s="234" t="s">
        <v>142</v>
      </c>
      <c r="B14" s="235"/>
      <c r="C14" s="89"/>
      <c r="D14" s="89"/>
      <c r="E14" s="89"/>
      <c r="F14" s="89"/>
      <c r="G14" s="90" t="s">
        <v>124</v>
      </c>
      <c r="H14" s="99" t="s">
        <v>124</v>
      </c>
      <c r="J14" s="236" t="s">
        <v>119</v>
      </c>
      <c r="K14" s="237"/>
      <c r="L14" s="88" t="s">
        <v>57</v>
      </c>
      <c r="M14" s="88" t="s">
        <v>55</v>
      </c>
      <c r="N14" s="88" t="s">
        <v>54</v>
      </c>
      <c r="O14" s="88" t="s">
        <v>56</v>
      </c>
      <c r="P14" s="88" t="s">
        <v>121</v>
      </c>
      <c r="Q14" s="98" t="s">
        <v>121</v>
      </c>
    </row>
    <row r="15" spans="1:17" ht="15.75" thickBot="1">
      <c r="A15" s="231" t="s">
        <v>125</v>
      </c>
      <c r="B15" s="91" t="s">
        <v>126</v>
      </c>
      <c r="C15" s="95" t="s">
        <v>124</v>
      </c>
      <c r="D15" s="95" t="s">
        <v>124</v>
      </c>
      <c r="E15" s="95" t="s">
        <v>124</v>
      </c>
      <c r="F15" s="95" t="s">
        <v>124</v>
      </c>
      <c r="G15" s="95" t="s">
        <v>124</v>
      </c>
      <c r="H15" s="100" t="s">
        <v>124</v>
      </c>
      <c r="J15" s="238"/>
      <c r="K15" s="239"/>
      <c r="L15" s="88" t="s">
        <v>130</v>
      </c>
      <c r="M15" s="88" t="s">
        <v>130</v>
      </c>
      <c r="N15" s="88" t="s">
        <v>130</v>
      </c>
      <c r="O15" s="88" t="s">
        <v>130</v>
      </c>
      <c r="P15" s="88" t="s">
        <v>130</v>
      </c>
      <c r="Q15" s="88" t="s">
        <v>130</v>
      </c>
    </row>
    <row r="16" spans="1:17" ht="15" customHeight="1" thickBot="1">
      <c r="A16" s="232"/>
      <c r="B16" s="96" t="s">
        <v>127</v>
      </c>
      <c r="C16" s="95" t="s">
        <v>124</v>
      </c>
      <c r="D16" s="95" t="s">
        <v>124</v>
      </c>
      <c r="E16" s="95" t="s">
        <v>124</v>
      </c>
      <c r="F16" s="95" t="s">
        <v>124</v>
      </c>
      <c r="G16" s="95" t="s">
        <v>124</v>
      </c>
      <c r="H16" s="100" t="s">
        <v>124</v>
      </c>
      <c r="J16" s="234" t="s">
        <v>142</v>
      </c>
      <c r="K16" s="235"/>
      <c r="L16" s="89"/>
      <c r="M16" s="89"/>
      <c r="N16" s="89"/>
      <c r="O16" s="89"/>
      <c r="P16" s="90" t="s">
        <v>124</v>
      </c>
      <c r="Q16" s="99" t="s">
        <v>124</v>
      </c>
    </row>
    <row r="17" spans="1:17" ht="21" customHeight="1" thickBot="1">
      <c r="A17" s="232"/>
      <c r="B17" s="96" t="s">
        <v>128</v>
      </c>
      <c r="C17" s="95" t="s">
        <v>124</v>
      </c>
      <c r="D17" s="95" t="s">
        <v>124</v>
      </c>
      <c r="E17" s="95" t="s">
        <v>124</v>
      </c>
      <c r="F17" s="95" t="s">
        <v>124</v>
      </c>
      <c r="G17" s="95" t="s">
        <v>124</v>
      </c>
      <c r="H17" s="100" t="s">
        <v>124</v>
      </c>
      <c r="J17" s="231" t="s">
        <v>125</v>
      </c>
      <c r="K17" s="91" t="s">
        <v>126</v>
      </c>
      <c r="L17" s="95" t="s">
        <v>124</v>
      </c>
      <c r="M17" s="92">
        <f ca="1">'Pre-Loadings'!$F$17</f>
        <v>7205.5024122730565</v>
      </c>
      <c r="N17" s="92">
        <f ca="1">'Pre-Loadings'!$E$17</f>
        <v>22456.945716545415</v>
      </c>
      <c r="O17" s="95" t="s">
        <v>124</v>
      </c>
      <c r="P17" s="95" t="s">
        <v>124</v>
      </c>
      <c r="Q17" s="100" t="s">
        <v>124</v>
      </c>
    </row>
    <row r="18" spans="1:17" ht="23.25" thickBot="1">
      <c r="A18" s="233"/>
      <c r="B18" s="96" t="s">
        <v>129</v>
      </c>
      <c r="C18" s="95" t="s">
        <v>124</v>
      </c>
      <c r="D18" s="95" t="s">
        <v>124</v>
      </c>
      <c r="E18" s="95" t="s">
        <v>124</v>
      </c>
      <c r="F18" s="95" t="s">
        <v>124</v>
      </c>
      <c r="G18" s="95" t="s">
        <v>124</v>
      </c>
      <c r="H18" s="100" t="s">
        <v>124</v>
      </c>
      <c r="J18" s="232"/>
      <c r="K18" s="96" t="s">
        <v>127</v>
      </c>
      <c r="L18" s="95" t="s">
        <v>124</v>
      </c>
      <c r="M18" s="92">
        <f ca="1">M17-M19</f>
        <v>7085.0583188425808</v>
      </c>
      <c r="N18" s="92">
        <f ca="1">N17-N19</f>
        <v>21997.068268901781</v>
      </c>
      <c r="O18" s="95" t="s">
        <v>124</v>
      </c>
      <c r="P18" s="95" t="s">
        <v>124</v>
      </c>
      <c r="Q18" s="100" t="s">
        <v>124</v>
      </c>
    </row>
    <row r="19" spans="1:17" ht="23.25" thickBot="1">
      <c r="A19" s="236" t="s">
        <v>119</v>
      </c>
      <c r="B19" s="237"/>
      <c r="C19" s="88" t="s">
        <v>57</v>
      </c>
      <c r="D19" s="88" t="s">
        <v>55</v>
      </c>
      <c r="E19" s="88" t="s">
        <v>54</v>
      </c>
      <c r="F19" s="88" t="s">
        <v>56</v>
      </c>
      <c r="G19" s="88" t="s">
        <v>121</v>
      </c>
      <c r="H19" s="98" t="s">
        <v>121</v>
      </c>
      <c r="J19" s="232"/>
      <c r="K19" s="96" t="s">
        <v>128</v>
      </c>
      <c r="L19" s="95" t="s">
        <v>124</v>
      </c>
      <c r="M19" s="92">
        <f>'Post-Loadings '!G98</f>
        <v>120.44409343047572</v>
      </c>
      <c r="N19" s="92">
        <f>'Post-Loadings '!E98</f>
        <v>459.87744764363458</v>
      </c>
      <c r="O19" s="95" t="s">
        <v>124</v>
      </c>
      <c r="P19" s="95" t="s">
        <v>124</v>
      </c>
      <c r="Q19" s="100" t="s">
        <v>124</v>
      </c>
    </row>
    <row r="20" spans="1:17" ht="23.25" thickBot="1">
      <c r="A20" s="238"/>
      <c r="B20" s="239"/>
      <c r="C20" s="88" t="s">
        <v>120</v>
      </c>
      <c r="D20" s="88" t="s">
        <v>120</v>
      </c>
      <c r="E20" s="88" t="s">
        <v>120</v>
      </c>
      <c r="F20" s="88" t="s">
        <v>120</v>
      </c>
      <c r="G20" s="90" t="s">
        <v>120</v>
      </c>
      <c r="H20" s="99" t="s">
        <v>120</v>
      </c>
      <c r="J20" s="233"/>
      <c r="K20" s="96" t="s">
        <v>129</v>
      </c>
      <c r="L20" s="95" t="s">
        <v>124</v>
      </c>
      <c r="M20" s="97">
        <f ca="1">M19/M17</f>
        <v>1.6715571869815014E-2</v>
      </c>
      <c r="N20" s="97">
        <f ca="1">N19/N17</f>
        <v>2.0478183162050152E-2</v>
      </c>
      <c r="O20" s="95" t="s">
        <v>124</v>
      </c>
      <c r="P20" s="95" t="s">
        <v>124</v>
      </c>
      <c r="Q20" s="100" t="s">
        <v>124</v>
      </c>
    </row>
    <row r="21" spans="1:17" ht="15" customHeight="1" thickBot="1">
      <c r="A21" s="234" t="s">
        <v>143</v>
      </c>
      <c r="B21" s="235"/>
      <c r="C21" s="89"/>
      <c r="D21" s="89"/>
      <c r="E21" s="89"/>
      <c r="F21" s="89"/>
      <c r="G21" s="90" t="s">
        <v>124</v>
      </c>
      <c r="H21" s="99" t="s">
        <v>124</v>
      </c>
      <c r="J21" s="236" t="s">
        <v>119</v>
      </c>
      <c r="K21" s="237"/>
      <c r="L21" s="88" t="s">
        <v>57</v>
      </c>
      <c r="M21" s="88" t="s">
        <v>55</v>
      </c>
      <c r="N21" s="88" t="s">
        <v>54</v>
      </c>
      <c r="O21" s="88" t="s">
        <v>56</v>
      </c>
      <c r="P21" s="88" t="s">
        <v>121</v>
      </c>
      <c r="Q21" s="98" t="s">
        <v>121</v>
      </c>
    </row>
    <row r="22" spans="1:17" ht="15.75" thickBot="1">
      <c r="A22" s="231" t="s">
        <v>125</v>
      </c>
      <c r="B22" s="91" t="s">
        <v>126</v>
      </c>
      <c r="C22" s="95" t="s">
        <v>124</v>
      </c>
      <c r="D22" s="95" t="s">
        <v>124</v>
      </c>
      <c r="E22" s="95" t="s">
        <v>124</v>
      </c>
      <c r="F22" s="95" t="s">
        <v>124</v>
      </c>
      <c r="G22" s="95" t="s">
        <v>124</v>
      </c>
      <c r="H22" s="100" t="s">
        <v>124</v>
      </c>
      <c r="J22" s="238"/>
      <c r="K22" s="239"/>
      <c r="L22" s="88" t="s">
        <v>130</v>
      </c>
      <c r="M22" s="88" t="s">
        <v>130</v>
      </c>
      <c r="N22" s="88" t="s">
        <v>130</v>
      </c>
      <c r="O22" s="88" t="s">
        <v>130</v>
      </c>
      <c r="P22" s="88" t="s">
        <v>130</v>
      </c>
      <c r="Q22" s="88" t="s">
        <v>130</v>
      </c>
    </row>
    <row r="23" spans="1:17" ht="15" customHeight="1" thickBot="1">
      <c r="A23" s="232"/>
      <c r="B23" s="96" t="s">
        <v>127</v>
      </c>
      <c r="C23" s="95" t="s">
        <v>124</v>
      </c>
      <c r="D23" s="95" t="s">
        <v>124</v>
      </c>
      <c r="E23" s="95" t="s">
        <v>124</v>
      </c>
      <c r="F23" s="95" t="s">
        <v>124</v>
      </c>
      <c r="G23" s="95" t="s">
        <v>124</v>
      </c>
      <c r="H23" s="100" t="s">
        <v>124</v>
      </c>
      <c r="J23" s="234" t="s">
        <v>143</v>
      </c>
      <c r="K23" s="235"/>
      <c r="L23" s="89"/>
      <c r="M23" s="89"/>
      <c r="N23" s="89"/>
      <c r="O23" s="89"/>
      <c r="P23" s="90" t="s">
        <v>124</v>
      </c>
      <c r="Q23" s="99" t="s">
        <v>124</v>
      </c>
    </row>
    <row r="24" spans="1:17" ht="21" customHeight="1" thickBot="1">
      <c r="A24" s="232"/>
      <c r="B24" s="96" t="s">
        <v>128</v>
      </c>
      <c r="C24" s="95" t="s">
        <v>124</v>
      </c>
      <c r="D24" s="95" t="s">
        <v>124</v>
      </c>
      <c r="E24" s="95" t="s">
        <v>124</v>
      </c>
      <c r="F24" s="95" t="s">
        <v>124</v>
      </c>
      <c r="G24" s="95" t="s">
        <v>124</v>
      </c>
      <c r="H24" s="100" t="s">
        <v>124</v>
      </c>
      <c r="J24" s="231" t="s">
        <v>125</v>
      </c>
      <c r="K24" s="91" t="s">
        <v>126</v>
      </c>
      <c r="L24" s="95" t="s">
        <v>124</v>
      </c>
      <c r="M24" s="92">
        <f ca="1">'Pre-Loadings'!$F$17</f>
        <v>7205.5024122730565</v>
      </c>
      <c r="N24" s="92">
        <f ca="1">'Pre-Loadings'!$E$17</f>
        <v>22456.945716545415</v>
      </c>
      <c r="O24" s="95" t="s">
        <v>124</v>
      </c>
      <c r="P24" s="95" t="s">
        <v>124</v>
      </c>
      <c r="Q24" s="100" t="s">
        <v>124</v>
      </c>
    </row>
    <row r="25" spans="1:17" ht="23.25" thickBot="1">
      <c r="A25" s="233"/>
      <c r="B25" s="96" t="s">
        <v>129</v>
      </c>
      <c r="C25" s="95" t="s">
        <v>124</v>
      </c>
      <c r="D25" s="95" t="s">
        <v>124</v>
      </c>
      <c r="E25" s="95" t="s">
        <v>124</v>
      </c>
      <c r="F25" s="95" t="s">
        <v>124</v>
      </c>
      <c r="G25" s="95" t="s">
        <v>124</v>
      </c>
      <c r="H25" s="100" t="s">
        <v>124</v>
      </c>
      <c r="J25" s="232"/>
      <c r="K25" s="96" t="s">
        <v>127</v>
      </c>
      <c r="L25" s="95" t="s">
        <v>124</v>
      </c>
      <c r="M25" s="92">
        <f ca="1">M24-M26</f>
        <v>7003.9858122730566</v>
      </c>
      <c r="N25" s="92">
        <f ca="1">N24-N26</f>
        <v>21449.362716545416</v>
      </c>
      <c r="O25" s="95" t="s">
        <v>124</v>
      </c>
      <c r="P25" s="95" t="s">
        <v>124</v>
      </c>
      <c r="Q25" s="100" t="s">
        <v>124</v>
      </c>
    </row>
    <row r="26" spans="1:17" ht="23.25" thickBot="1">
      <c r="A26" s="236" t="s">
        <v>119</v>
      </c>
      <c r="B26" s="237"/>
      <c r="C26" s="88" t="s">
        <v>57</v>
      </c>
      <c r="D26" s="88" t="s">
        <v>55</v>
      </c>
      <c r="E26" s="88" t="s">
        <v>54</v>
      </c>
      <c r="F26" s="88" t="s">
        <v>56</v>
      </c>
      <c r="G26" s="88" t="s">
        <v>121</v>
      </c>
      <c r="H26" s="98" t="s">
        <v>121</v>
      </c>
      <c r="J26" s="232"/>
      <c r="K26" s="96" t="s">
        <v>128</v>
      </c>
      <c r="L26" s="95" t="s">
        <v>124</v>
      </c>
      <c r="M26" s="92">
        <f ca="1">'Post-Loadings '!G143</f>
        <v>201.51659999999998</v>
      </c>
      <c r="N26" s="92">
        <f ca="1">'Post-Loadings '!E143</f>
        <v>1007.5829999999997</v>
      </c>
      <c r="O26" s="95" t="s">
        <v>124</v>
      </c>
      <c r="P26" s="95" t="s">
        <v>124</v>
      </c>
      <c r="Q26" s="100" t="s">
        <v>124</v>
      </c>
    </row>
    <row r="27" spans="1:17" ht="23.25" thickBot="1">
      <c r="A27" s="238"/>
      <c r="B27" s="239"/>
      <c r="C27" s="88" t="s">
        <v>120</v>
      </c>
      <c r="D27" s="88" t="s">
        <v>120</v>
      </c>
      <c r="E27" s="88" t="s">
        <v>120</v>
      </c>
      <c r="F27" s="88" t="s">
        <v>120</v>
      </c>
      <c r="G27" s="90" t="s">
        <v>120</v>
      </c>
      <c r="H27" s="99" t="s">
        <v>120</v>
      </c>
      <c r="J27" s="233"/>
      <c r="K27" s="96" t="s">
        <v>129</v>
      </c>
      <c r="L27" s="95" t="s">
        <v>124</v>
      </c>
      <c r="M27" s="97">
        <f ca="1">M26/M24</f>
        <v>2.7967043582798456E-2</v>
      </c>
      <c r="N27" s="97">
        <f ca="1">N26/N24</f>
        <v>4.4867321349833039E-2</v>
      </c>
      <c r="O27" s="95" t="s">
        <v>124</v>
      </c>
      <c r="P27" s="95" t="s">
        <v>124</v>
      </c>
      <c r="Q27" s="100" t="s">
        <v>124</v>
      </c>
    </row>
    <row r="28" spans="1:17" ht="15.75" thickBot="1">
      <c r="A28" s="234" t="s">
        <v>132</v>
      </c>
      <c r="B28" s="235"/>
      <c r="C28" s="89"/>
      <c r="D28" s="89"/>
      <c r="E28" s="89"/>
      <c r="F28" s="89"/>
      <c r="G28" s="90" t="s">
        <v>124</v>
      </c>
      <c r="H28" s="99" t="s">
        <v>124</v>
      </c>
      <c r="J28" s="236" t="s">
        <v>119</v>
      </c>
      <c r="K28" s="237"/>
      <c r="L28" s="88" t="s">
        <v>57</v>
      </c>
      <c r="M28" s="88" t="s">
        <v>55</v>
      </c>
      <c r="N28" s="88" t="s">
        <v>54</v>
      </c>
      <c r="O28" s="88" t="s">
        <v>56</v>
      </c>
      <c r="P28" s="88" t="s">
        <v>121</v>
      </c>
      <c r="Q28" s="98" t="s">
        <v>121</v>
      </c>
    </row>
    <row r="29" spans="1:17" ht="15.75" thickBot="1">
      <c r="A29" s="231" t="s">
        <v>125</v>
      </c>
      <c r="B29" s="91" t="s">
        <v>126</v>
      </c>
      <c r="C29" s="95" t="s">
        <v>124</v>
      </c>
      <c r="D29" s="95" t="s">
        <v>124</v>
      </c>
      <c r="E29" s="95" t="s">
        <v>124</v>
      </c>
      <c r="F29" s="95" t="s">
        <v>124</v>
      </c>
      <c r="G29" s="95" t="s">
        <v>124</v>
      </c>
      <c r="H29" s="100" t="s">
        <v>124</v>
      </c>
      <c r="J29" s="238"/>
      <c r="K29" s="239"/>
      <c r="L29" s="88" t="s">
        <v>130</v>
      </c>
      <c r="M29" s="88" t="s">
        <v>130</v>
      </c>
      <c r="N29" s="88" t="s">
        <v>130</v>
      </c>
      <c r="O29" s="88" t="s">
        <v>130</v>
      </c>
      <c r="P29" s="88" t="s">
        <v>130</v>
      </c>
      <c r="Q29" s="88" t="s">
        <v>130</v>
      </c>
    </row>
    <row r="30" spans="1:17" ht="23.25" thickBot="1">
      <c r="A30" s="232"/>
      <c r="B30" s="96" t="s">
        <v>127</v>
      </c>
      <c r="C30" s="95" t="s">
        <v>124</v>
      </c>
      <c r="D30" s="95" t="s">
        <v>124</v>
      </c>
      <c r="E30" s="95" t="s">
        <v>124</v>
      </c>
      <c r="F30" s="95" t="s">
        <v>124</v>
      </c>
      <c r="G30" s="95" t="s">
        <v>124</v>
      </c>
      <c r="H30" s="100" t="s">
        <v>124</v>
      </c>
      <c r="J30" s="234" t="s">
        <v>144</v>
      </c>
      <c r="K30" s="235"/>
      <c r="L30" s="89"/>
      <c r="M30" s="89"/>
      <c r="N30" s="89"/>
      <c r="O30" s="89"/>
      <c r="P30" s="90" t="s">
        <v>124</v>
      </c>
      <c r="Q30" s="99" t="s">
        <v>124</v>
      </c>
    </row>
    <row r="31" spans="1:17" ht="21" customHeight="1" thickBot="1">
      <c r="A31" s="232"/>
      <c r="B31" s="96" t="s">
        <v>128</v>
      </c>
      <c r="C31" s="95" t="s">
        <v>124</v>
      </c>
      <c r="D31" s="95" t="s">
        <v>124</v>
      </c>
      <c r="E31" s="95" t="s">
        <v>124</v>
      </c>
      <c r="F31" s="95" t="s">
        <v>124</v>
      </c>
      <c r="G31" s="95" t="s">
        <v>124</v>
      </c>
      <c r="H31" s="100" t="s">
        <v>124</v>
      </c>
      <c r="J31" s="231" t="s">
        <v>125</v>
      </c>
      <c r="K31" s="91" t="s">
        <v>126</v>
      </c>
      <c r="L31" s="95" t="s">
        <v>124</v>
      </c>
      <c r="M31" s="92">
        <f ca="1">'Pre-Loadings'!$F$17</f>
        <v>7205.5024122730565</v>
      </c>
      <c r="N31" s="92">
        <f ca="1">'Pre-Loadings'!$E$17</f>
        <v>22456.945716545415</v>
      </c>
      <c r="O31" s="95" t="s">
        <v>124</v>
      </c>
      <c r="P31" s="95" t="s">
        <v>124</v>
      </c>
      <c r="Q31" s="100" t="s">
        <v>124</v>
      </c>
    </row>
    <row r="32" spans="1:17" ht="23.25" thickBot="1">
      <c r="A32" s="233"/>
      <c r="B32" s="96" t="s">
        <v>129</v>
      </c>
      <c r="C32" s="95" t="s">
        <v>124</v>
      </c>
      <c r="D32" s="95" t="s">
        <v>124</v>
      </c>
      <c r="E32" s="95" t="s">
        <v>124</v>
      </c>
      <c r="F32" s="95" t="s">
        <v>124</v>
      </c>
      <c r="G32" s="95" t="s">
        <v>124</v>
      </c>
      <c r="H32" s="100" t="s">
        <v>124</v>
      </c>
      <c r="J32" s="232"/>
      <c r="K32" s="96" t="s">
        <v>127</v>
      </c>
      <c r="L32" s="95" t="s">
        <v>124</v>
      </c>
      <c r="M32" s="92">
        <f ca="1">M31-M33</f>
        <v>6403.8697587842689</v>
      </c>
      <c r="N32" s="92">
        <f ca="1">N31-N33</f>
        <v>15539.047826457236</v>
      </c>
      <c r="O32" s="95" t="s">
        <v>124</v>
      </c>
      <c r="P32" s="95" t="s">
        <v>124</v>
      </c>
      <c r="Q32" s="100" t="s">
        <v>124</v>
      </c>
    </row>
    <row r="33" spans="1:17" ht="23.25" thickBot="1">
      <c r="A33" s="240"/>
      <c r="B33" s="241"/>
      <c r="C33" s="88"/>
      <c r="D33" s="88"/>
      <c r="E33" s="88"/>
      <c r="F33" s="88"/>
      <c r="G33" s="88"/>
      <c r="H33" s="98"/>
      <c r="J33" s="232"/>
      <c r="K33" s="96" t="s">
        <v>128</v>
      </c>
      <c r="L33" s="95" t="s">
        <v>124</v>
      </c>
      <c r="M33" s="92">
        <f ca="1">SUM(M26,M19,,M12)</f>
        <v>801.63265348878735</v>
      </c>
      <c r="N33" s="92">
        <f ca="1">SUM(N26,N19,,N12)</f>
        <v>6917.8978900881793</v>
      </c>
      <c r="O33" s="92"/>
      <c r="P33" s="95" t="s">
        <v>124</v>
      </c>
      <c r="Q33" s="100" t="s">
        <v>124</v>
      </c>
    </row>
    <row r="34" spans="1:17" ht="23.25" thickBot="1">
      <c r="A34" s="229"/>
      <c r="B34" s="229"/>
      <c r="C34" s="229"/>
      <c r="D34" s="229"/>
      <c r="E34" s="229"/>
      <c r="F34" s="229"/>
      <c r="G34" s="229"/>
      <c r="H34" s="229"/>
      <c r="J34" s="233"/>
      <c r="K34" s="96" t="s">
        <v>129</v>
      </c>
      <c r="L34" s="95" t="s">
        <v>124</v>
      </c>
      <c r="M34" s="97">
        <f ca="1">M33/M31</f>
        <v>0.11125284645292394</v>
      </c>
      <c r="N34" s="97">
        <f ca="1">N33/N31</f>
        <v>0.30805159247418662</v>
      </c>
      <c r="O34" s="95" t="s">
        <v>124</v>
      </c>
      <c r="P34" s="95" t="s">
        <v>124</v>
      </c>
      <c r="Q34" s="100" t="s">
        <v>124</v>
      </c>
    </row>
    <row r="35" spans="1:17" ht="72" customHeight="1">
      <c r="A35" s="230"/>
      <c r="B35" s="230"/>
      <c r="C35" s="230"/>
      <c r="D35" s="230"/>
      <c r="E35" s="230"/>
      <c r="F35" s="230"/>
      <c r="G35" s="230"/>
      <c r="H35" s="230"/>
      <c r="J35" s="242"/>
      <c r="K35" s="242"/>
      <c r="L35" s="190"/>
      <c r="M35" s="190"/>
      <c r="N35" s="190"/>
      <c r="O35" s="190"/>
      <c r="P35" s="190"/>
      <c r="Q35" s="190"/>
    </row>
    <row r="36" spans="1:17" ht="41.45" customHeight="1">
      <c r="A36" s="229"/>
      <c r="B36" s="229"/>
      <c r="C36" s="229"/>
      <c r="D36" s="229"/>
      <c r="E36" s="229"/>
      <c r="F36" s="229"/>
      <c r="G36" s="229"/>
      <c r="H36" s="229"/>
      <c r="J36" s="229"/>
      <c r="K36" s="229"/>
      <c r="L36" s="229"/>
      <c r="M36" s="229"/>
      <c r="N36" s="229"/>
      <c r="O36" s="229"/>
      <c r="P36" s="229"/>
      <c r="Q36" s="229"/>
    </row>
    <row r="37" spans="1:17" ht="72" customHeight="1">
      <c r="A37" s="101"/>
      <c r="J37" s="230"/>
      <c r="K37" s="230"/>
      <c r="L37" s="230"/>
      <c r="M37" s="230"/>
      <c r="N37" s="230"/>
      <c r="O37" s="230"/>
      <c r="P37" s="230"/>
      <c r="Q37" s="230"/>
    </row>
    <row r="38" spans="1:17" ht="41.45" customHeight="1">
      <c r="J38" s="229"/>
      <c r="K38" s="229"/>
      <c r="L38" s="229"/>
      <c r="M38" s="229"/>
      <c r="N38" s="229"/>
      <c r="O38" s="229"/>
      <c r="P38" s="229"/>
      <c r="Q38" s="229"/>
    </row>
    <row r="39" spans="1:17">
      <c r="J39" s="101"/>
    </row>
  </sheetData>
  <mergeCells count="36">
    <mergeCell ref="A15:A18"/>
    <mergeCell ref="A12:B13"/>
    <mergeCell ref="A14:B14"/>
    <mergeCell ref="A19:B20"/>
    <mergeCell ref="A21:B21"/>
    <mergeCell ref="A3:H3"/>
    <mergeCell ref="A4:H4"/>
    <mergeCell ref="A5:B6"/>
    <mergeCell ref="A7:B7"/>
    <mergeCell ref="A8:A11"/>
    <mergeCell ref="J5:Q5"/>
    <mergeCell ref="J6:Q6"/>
    <mergeCell ref="J36:Q36"/>
    <mergeCell ref="J10:J13"/>
    <mergeCell ref="J9:K9"/>
    <mergeCell ref="J7:K8"/>
    <mergeCell ref="J28:K29"/>
    <mergeCell ref="J37:Q37"/>
    <mergeCell ref="J38:Q38"/>
    <mergeCell ref="J24:J27"/>
    <mergeCell ref="J17:J20"/>
    <mergeCell ref="J14:K15"/>
    <mergeCell ref="J16:K16"/>
    <mergeCell ref="J21:K22"/>
    <mergeCell ref="J23:K23"/>
    <mergeCell ref="J31:J34"/>
    <mergeCell ref="J35:K35"/>
    <mergeCell ref="A34:H34"/>
    <mergeCell ref="A35:H35"/>
    <mergeCell ref="A36:H36"/>
    <mergeCell ref="A22:A25"/>
    <mergeCell ref="J30:K30"/>
    <mergeCell ref="A26:B27"/>
    <mergeCell ref="A28:B28"/>
    <mergeCell ref="A29:A32"/>
    <mergeCell ref="A33:B3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LANDUSE</vt:lpstr>
      <vt:lpstr>Pre-Loadings</vt:lpstr>
      <vt:lpstr>Post-Loadings </vt:lpstr>
      <vt:lpstr>Summary Results</vt:lpstr>
      <vt:lpstr>'Post-Loadings '!Print_Area</vt:lpstr>
      <vt:lpstr>'Pre-Loadings'!Print_Area</vt:lpstr>
      <vt:lpstr>'Post-Loadings '!Rainfall</vt:lpstr>
      <vt:lpstr>Rainfall</vt:lpstr>
      <vt:lpstr>'Post-Loadings '!RRF</vt:lpstr>
      <vt:lpstr>RRF</vt:lpstr>
    </vt:vector>
  </TitlesOfParts>
  <Company>City of Tallahassee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Heidecker, Mark</dc:creator>
  <cp:lastModifiedBy>Julie Espy</cp:lastModifiedBy>
  <cp:lastPrinted>2012-05-22T18:00:34Z</cp:lastPrinted>
  <dcterms:created xsi:type="dcterms:W3CDTF">2012-05-02T17:44:26Z</dcterms:created>
  <dcterms:modified xsi:type="dcterms:W3CDTF">2012-10-08T19:37:52Z</dcterms:modified>
</cp:coreProperties>
</file>