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charts/chart2.xml" ContentType="application/vnd.openxmlformats-officedocument.drawingml.chart+xml"/>
  <Override PartName="/xl/charts/chart3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charts/chart8.xml" ContentType="application/vnd.openxmlformats-officedocument.drawingml.char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hidePivotFieldList="1" defaultThemeVersion="124226"/>
  <bookViews>
    <workbookView xWindow="240" yWindow="60" windowWidth="26190" windowHeight="12045" activeTab="1"/>
  </bookViews>
  <sheets>
    <sheet name="Readme" sheetId="19" r:id="rId1"/>
    <sheet name="Abridged_Summary" sheetId="15" r:id="rId2"/>
    <sheet name="Main_Summary" sheetId="14" r:id="rId3"/>
    <sheet name="Figs_n_Tables" sheetId="17" r:id="rId4"/>
    <sheet name="Basic_Loads" sheetId="16" r:id="rId5"/>
    <sheet name="LU_Lookup" sheetId="7" r:id="rId6"/>
    <sheet name="MM_List" sheetId="10" r:id="rId7"/>
    <sheet name="MM_RptList" sheetId="18" r:id="rId8"/>
    <sheet name="FlowLoad_Data" sheetId="6" r:id="rId9"/>
    <sheet name="Dispersed_WMP" sheetId="11" r:id="rId10"/>
    <sheet name="Parcel_ChemTrt" sheetId="12" r:id="rId11"/>
    <sheet name="Master_Lookup" sheetId="9" r:id="rId12"/>
    <sheet name="ConvFactors" sheetId="4" r:id="rId13"/>
  </sheets>
  <externalReferences>
    <externalReference r:id="rId14"/>
  </externalReferences>
  <definedNames>
    <definedName name="bott_bmpareas">LU_Lookup!$A$274:$L$293</definedName>
    <definedName name="bott_bmpeff">LU_Lookup!$A$22:$H$41</definedName>
    <definedName name="bott_luacres">LU_Lookup!$N$22:$U$43</definedName>
    <definedName name="bottb_Loadings">LU_Lookup!$A$59:$I$96</definedName>
    <definedName name="bottb_luacres">LU_Lookup!$N$59:$U$98</definedName>
    <definedName name="bottbmp_curr">LU_Lookup!$A$125:$L$144</definedName>
    <definedName name="bottbmp_long">LU_Lookup!$A$183:$L$202</definedName>
    <definedName name="bottbmp_near">LU_Lookup!$A$154:$L$173</definedName>
    <definedName name="cfs_acftday">ConvFactors!$A$24</definedName>
    <definedName name="dispersedsum">Dispersed_WMP!$G$45:$S$50</definedName>
    <definedName name="flow_9605">FlowLoad_Data!$A$22:$I$26</definedName>
    <definedName name="lb_mton">ConvFactors!$A$32</definedName>
    <definedName name="lbacft_mgl">ConvFactors!$A$41</definedName>
    <definedName name="lbacin_mgl">ConvFactors!$A$42</definedName>
    <definedName name="loads_summ">Basic_Loads!$A$640:$W$732</definedName>
    <definedName name="mglacft_mton">ConvFactors!$A$37</definedName>
    <definedName name="mglcfs_mtonday">ConvFactors!$A$35</definedName>
    <definedName name="MM_List">MM_List!$A$21:$T$86</definedName>
    <definedName name="mm_sum">MM_List!$E$115:$L$142</definedName>
    <definedName name="mon_index">ConvFactors!$I$9:$K$20</definedName>
    <definedName name="mtonacft_mgl">ConvFactors!$A$40</definedName>
    <definedName name="okee_dat">MM_List!$D$100:$I$106</definedName>
    <definedName name="parchemtrt">Parcel_ChemTrt!$E$22:$G$27</definedName>
    <definedName name="parmlist">Master_Lookup!$A$27:$T$28</definedName>
    <definedName name="postbmp_conc">Basic_Loads!$I$625:$W$627</definedName>
    <definedName name="_xlnm.Print_Area" localSheetId="1">Abridged_Summary!$A$1:$Z$101</definedName>
    <definedName name="projstatus">Master_Lookup!$B$56:$G$58</definedName>
    <definedName name="subwatalpha">Master_Lookup!$B$33:$E$39</definedName>
    <definedName name="subwatconc">Dispersed_WMP!$C$60:$I$65</definedName>
    <definedName name="subwatgeog">Master_Lookup!$B$44:$E$50</definedName>
    <definedName name="subwatindex">Master_Lookup!$G$33:$I$37</definedName>
    <definedName name="subwshed">[1]SubRegions!$B$42:$F$47</definedName>
    <definedName name="Tmdl_TN">Master_Lookup!$B$19</definedName>
    <definedName name="tmppp" localSheetId="1">MM_List!#REF!</definedName>
    <definedName name="tmppp" localSheetId="4">MM_List!#REF!</definedName>
    <definedName name="tmppp">MM_List!#REF!</definedName>
    <definedName name="TNBase">Master_Lookup!$B$15</definedName>
    <definedName name="TPBase">Master_Lookup!$B$16</definedName>
    <definedName name="yr_index">ConvFactors!$I$26:$K$44</definedName>
  </definedNames>
  <calcPr calcId="125725"/>
</workbook>
</file>

<file path=xl/calcChain.xml><?xml version="1.0" encoding="utf-8"?>
<calcChain xmlns="http://schemas.openxmlformats.org/spreadsheetml/2006/main">
  <c r="K40" i="18"/>
  <c r="A40" s="1"/>
  <c r="L40"/>
  <c r="B40" s="1"/>
  <c r="M40"/>
  <c r="T40" s="1"/>
  <c r="N40"/>
  <c r="O40"/>
  <c r="H40" s="1"/>
  <c r="P40"/>
  <c r="G40" s="1"/>
  <c r="Q40"/>
  <c r="R40"/>
  <c r="U40"/>
  <c r="V40"/>
  <c r="X40" s="1"/>
  <c r="AB40"/>
  <c r="AD40" s="1"/>
  <c r="AC40"/>
  <c r="T170" i="10"/>
  <c r="M170"/>
  <c r="H188" i="7"/>
  <c r="I188"/>
  <c r="J188"/>
  <c r="K188"/>
  <c r="L188"/>
  <c r="H189"/>
  <c r="I189"/>
  <c r="J189"/>
  <c r="K189"/>
  <c r="L189"/>
  <c r="H190"/>
  <c r="I190"/>
  <c r="J190"/>
  <c r="K190"/>
  <c r="L190"/>
  <c r="H191"/>
  <c r="I191"/>
  <c r="J191"/>
  <c r="K191"/>
  <c r="L191"/>
  <c r="H192"/>
  <c r="I192"/>
  <c r="J192"/>
  <c r="K192"/>
  <c r="L192"/>
  <c r="H193"/>
  <c r="I193"/>
  <c r="J193"/>
  <c r="K193"/>
  <c r="L193"/>
  <c r="H194"/>
  <c r="I194"/>
  <c r="J194"/>
  <c r="K194"/>
  <c r="L194"/>
  <c r="H195"/>
  <c r="I195"/>
  <c r="J195"/>
  <c r="K195"/>
  <c r="L195"/>
  <c r="H196"/>
  <c r="I196"/>
  <c r="J196"/>
  <c r="K196"/>
  <c r="L196"/>
  <c r="H197"/>
  <c r="I197"/>
  <c r="J197"/>
  <c r="K197"/>
  <c r="L197"/>
  <c r="H198"/>
  <c r="I198"/>
  <c r="J198"/>
  <c r="K198"/>
  <c r="L198"/>
  <c r="I187"/>
  <c r="J187"/>
  <c r="K187"/>
  <c r="L187"/>
  <c r="H187"/>
  <c r="H159"/>
  <c r="I159"/>
  <c r="J159"/>
  <c r="K159"/>
  <c r="L159"/>
  <c r="H160"/>
  <c r="I160"/>
  <c r="J160"/>
  <c r="K160"/>
  <c r="L160"/>
  <c r="H161"/>
  <c r="I161"/>
  <c r="J161"/>
  <c r="K161"/>
  <c r="L161"/>
  <c r="H162"/>
  <c r="I162"/>
  <c r="J162"/>
  <c r="K162"/>
  <c r="L162"/>
  <c r="H163"/>
  <c r="I163"/>
  <c r="J163"/>
  <c r="K163"/>
  <c r="L163"/>
  <c r="H164"/>
  <c r="I164"/>
  <c r="J164"/>
  <c r="K164"/>
  <c r="L164"/>
  <c r="H165"/>
  <c r="I165"/>
  <c r="J165"/>
  <c r="K165"/>
  <c r="L165"/>
  <c r="H166"/>
  <c r="I166"/>
  <c r="J166"/>
  <c r="K166"/>
  <c r="L166"/>
  <c r="H167"/>
  <c r="I167"/>
  <c r="J167"/>
  <c r="K167"/>
  <c r="L167"/>
  <c r="H168"/>
  <c r="I168"/>
  <c r="J168"/>
  <c r="K168"/>
  <c r="L168"/>
  <c r="H169"/>
  <c r="I169"/>
  <c r="J169"/>
  <c r="K169"/>
  <c r="L169"/>
  <c r="I158"/>
  <c r="J158"/>
  <c r="K158"/>
  <c r="L158"/>
  <c r="H158"/>
  <c r="H130"/>
  <c r="I130"/>
  <c r="J130"/>
  <c r="K130"/>
  <c r="L130"/>
  <c r="H131"/>
  <c r="I131"/>
  <c r="J131"/>
  <c r="K131"/>
  <c r="L131"/>
  <c r="H132"/>
  <c r="I132"/>
  <c r="J132"/>
  <c r="K132"/>
  <c r="L132"/>
  <c r="H133"/>
  <c r="I133"/>
  <c r="J133"/>
  <c r="K133"/>
  <c r="L133"/>
  <c r="H134"/>
  <c r="I134"/>
  <c r="J134"/>
  <c r="K134"/>
  <c r="L134"/>
  <c r="H135"/>
  <c r="I135"/>
  <c r="J135"/>
  <c r="K135"/>
  <c r="L135"/>
  <c r="H136"/>
  <c r="I136"/>
  <c r="J136"/>
  <c r="K136"/>
  <c r="L136"/>
  <c r="H137"/>
  <c r="I137"/>
  <c r="J137"/>
  <c r="K137"/>
  <c r="L137"/>
  <c r="H138"/>
  <c r="I138"/>
  <c r="J138"/>
  <c r="K138"/>
  <c r="L138"/>
  <c r="H139"/>
  <c r="I139"/>
  <c r="J139"/>
  <c r="K139"/>
  <c r="L139"/>
  <c r="H140"/>
  <c r="I140"/>
  <c r="J140"/>
  <c r="K140"/>
  <c r="L140"/>
  <c r="I129"/>
  <c r="J129"/>
  <c r="K129"/>
  <c r="L129"/>
  <c r="H129"/>
  <c r="C188"/>
  <c r="D188"/>
  <c r="E188"/>
  <c r="F188"/>
  <c r="G188"/>
  <c r="C189"/>
  <c r="D189"/>
  <c r="E189"/>
  <c r="F189"/>
  <c r="G189"/>
  <c r="C190"/>
  <c r="D190"/>
  <c r="E190"/>
  <c r="F190"/>
  <c r="G190"/>
  <c r="C191"/>
  <c r="D191"/>
  <c r="E191"/>
  <c r="F191"/>
  <c r="G191"/>
  <c r="C192"/>
  <c r="D192"/>
  <c r="E192"/>
  <c r="F192"/>
  <c r="G192"/>
  <c r="C193"/>
  <c r="D193"/>
  <c r="E193"/>
  <c r="F193"/>
  <c r="G193"/>
  <c r="C194"/>
  <c r="D194"/>
  <c r="E194"/>
  <c r="F194"/>
  <c r="G194"/>
  <c r="C195"/>
  <c r="D195"/>
  <c r="E195"/>
  <c r="F195"/>
  <c r="G195"/>
  <c r="C196"/>
  <c r="D196"/>
  <c r="E196"/>
  <c r="F196"/>
  <c r="G196"/>
  <c r="C197"/>
  <c r="D197"/>
  <c r="E197"/>
  <c r="F197"/>
  <c r="G197"/>
  <c r="C198"/>
  <c r="D198"/>
  <c r="E198"/>
  <c r="F198"/>
  <c r="G198"/>
  <c r="D187"/>
  <c r="E187"/>
  <c r="F187"/>
  <c r="G187"/>
  <c r="C187"/>
  <c r="C159"/>
  <c r="D159"/>
  <c r="E159"/>
  <c r="F159"/>
  <c r="G159"/>
  <c r="C160"/>
  <c r="D160"/>
  <c r="E160"/>
  <c r="F160"/>
  <c r="G160"/>
  <c r="C161"/>
  <c r="D161"/>
  <c r="E161"/>
  <c r="F161"/>
  <c r="G161"/>
  <c r="C162"/>
  <c r="D162"/>
  <c r="E162"/>
  <c r="F162"/>
  <c r="G162"/>
  <c r="C163"/>
  <c r="D163"/>
  <c r="E163"/>
  <c r="F163"/>
  <c r="G163"/>
  <c r="C164"/>
  <c r="D164"/>
  <c r="E164"/>
  <c r="F164"/>
  <c r="G164"/>
  <c r="C165"/>
  <c r="D165"/>
  <c r="E165"/>
  <c r="F165"/>
  <c r="G165"/>
  <c r="C166"/>
  <c r="D166"/>
  <c r="E166"/>
  <c r="F166"/>
  <c r="G166"/>
  <c r="C167"/>
  <c r="D167"/>
  <c r="E167"/>
  <c r="F167"/>
  <c r="G167"/>
  <c r="C168"/>
  <c r="D168"/>
  <c r="E168"/>
  <c r="F168"/>
  <c r="G168"/>
  <c r="C169"/>
  <c r="D169"/>
  <c r="E169"/>
  <c r="F169"/>
  <c r="G169"/>
  <c r="D158"/>
  <c r="E158"/>
  <c r="F158"/>
  <c r="G158"/>
  <c r="C158"/>
  <c r="C130"/>
  <c r="D130"/>
  <c r="E130"/>
  <c r="F130"/>
  <c r="G130"/>
  <c r="C131"/>
  <c r="D131"/>
  <c r="E131"/>
  <c r="F131"/>
  <c r="G131"/>
  <c r="C132"/>
  <c r="D132"/>
  <c r="E132"/>
  <c r="F132"/>
  <c r="G132"/>
  <c r="C133"/>
  <c r="D133"/>
  <c r="E133"/>
  <c r="F133"/>
  <c r="G133"/>
  <c r="C134"/>
  <c r="D134"/>
  <c r="E134"/>
  <c r="F134"/>
  <c r="G134"/>
  <c r="C135"/>
  <c r="D135"/>
  <c r="E135"/>
  <c r="F135"/>
  <c r="G135"/>
  <c r="C136"/>
  <c r="D136"/>
  <c r="E136"/>
  <c r="F136"/>
  <c r="G136"/>
  <c r="C137"/>
  <c r="D137"/>
  <c r="E137"/>
  <c r="F137"/>
  <c r="G137"/>
  <c r="C138"/>
  <c r="D138"/>
  <c r="E138"/>
  <c r="F138"/>
  <c r="G138"/>
  <c r="C139"/>
  <c r="D139"/>
  <c r="E139"/>
  <c r="F139"/>
  <c r="G139"/>
  <c r="C140"/>
  <c r="D140"/>
  <c r="E140"/>
  <c r="F140"/>
  <c r="G140"/>
  <c r="D129"/>
  <c r="E129"/>
  <c r="F129"/>
  <c r="G129"/>
  <c r="C129"/>
  <c r="L261"/>
  <c r="K261"/>
  <c r="J261"/>
  <c r="I261"/>
  <c r="H261"/>
  <c r="L260"/>
  <c r="K260"/>
  <c r="J260"/>
  <c r="I260"/>
  <c r="H260"/>
  <c r="L259"/>
  <c r="K259"/>
  <c r="J259"/>
  <c r="I259"/>
  <c r="H259"/>
  <c r="C65" i="11"/>
  <c r="F214" i="7"/>
  <c r="F213"/>
  <c r="F212"/>
  <c r="E214"/>
  <c r="E213"/>
  <c r="E212"/>
  <c r="I248"/>
  <c r="J248"/>
  <c r="K248"/>
  <c r="L248"/>
  <c r="H248"/>
  <c r="Q45"/>
  <c r="R45"/>
  <c r="S45"/>
  <c r="T45"/>
  <c r="U45"/>
  <c r="P45"/>
  <c r="I250"/>
  <c r="J250"/>
  <c r="K250"/>
  <c r="L250"/>
  <c r="H250"/>
  <c r="I249"/>
  <c r="J249"/>
  <c r="K249"/>
  <c r="L249"/>
  <c r="H249"/>
  <c r="L202"/>
  <c r="K202"/>
  <c r="J202"/>
  <c r="I202"/>
  <c r="H202"/>
  <c r="L201"/>
  <c r="K201"/>
  <c r="J201"/>
  <c r="I201"/>
  <c r="H201"/>
  <c r="I183"/>
  <c r="J183"/>
  <c r="K183"/>
  <c r="L183"/>
  <c r="I184"/>
  <c r="J184"/>
  <c r="K184"/>
  <c r="L184"/>
  <c r="I185"/>
  <c r="J185"/>
  <c r="K185"/>
  <c r="L185"/>
  <c r="I186"/>
  <c r="J186"/>
  <c r="K186"/>
  <c r="L186"/>
  <c r="H184"/>
  <c r="H185"/>
  <c r="H186"/>
  <c r="H183"/>
  <c r="L173"/>
  <c r="K173"/>
  <c r="J173"/>
  <c r="I173"/>
  <c r="H173"/>
  <c r="L172"/>
  <c r="K172"/>
  <c r="J172"/>
  <c r="I172"/>
  <c r="H172"/>
  <c r="I154"/>
  <c r="J154"/>
  <c r="K154"/>
  <c r="L154"/>
  <c r="I155"/>
  <c r="J155"/>
  <c r="K155"/>
  <c r="L155"/>
  <c r="I156"/>
  <c r="J156"/>
  <c r="K156"/>
  <c r="L156"/>
  <c r="I157"/>
  <c r="J157"/>
  <c r="K157"/>
  <c r="L157"/>
  <c r="H155"/>
  <c r="H156"/>
  <c r="H157"/>
  <c r="H154"/>
  <c r="L144"/>
  <c r="K144"/>
  <c r="J144"/>
  <c r="I144"/>
  <c r="H144"/>
  <c r="L143"/>
  <c r="K143"/>
  <c r="J143"/>
  <c r="I143"/>
  <c r="H143"/>
  <c r="I125"/>
  <c r="J125"/>
  <c r="K125"/>
  <c r="L125"/>
  <c r="I126"/>
  <c r="J126"/>
  <c r="K126"/>
  <c r="L126"/>
  <c r="I127"/>
  <c r="J127"/>
  <c r="K127"/>
  <c r="L127"/>
  <c r="I128"/>
  <c r="J128"/>
  <c r="K128"/>
  <c r="L128"/>
  <c r="H126"/>
  <c r="H127"/>
  <c r="H128"/>
  <c r="H125"/>
  <c r="G202"/>
  <c r="F202"/>
  <c r="E202"/>
  <c r="D202"/>
  <c r="C202"/>
  <c r="G201"/>
  <c r="F201"/>
  <c r="E201"/>
  <c r="D201"/>
  <c r="C201"/>
  <c r="D183"/>
  <c r="E183"/>
  <c r="F183"/>
  <c r="G183"/>
  <c r="D184"/>
  <c r="E184"/>
  <c r="F184"/>
  <c r="G184"/>
  <c r="D185"/>
  <c r="E185"/>
  <c r="F185"/>
  <c r="G185"/>
  <c r="D186"/>
  <c r="E186"/>
  <c r="F186"/>
  <c r="G186"/>
  <c r="C184"/>
  <c r="C185"/>
  <c r="C186"/>
  <c r="C183"/>
  <c r="G173"/>
  <c r="F173"/>
  <c r="E173"/>
  <c r="D173"/>
  <c r="C173"/>
  <c r="G172"/>
  <c r="F172"/>
  <c r="E172"/>
  <c r="D172"/>
  <c r="C172"/>
  <c r="C155"/>
  <c r="D155"/>
  <c r="E155"/>
  <c r="F155"/>
  <c r="G155"/>
  <c r="C156"/>
  <c r="D156"/>
  <c r="E156"/>
  <c r="F156"/>
  <c r="G156"/>
  <c r="C157"/>
  <c r="D157"/>
  <c r="E157"/>
  <c r="F157"/>
  <c r="G157"/>
  <c r="D154"/>
  <c r="E154"/>
  <c r="F154"/>
  <c r="G154"/>
  <c r="C154"/>
  <c r="G144"/>
  <c r="F144"/>
  <c r="E144"/>
  <c r="D144"/>
  <c r="C144"/>
  <c r="G143"/>
  <c r="F143"/>
  <c r="E143"/>
  <c r="D143"/>
  <c r="C143"/>
  <c r="C126"/>
  <c r="D126"/>
  <c r="E126"/>
  <c r="F126"/>
  <c r="G126"/>
  <c r="C127"/>
  <c r="D127"/>
  <c r="E127"/>
  <c r="F127"/>
  <c r="G127"/>
  <c r="C128"/>
  <c r="D128"/>
  <c r="E128"/>
  <c r="F128"/>
  <c r="G128"/>
  <c r="D125"/>
  <c r="E125"/>
  <c r="F125"/>
  <c r="G125"/>
  <c r="C125"/>
  <c r="H315" i="17"/>
  <c r="C315"/>
  <c r="B315"/>
  <c r="C160"/>
  <c r="B160"/>
  <c r="C159"/>
  <c r="B159"/>
  <c r="C158"/>
  <c r="B158"/>
  <c r="C157"/>
  <c r="B157"/>
  <c r="C156"/>
  <c r="B156"/>
  <c r="C155"/>
  <c r="B155"/>
  <c r="J88" i="18"/>
  <c r="J89" s="1"/>
  <c r="K12"/>
  <c r="L12"/>
  <c r="M12"/>
  <c r="N12"/>
  <c r="O12"/>
  <c r="P12"/>
  <c r="Q12"/>
  <c r="K13"/>
  <c r="L13"/>
  <c r="M13"/>
  <c r="N13"/>
  <c r="O13"/>
  <c r="P13"/>
  <c r="Q13"/>
  <c r="K14"/>
  <c r="L14"/>
  <c r="M14"/>
  <c r="N14"/>
  <c r="O14"/>
  <c r="P14"/>
  <c r="Q14"/>
  <c r="K15"/>
  <c r="L15"/>
  <c r="M15"/>
  <c r="N15"/>
  <c r="O15"/>
  <c r="P15"/>
  <c r="Q15"/>
  <c r="K16"/>
  <c r="L16"/>
  <c r="M16"/>
  <c r="N16"/>
  <c r="O16"/>
  <c r="P16"/>
  <c r="Q16"/>
  <c r="K17"/>
  <c r="L17"/>
  <c r="M17"/>
  <c r="N17"/>
  <c r="O17"/>
  <c r="P17"/>
  <c r="Q17"/>
  <c r="K18"/>
  <c r="L18"/>
  <c r="M18"/>
  <c r="N18"/>
  <c r="O18"/>
  <c r="P18"/>
  <c r="Q18"/>
  <c r="K19"/>
  <c r="L19"/>
  <c r="M19"/>
  <c r="N19"/>
  <c r="O19"/>
  <c r="P19"/>
  <c r="Q19"/>
  <c r="K20"/>
  <c r="L20"/>
  <c r="M20"/>
  <c r="N20"/>
  <c r="O20"/>
  <c r="P20"/>
  <c r="Q20"/>
  <c r="K21"/>
  <c r="L21"/>
  <c r="M21"/>
  <c r="N21"/>
  <c r="O21"/>
  <c r="P21"/>
  <c r="Q21"/>
  <c r="K22"/>
  <c r="L22"/>
  <c r="M22"/>
  <c r="N22"/>
  <c r="O22"/>
  <c r="P22"/>
  <c r="Q22"/>
  <c r="K23"/>
  <c r="L23"/>
  <c r="M23"/>
  <c r="N23"/>
  <c r="O23"/>
  <c r="P23"/>
  <c r="Q23"/>
  <c r="K29"/>
  <c r="L29"/>
  <c r="M29"/>
  <c r="N29"/>
  <c r="O29"/>
  <c r="P29"/>
  <c r="Q29"/>
  <c r="K30"/>
  <c r="L30"/>
  <c r="M30"/>
  <c r="N30"/>
  <c r="O30"/>
  <c r="P30"/>
  <c r="Q30"/>
  <c r="K31"/>
  <c r="L31"/>
  <c r="M31"/>
  <c r="N31"/>
  <c r="O31"/>
  <c r="P31"/>
  <c r="Q31"/>
  <c r="K32"/>
  <c r="L32"/>
  <c r="M32"/>
  <c r="N32"/>
  <c r="O32"/>
  <c r="P32"/>
  <c r="Q32"/>
  <c r="K33"/>
  <c r="L33"/>
  <c r="M33"/>
  <c r="N33"/>
  <c r="O33"/>
  <c r="P33"/>
  <c r="Q33"/>
  <c r="K34"/>
  <c r="L34"/>
  <c r="M34"/>
  <c r="N34"/>
  <c r="O34"/>
  <c r="P34"/>
  <c r="Q34"/>
  <c r="K35"/>
  <c r="L35"/>
  <c r="M35"/>
  <c r="N35"/>
  <c r="O35"/>
  <c r="P35"/>
  <c r="Q35"/>
  <c r="K46"/>
  <c r="L46"/>
  <c r="M46"/>
  <c r="N46"/>
  <c r="O46"/>
  <c r="P46"/>
  <c r="Q46"/>
  <c r="K47"/>
  <c r="L47"/>
  <c r="M47"/>
  <c r="N47"/>
  <c r="O47"/>
  <c r="P47"/>
  <c r="Q47"/>
  <c r="K48"/>
  <c r="L48"/>
  <c r="M48"/>
  <c r="N48"/>
  <c r="O48"/>
  <c r="P48"/>
  <c r="Q48"/>
  <c r="K49"/>
  <c r="L49"/>
  <c r="M49"/>
  <c r="N49"/>
  <c r="O49"/>
  <c r="P49"/>
  <c r="Q49"/>
  <c r="K50"/>
  <c r="L50"/>
  <c r="M50"/>
  <c r="N50"/>
  <c r="O50"/>
  <c r="P50"/>
  <c r="Q50"/>
  <c r="K51"/>
  <c r="L51"/>
  <c r="M51"/>
  <c r="N51"/>
  <c r="O51"/>
  <c r="P51"/>
  <c r="Q51"/>
  <c r="K52"/>
  <c r="L52"/>
  <c r="M52"/>
  <c r="N52"/>
  <c r="O52"/>
  <c r="P52"/>
  <c r="Q52"/>
  <c r="K53"/>
  <c r="L53"/>
  <c r="M53"/>
  <c r="N53"/>
  <c r="O53"/>
  <c r="P53"/>
  <c r="Q53"/>
  <c r="K54"/>
  <c r="L54"/>
  <c r="M54"/>
  <c r="N54"/>
  <c r="O54"/>
  <c r="P54"/>
  <c r="Q54"/>
  <c r="K55"/>
  <c r="L55"/>
  <c r="M55"/>
  <c r="N55"/>
  <c r="O55"/>
  <c r="P55"/>
  <c r="Q55"/>
  <c r="K56"/>
  <c r="L56"/>
  <c r="M56"/>
  <c r="N56"/>
  <c r="O56"/>
  <c r="P56"/>
  <c r="Q56"/>
  <c r="K57"/>
  <c r="L57"/>
  <c r="M57"/>
  <c r="N57"/>
  <c r="O57"/>
  <c r="P57"/>
  <c r="Q57"/>
  <c r="K58"/>
  <c r="L58"/>
  <c r="M58"/>
  <c r="N58"/>
  <c r="O58"/>
  <c r="P58"/>
  <c r="Q58"/>
  <c r="K59"/>
  <c r="L59"/>
  <c r="M59"/>
  <c r="N59"/>
  <c r="O59"/>
  <c r="P59"/>
  <c r="Q59"/>
  <c r="K60"/>
  <c r="L60"/>
  <c r="M60"/>
  <c r="N60"/>
  <c r="O60"/>
  <c r="P60"/>
  <c r="Q60"/>
  <c r="K61"/>
  <c r="L61"/>
  <c r="M61"/>
  <c r="N61"/>
  <c r="O61"/>
  <c r="P61"/>
  <c r="Q61"/>
  <c r="K62"/>
  <c r="L62"/>
  <c r="M62"/>
  <c r="N62"/>
  <c r="O62"/>
  <c r="P62"/>
  <c r="Q62"/>
  <c r="K63"/>
  <c r="L63"/>
  <c r="M63"/>
  <c r="N63"/>
  <c r="O63"/>
  <c r="P63"/>
  <c r="Q63"/>
  <c r="K64"/>
  <c r="L64"/>
  <c r="M64"/>
  <c r="N64"/>
  <c r="O64"/>
  <c r="P64"/>
  <c r="Q64"/>
  <c r="K69"/>
  <c r="L69"/>
  <c r="M69"/>
  <c r="N69"/>
  <c r="O69"/>
  <c r="P69"/>
  <c r="Q69"/>
  <c r="K70"/>
  <c r="L70"/>
  <c r="M70"/>
  <c r="N70"/>
  <c r="O70"/>
  <c r="P70"/>
  <c r="Q70"/>
  <c r="K71"/>
  <c r="L71"/>
  <c r="M71"/>
  <c r="N71"/>
  <c r="O71"/>
  <c r="P71"/>
  <c r="Q71"/>
  <c r="K72"/>
  <c r="L72"/>
  <c r="M72"/>
  <c r="N72"/>
  <c r="O72"/>
  <c r="P72"/>
  <c r="Q72"/>
  <c r="K73"/>
  <c r="L73"/>
  <c r="M73"/>
  <c r="N73"/>
  <c r="O73"/>
  <c r="P73"/>
  <c r="Q73"/>
  <c r="K74"/>
  <c r="L74"/>
  <c r="M74"/>
  <c r="N74"/>
  <c r="O74"/>
  <c r="P74"/>
  <c r="Q74"/>
  <c r="K75"/>
  <c r="L75"/>
  <c r="M75"/>
  <c r="N75"/>
  <c r="O75"/>
  <c r="P75"/>
  <c r="Q75"/>
  <c r="K76"/>
  <c r="L76"/>
  <c r="M76"/>
  <c r="N76"/>
  <c r="O76"/>
  <c r="P76"/>
  <c r="Q76"/>
  <c r="K77"/>
  <c r="L77"/>
  <c r="M77"/>
  <c r="N77"/>
  <c r="O77"/>
  <c r="P77"/>
  <c r="Q77"/>
  <c r="K78"/>
  <c r="L78"/>
  <c r="M78"/>
  <c r="N78"/>
  <c r="O78"/>
  <c r="P78"/>
  <c r="Q78"/>
  <c r="K79"/>
  <c r="L79"/>
  <c r="M79"/>
  <c r="N79"/>
  <c r="O79"/>
  <c r="P79"/>
  <c r="Q79"/>
  <c r="K80"/>
  <c r="L80"/>
  <c r="M80"/>
  <c r="N80"/>
  <c r="O80"/>
  <c r="P80"/>
  <c r="Q80"/>
  <c r="K81"/>
  <c r="L81"/>
  <c r="M81"/>
  <c r="N81"/>
  <c r="O81"/>
  <c r="P81"/>
  <c r="Q81"/>
  <c r="K82"/>
  <c r="L82"/>
  <c r="M82"/>
  <c r="N82"/>
  <c r="O82"/>
  <c r="P82"/>
  <c r="Q82"/>
  <c r="K83"/>
  <c r="L83"/>
  <c r="M83"/>
  <c r="N83"/>
  <c r="O83"/>
  <c r="P83"/>
  <c r="Q83"/>
  <c r="K84"/>
  <c r="L84"/>
  <c r="M84"/>
  <c r="N84"/>
  <c r="O84"/>
  <c r="P84"/>
  <c r="Q84"/>
  <c r="K85"/>
  <c r="L85"/>
  <c r="M85"/>
  <c r="N85"/>
  <c r="O85"/>
  <c r="P85"/>
  <c r="Q85"/>
  <c r="Q68"/>
  <c r="P68"/>
  <c r="O68"/>
  <c r="N68"/>
  <c r="M68"/>
  <c r="L68"/>
  <c r="K68"/>
  <c r="Q45"/>
  <c r="P45"/>
  <c r="O45"/>
  <c r="N45"/>
  <c r="M45"/>
  <c r="L45"/>
  <c r="K45"/>
  <c r="Q39"/>
  <c r="P39"/>
  <c r="O39"/>
  <c r="N39"/>
  <c r="M39"/>
  <c r="L39"/>
  <c r="K39"/>
  <c r="Q28"/>
  <c r="P28"/>
  <c r="O28"/>
  <c r="N28"/>
  <c r="M28"/>
  <c r="L28"/>
  <c r="K28"/>
  <c r="L11"/>
  <c r="M11"/>
  <c r="N11"/>
  <c r="O11"/>
  <c r="P11"/>
  <c r="Q11"/>
  <c r="K11"/>
  <c r="AC85"/>
  <c r="AB85"/>
  <c r="AC84"/>
  <c r="AB84"/>
  <c r="AC83"/>
  <c r="AB83"/>
  <c r="AC82"/>
  <c r="AB82"/>
  <c r="AC81"/>
  <c r="AB81"/>
  <c r="AC80"/>
  <c r="AB80"/>
  <c r="AC79"/>
  <c r="AB79"/>
  <c r="AC78"/>
  <c r="AB78"/>
  <c r="AC77"/>
  <c r="AB77"/>
  <c r="AC76"/>
  <c r="AB76"/>
  <c r="AC75"/>
  <c r="AB75"/>
  <c r="AC74"/>
  <c r="AB74"/>
  <c r="AC73"/>
  <c r="AB73"/>
  <c r="AC72"/>
  <c r="AB72"/>
  <c r="AC71"/>
  <c r="AB71"/>
  <c r="AC70"/>
  <c r="AB70"/>
  <c r="AC69"/>
  <c r="AB69"/>
  <c r="AC68"/>
  <c r="AB68"/>
  <c r="V68"/>
  <c r="V69"/>
  <c r="V70"/>
  <c r="V71"/>
  <c r="V72"/>
  <c r="V73"/>
  <c r="V74"/>
  <c r="V75"/>
  <c r="V76"/>
  <c r="V77"/>
  <c r="V78"/>
  <c r="V79"/>
  <c r="V80"/>
  <c r="V81"/>
  <c r="V82"/>
  <c r="V83"/>
  <c r="V84"/>
  <c r="V85"/>
  <c r="U69"/>
  <c r="U70"/>
  <c r="U71"/>
  <c r="U72"/>
  <c r="U73"/>
  <c r="U74"/>
  <c r="U75"/>
  <c r="U76"/>
  <c r="U77"/>
  <c r="U78"/>
  <c r="U79"/>
  <c r="U80"/>
  <c r="U81"/>
  <c r="U82"/>
  <c r="U83"/>
  <c r="U84"/>
  <c r="U85"/>
  <c r="U68"/>
  <c r="AC64"/>
  <c r="AB64"/>
  <c r="AC63"/>
  <c r="AB63"/>
  <c r="AC62"/>
  <c r="AB62"/>
  <c r="AC61"/>
  <c r="AB61"/>
  <c r="AC60"/>
  <c r="AB60"/>
  <c r="AC59"/>
  <c r="AB59"/>
  <c r="AC58"/>
  <c r="AB58"/>
  <c r="AC57"/>
  <c r="AB57"/>
  <c r="AC56"/>
  <c r="AB56"/>
  <c r="AC55"/>
  <c r="AB55"/>
  <c r="AC54"/>
  <c r="AB54"/>
  <c r="AC53"/>
  <c r="AB53"/>
  <c r="AC52"/>
  <c r="AB52"/>
  <c r="AC51"/>
  <c r="AB51"/>
  <c r="AC50"/>
  <c r="AB50"/>
  <c r="AC49"/>
  <c r="AB49"/>
  <c r="AC48"/>
  <c r="AB48"/>
  <c r="AC47"/>
  <c r="AB47"/>
  <c r="AC46"/>
  <c r="AB46"/>
  <c r="AC45"/>
  <c r="AB45"/>
  <c r="V45"/>
  <c r="V46"/>
  <c r="V47"/>
  <c r="V48"/>
  <c r="V49"/>
  <c r="V50"/>
  <c r="V51"/>
  <c r="V52"/>
  <c r="V53"/>
  <c r="V54"/>
  <c r="V55"/>
  <c r="V56"/>
  <c r="V57"/>
  <c r="V58"/>
  <c r="V59"/>
  <c r="V60"/>
  <c r="V61"/>
  <c r="V62"/>
  <c r="V63"/>
  <c r="V64"/>
  <c r="U46"/>
  <c r="U47"/>
  <c r="U48"/>
  <c r="U49"/>
  <c r="U50"/>
  <c r="U51"/>
  <c r="U52"/>
  <c r="U53"/>
  <c r="U54"/>
  <c r="U55"/>
  <c r="U56"/>
  <c r="U57"/>
  <c r="U58"/>
  <c r="U59"/>
  <c r="U60"/>
  <c r="U61"/>
  <c r="U62"/>
  <c r="U63"/>
  <c r="U64"/>
  <c r="U45"/>
  <c r="AC39"/>
  <c r="AB39"/>
  <c r="V39"/>
  <c r="U39"/>
  <c r="AC35"/>
  <c r="AB35"/>
  <c r="AC34"/>
  <c r="AB34"/>
  <c r="AC33"/>
  <c r="AB33"/>
  <c r="AC32"/>
  <c r="AB32"/>
  <c r="AC31"/>
  <c r="AB31"/>
  <c r="AC30"/>
  <c r="AB30"/>
  <c r="AC29"/>
  <c r="AB29"/>
  <c r="AC28"/>
  <c r="AB28"/>
  <c r="U29"/>
  <c r="V29"/>
  <c r="U30"/>
  <c r="V30"/>
  <c r="U31"/>
  <c r="V31"/>
  <c r="U32"/>
  <c r="V32"/>
  <c r="U33"/>
  <c r="V33"/>
  <c r="U34"/>
  <c r="V34"/>
  <c r="U35"/>
  <c r="V35"/>
  <c r="V28"/>
  <c r="U28"/>
  <c r="AC23"/>
  <c r="AB23"/>
  <c r="AC22"/>
  <c r="AB22"/>
  <c r="AC21"/>
  <c r="AB21"/>
  <c r="AC20"/>
  <c r="AB20"/>
  <c r="AC19"/>
  <c r="AB19"/>
  <c r="AC18"/>
  <c r="AB18"/>
  <c r="AC17"/>
  <c r="AB17"/>
  <c r="AC16"/>
  <c r="AB16"/>
  <c r="AC15"/>
  <c r="AB15"/>
  <c r="AC14"/>
  <c r="AB14"/>
  <c r="AC13"/>
  <c r="AB13"/>
  <c r="AC12"/>
  <c r="AB12"/>
  <c r="AC11"/>
  <c r="AB11"/>
  <c r="U12"/>
  <c r="V12"/>
  <c r="U13"/>
  <c r="V13"/>
  <c r="U14"/>
  <c r="V14"/>
  <c r="U15"/>
  <c r="V15"/>
  <c r="U16"/>
  <c r="V16"/>
  <c r="U17"/>
  <c r="V17"/>
  <c r="U18"/>
  <c r="V18"/>
  <c r="U19"/>
  <c r="V19"/>
  <c r="U20"/>
  <c r="V20"/>
  <c r="U21"/>
  <c r="V21"/>
  <c r="U22"/>
  <c r="V22"/>
  <c r="U23"/>
  <c r="V23"/>
  <c r="V11"/>
  <c r="U11"/>
  <c r="C40" l="1"/>
  <c r="W40"/>
  <c r="Y40" s="1"/>
  <c r="Z40" s="1"/>
  <c r="D40" s="1"/>
  <c r="AE40"/>
  <c r="AF40" s="1"/>
  <c r="AG40" s="1"/>
  <c r="E40" s="1"/>
  <c r="O95"/>
  <c r="N95"/>
  <c r="M95"/>
  <c r="L95"/>
  <c r="O94"/>
  <c r="N94"/>
  <c r="M94"/>
  <c r="L94"/>
  <c r="T13"/>
  <c r="B13"/>
  <c r="A13"/>
  <c r="T12"/>
  <c r="B12"/>
  <c r="A12"/>
  <c r="T11"/>
  <c r="B11"/>
  <c r="A11"/>
  <c r="M43" i="10"/>
  <c r="R12" i="18" s="1"/>
  <c r="M42" i="10"/>
  <c r="R11" i="18" s="1"/>
  <c r="Q500" i="16"/>
  <c r="M37" i="10"/>
  <c r="R33" i="18" s="1"/>
  <c r="M38" i="10"/>
  <c r="R64" i="18" s="1"/>
  <c r="T81"/>
  <c r="B81"/>
  <c r="A81"/>
  <c r="T80"/>
  <c r="B80"/>
  <c r="A80"/>
  <c r="T72"/>
  <c r="B72"/>
  <c r="A72"/>
  <c r="T71"/>
  <c r="B71"/>
  <c r="A71"/>
  <c r="T70"/>
  <c r="B70"/>
  <c r="A70"/>
  <c r="T69"/>
  <c r="B69"/>
  <c r="A69"/>
  <c r="T68"/>
  <c r="B68"/>
  <c r="A68"/>
  <c r="T54"/>
  <c r="B54"/>
  <c r="A54"/>
  <c r="T64"/>
  <c r="B64"/>
  <c r="A64"/>
  <c r="AG63"/>
  <c r="Z63"/>
  <c r="T63"/>
  <c r="E63"/>
  <c r="D63"/>
  <c r="H63"/>
  <c r="G63"/>
  <c r="B63"/>
  <c r="A63"/>
  <c r="T62"/>
  <c r="B62"/>
  <c r="A62"/>
  <c r="T61"/>
  <c r="B61"/>
  <c r="A61"/>
  <c r="T60"/>
  <c r="B60"/>
  <c r="A60"/>
  <c r="T59"/>
  <c r="B59"/>
  <c r="A59"/>
  <c r="T58"/>
  <c r="B58"/>
  <c r="A58"/>
  <c r="T57"/>
  <c r="B57"/>
  <c r="A57"/>
  <c r="T56"/>
  <c r="B56"/>
  <c r="A56"/>
  <c r="T55"/>
  <c r="B55"/>
  <c r="A55"/>
  <c r="AG28"/>
  <c r="Z28"/>
  <c r="T28"/>
  <c r="C28" s="1"/>
  <c r="E28"/>
  <c r="D28"/>
  <c r="H28"/>
  <c r="G28"/>
  <c r="B28"/>
  <c r="A28"/>
  <c r="T35"/>
  <c r="C35" s="1"/>
  <c r="B35"/>
  <c r="A35"/>
  <c r="T34"/>
  <c r="C34" s="1"/>
  <c r="B34"/>
  <c r="A34"/>
  <c r="T33"/>
  <c r="C33" s="1"/>
  <c r="B33"/>
  <c r="A33"/>
  <c r="T32"/>
  <c r="C32" s="1"/>
  <c r="B32"/>
  <c r="A32"/>
  <c r="T31"/>
  <c r="C31" s="1"/>
  <c r="B31"/>
  <c r="A31"/>
  <c r="T30"/>
  <c r="C30" s="1"/>
  <c r="B30"/>
  <c r="A30"/>
  <c r="T29"/>
  <c r="C29" s="1"/>
  <c r="B29"/>
  <c r="A29"/>
  <c r="T19"/>
  <c r="C19" s="1"/>
  <c r="B19"/>
  <c r="A19"/>
  <c r="A20"/>
  <c r="B20"/>
  <c r="T20"/>
  <c r="C20" s="1"/>
  <c r="A21"/>
  <c r="B21"/>
  <c r="T21"/>
  <c r="C21" s="1"/>
  <c r="A22"/>
  <c r="B22"/>
  <c r="T22"/>
  <c r="C22" s="1"/>
  <c r="A23"/>
  <c r="B23"/>
  <c r="T23"/>
  <c r="C23" s="1"/>
  <c r="D14"/>
  <c r="E14"/>
  <c r="D47"/>
  <c r="E47"/>
  <c r="D48"/>
  <c r="E48"/>
  <c r="D78"/>
  <c r="E78"/>
  <c r="A73"/>
  <c r="B73"/>
  <c r="A74"/>
  <c r="B74"/>
  <c r="A75"/>
  <c r="B75"/>
  <c r="A76"/>
  <c r="B76"/>
  <c r="A77"/>
  <c r="B77"/>
  <c r="A78"/>
  <c r="B78"/>
  <c r="A79"/>
  <c r="B79"/>
  <c r="A82"/>
  <c r="B82"/>
  <c r="A83"/>
  <c r="B83"/>
  <c r="A84"/>
  <c r="B84"/>
  <c r="A85"/>
  <c r="B85"/>
  <c r="A45"/>
  <c r="B45"/>
  <c r="A46"/>
  <c r="B46"/>
  <c r="A47"/>
  <c r="B47"/>
  <c r="A48"/>
  <c r="B48"/>
  <c r="A49"/>
  <c r="B49"/>
  <c r="A50"/>
  <c r="B50"/>
  <c r="A51"/>
  <c r="B51"/>
  <c r="A52"/>
  <c r="B52"/>
  <c r="A53"/>
  <c r="B53"/>
  <c r="B39"/>
  <c r="A39"/>
  <c r="A14"/>
  <c r="B14"/>
  <c r="A15"/>
  <c r="B15"/>
  <c r="A16"/>
  <c r="B16"/>
  <c r="A17"/>
  <c r="B17"/>
  <c r="A18"/>
  <c r="B18"/>
  <c r="AG14"/>
  <c r="AG47"/>
  <c r="AG48"/>
  <c r="AG78"/>
  <c r="Z14"/>
  <c r="Z47"/>
  <c r="Z48"/>
  <c r="Z78"/>
  <c r="G14"/>
  <c r="H14"/>
  <c r="G47"/>
  <c r="H47"/>
  <c r="G48"/>
  <c r="H48"/>
  <c r="G78"/>
  <c r="H78"/>
  <c r="G84"/>
  <c r="H84"/>
  <c r="T39"/>
  <c r="C39" s="1"/>
  <c r="T45"/>
  <c r="T46"/>
  <c r="T47"/>
  <c r="T48"/>
  <c r="T49"/>
  <c r="T50"/>
  <c r="T51"/>
  <c r="T52"/>
  <c r="T53"/>
  <c r="T73"/>
  <c r="T74"/>
  <c r="T75"/>
  <c r="T76"/>
  <c r="T77"/>
  <c r="T78"/>
  <c r="T79"/>
  <c r="T82"/>
  <c r="T83"/>
  <c r="T84"/>
  <c r="AE84" s="1"/>
  <c r="T85"/>
  <c r="T14"/>
  <c r="C14" s="1"/>
  <c r="T15"/>
  <c r="C15" s="1"/>
  <c r="T16"/>
  <c r="C16" s="1"/>
  <c r="T17"/>
  <c r="C17" s="1"/>
  <c r="T18"/>
  <c r="C18" s="1"/>
  <c r="C13" l="1"/>
  <c r="C11"/>
  <c r="C12"/>
  <c r="C85"/>
  <c r="C80"/>
  <c r="C76"/>
  <c r="C72"/>
  <c r="C68"/>
  <c r="C61"/>
  <c r="C57"/>
  <c r="C53"/>
  <c r="C49"/>
  <c r="C45"/>
  <c r="C81"/>
  <c r="C77"/>
  <c r="C73"/>
  <c r="C69"/>
  <c r="C62"/>
  <c r="C58"/>
  <c r="C54"/>
  <c r="C50"/>
  <c r="C46"/>
  <c r="C82"/>
  <c r="C78"/>
  <c r="C74"/>
  <c r="C70"/>
  <c r="C63"/>
  <c r="C59"/>
  <c r="C55"/>
  <c r="C51"/>
  <c r="C47"/>
  <c r="C83"/>
  <c r="C79"/>
  <c r="C75"/>
  <c r="C71"/>
  <c r="C64"/>
  <c r="C60"/>
  <c r="C56"/>
  <c r="C52"/>
  <c r="C48"/>
  <c r="W84"/>
  <c r="AD84"/>
  <c r="X84"/>
  <c r="T40" i="10"/>
  <c r="M40"/>
  <c r="R34" i="18" s="1"/>
  <c r="C287" i="17"/>
  <c r="B287"/>
  <c r="C280"/>
  <c r="B280"/>
  <c r="J626" i="16"/>
  <c r="J627"/>
  <c r="J625"/>
  <c r="H59" i="11"/>
  <c r="I59"/>
  <c r="G59"/>
  <c r="E59"/>
  <c r="F59"/>
  <c r="D59"/>
  <c r="T47" i="10"/>
  <c r="T48"/>
  <c r="T49"/>
  <c r="T50"/>
  <c r="M50"/>
  <c r="R48" i="18" s="1"/>
  <c r="M49" i="10"/>
  <c r="R47" i="18" s="1"/>
  <c r="M48" i="10"/>
  <c r="R28" i="18" s="1"/>
  <c r="M47" i="10"/>
  <c r="R14" i="18" s="1"/>
  <c r="M92" i="10"/>
  <c r="M68"/>
  <c r="R73" i="18" s="1"/>
  <c r="M69" i="10"/>
  <c r="R74" i="18" s="1"/>
  <c r="M70" i="10"/>
  <c r="R75" i="18" s="1"/>
  <c r="M71" i="10"/>
  <c r="R39" i="18" s="1"/>
  <c r="M72" i="10"/>
  <c r="R76" i="18" s="1"/>
  <c r="M73" i="10"/>
  <c r="R77" i="18" s="1"/>
  <c r="M74" i="10"/>
  <c r="R78" i="18" s="1"/>
  <c r="M75" i="10"/>
  <c r="R79" i="18" s="1"/>
  <c r="M76" i="10"/>
  <c r="R82" i="18" s="1"/>
  <c r="M77" i="10"/>
  <c r="R83" i="18" s="1"/>
  <c r="M78" i="10"/>
  <c r="R84" i="18" s="1"/>
  <c r="M79" i="10"/>
  <c r="R80" i="18" s="1"/>
  <c r="M80" i="10"/>
  <c r="M81"/>
  <c r="R81" i="18" s="1"/>
  <c r="M82" i="10"/>
  <c r="R68" i="18" s="1"/>
  <c r="M83" i="10"/>
  <c r="R69" i="18" s="1"/>
  <c r="M84" i="10"/>
  <c r="R70" i="18" s="1"/>
  <c r="M85" i="10"/>
  <c r="R71" i="18" s="1"/>
  <c r="M86" i="10"/>
  <c r="R85" i="18" s="1"/>
  <c r="M67" i="10"/>
  <c r="R72" i="18" s="1"/>
  <c r="M22" i="10"/>
  <c r="R29" i="18" s="1"/>
  <c r="M23" i="10"/>
  <c r="R56" i="18" s="1"/>
  <c r="M24" i="10"/>
  <c r="R57" i="18" s="1"/>
  <c r="M25" i="10"/>
  <c r="R58" i="18" s="1"/>
  <c r="M26" i="10"/>
  <c r="R59" i="18" s="1"/>
  <c r="M27" i="10"/>
  <c r="R60" i="18" s="1"/>
  <c r="M28" i="10"/>
  <c r="R20" i="18" s="1"/>
  <c r="M29" i="10"/>
  <c r="R21" i="18" s="1"/>
  <c r="M30" i="10"/>
  <c r="R61" i="18" s="1"/>
  <c r="M31" i="10"/>
  <c r="R22" i="18" s="1"/>
  <c r="M32" i="10"/>
  <c r="R30" i="18" s="1"/>
  <c r="M33" i="10"/>
  <c r="R31" i="18" s="1"/>
  <c r="M34" i="10"/>
  <c r="R32" i="18" s="1"/>
  <c r="M35" i="10"/>
  <c r="R62" i="18" s="1"/>
  <c r="M36" i="10"/>
  <c r="R63" i="18" s="1"/>
  <c r="M39" i="10"/>
  <c r="R23" i="18" s="1"/>
  <c r="M41" i="10"/>
  <c r="R35" i="18" s="1"/>
  <c r="M44" i="10"/>
  <c r="R13" i="18" s="1"/>
  <c r="M45" i="10"/>
  <c r="R45" i="18" s="1"/>
  <c r="M46" i="10"/>
  <c r="R46" i="18" s="1"/>
  <c r="M51" i="10"/>
  <c r="R49" i="18" s="1"/>
  <c r="M52" i="10"/>
  <c r="R15" i="18" s="1"/>
  <c r="M53" i="10"/>
  <c r="R16" i="18" s="1"/>
  <c r="M54" i="10"/>
  <c r="R17" i="18" s="1"/>
  <c r="M55" i="10"/>
  <c r="R18" i="18" s="1"/>
  <c r="M56" i="10"/>
  <c r="R19" i="18" s="1"/>
  <c r="M57" i="10"/>
  <c r="R50" i="18" s="1"/>
  <c r="M58" i="10"/>
  <c r="R51" i="18" s="1"/>
  <c r="M59" i="10"/>
  <c r="R52" i="18" s="1"/>
  <c r="M60" i="10"/>
  <c r="R53" i="18" s="1"/>
  <c r="M61" i="10"/>
  <c r="R54" i="18" s="1"/>
  <c r="M21" i="10"/>
  <c r="R55" i="18" s="1"/>
  <c r="I14" i="15"/>
  <c r="W23"/>
  <c r="R262" i="17"/>
  <c r="L262"/>
  <c r="C126"/>
  <c r="B126"/>
  <c r="C125"/>
  <c r="B125"/>
  <c r="C124"/>
  <c r="B124"/>
  <c r="C123"/>
  <c r="B123"/>
  <c r="C122"/>
  <c r="B122"/>
  <c r="C121"/>
  <c r="B121"/>
  <c r="C92"/>
  <c r="B92"/>
  <c r="C91"/>
  <c r="B91"/>
  <c r="C90"/>
  <c r="B90"/>
  <c r="C89"/>
  <c r="B89"/>
  <c r="C88"/>
  <c r="B88"/>
  <c r="C87"/>
  <c r="B87"/>
  <c r="C58"/>
  <c r="B58"/>
  <c r="C57"/>
  <c r="B57"/>
  <c r="C56"/>
  <c r="B56"/>
  <c r="C55"/>
  <c r="B55"/>
  <c r="C54"/>
  <c r="B54"/>
  <c r="C53"/>
  <c r="B53"/>
  <c r="C20"/>
  <c r="C21"/>
  <c r="C22"/>
  <c r="C23"/>
  <c r="C24"/>
  <c r="C19"/>
  <c r="E10"/>
  <c r="O268" s="1"/>
  <c r="D10"/>
  <c r="C10"/>
  <c r="B10"/>
  <c r="E9"/>
  <c r="O258" s="1"/>
  <c r="D9"/>
  <c r="C9"/>
  <c r="B9"/>
  <c r="B20"/>
  <c r="B21"/>
  <c r="B22"/>
  <c r="B23"/>
  <c r="B24"/>
  <c r="B19"/>
  <c r="A21" i="4"/>
  <c r="F100" i="15"/>
  <c r="E100"/>
  <c r="D100"/>
  <c r="C100"/>
  <c r="J50" s="1"/>
  <c r="F99"/>
  <c r="E99"/>
  <c r="D99"/>
  <c r="C99"/>
  <c r="J23" l="1"/>
  <c r="Z24"/>
  <c r="X24"/>
  <c r="Y24"/>
  <c r="AF84" i="18"/>
  <c r="AG84" s="1"/>
  <c r="Y84"/>
  <c r="Z84" s="1"/>
  <c r="N50" i="15"/>
  <c r="N23"/>
  <c r="F51"/>
  <c r="F23"/>
  <c r="R23"/>
  <c r="U50"/>
  <c r="E51"/>
  <c r="U23"/>
  <c r="F50"/>
  <c r="L202" i="17"/>
  <c r="L245"/>
  <c r="O259"/>
  <c r="O269"/>
  <c r="O262"/>
  <c r="I202"/>
  <c r="L233"/>
  <c r="O256"/>
  <c r="O266"/>
  <c r="L191"/>
  <c r="L223"/>
  <c r="I245"/>
  <c r="O257"/>
  <c r="O267"/>
  <c r="I191"/>
  <c r="L212"/>
  <c r="I223"/>
  <c r="I24" i="15"/>
  <c r="D24"/>
  <c r="N24"/>
  <c r="O51"/>
  <c r="K24"/>
  <c r="J51"/>
  <c r="J24"/>
  <c r="Q51"/>
  <c r="F24"/>
  <c r="O24"/>
  <c r="Q24"/>
  <c r="E24"/>
  <c r="D51"/>
  <c r="I51"/>
  <c r="N51"/>
  <c r="R50"/>
  <c r="G51"/>
  <c r="M51"/>
  <c r="G24"/>
  <c r="M24"/>
  <c r="K51"/>
  <c r="K36" i="11" l="1"/>
  <c r="K35"/>
  <c r="K34"/>
  <c r="T72" i="10"/>
  <c r="T86"/>
  <c r="T23"/>
  <c r="I87" l="1"/>
  <c r="H87"/>
  <c r="K87"/>
  <c r="C61" i="11"/>
  <c r="C62"/>
  <c r="C63"/>
  <c r="C64"/>
  <c r="C60"/>
  <c r="W624" i="16"/>
  <c r="V624"/>
  <c r="U624"/>
  <c r="T624"/>
  <c r="S624"/>
  <c r="R624"/>
  <c r="P624"/>
  <c r="O624"/>
  <c r="N624"/>
  <c r="M624"/>
  <c r="L624"/>
  <c r="K624"/>
  <c r="W390" l="1"/>
  <c r="V390"/>
  <c r="U390"/>
  <c r="T390"/>
  <c r="S390"/>
  <c r="R390"/>
  <c r="P390"/>
  <c r="O390"/>
  <c r="N390"/>
  <c r="M390"/>
  <c r="L390"/>
  <c r="K390"/>
  <c r="I390"/>
  <c r="H390"/>
  <c r="G390"/>
  <c r="F390"/>
  <c r="E390"/>
  <c r="D390"/>
  <c r="W380"/>
  <c r="V380"/>
  <c r="U380"/>
  <c r="T380"/>
  <c r="S380"/>
  <c r="R380"/>
  <c r="P380"/>
  <c r="O380"/>
  <c r="N380"/>
  <c r="M380"/>
  <c r="L380"/>
  <c r="K380"/>
  <c r="I380"/>
  <c r="H380"/>
  <c r="G380"/>
  <c r="F380"/>
  <c r="E380"/>
  <c r="D380"/>
  <c r="W370"/>
  <c r="V370"/>
  <c r="U370"/>
  <c r="T370"/>
  <c r="S370"/>
  <c r="R370"/>
  <c r="P370"/>
  <c r="O370"/>
  <c r="N370"/>
  <c r="M370"/>
  <c r="L370"/>
  <c r="K370"/>
  <c r="I370"/>
  <c r="H370"/>
  <c r="G370"/>
  <c r="F370"/>
  <c r="E370"/>
  <c r="D370"/>
  <c r="W360"/>
  <c r="V360"/>
  <c r="U360"/>
  <c r="T360"/>
  <c r="S360"/>
  <c r="R360"/>
  <c r="P360"/>
  <c r="O360"/>
  <c r="N360"/>
  <c r="M360"/>
  <c r="L360"/>
  <c r="K360"/>
  <c r="I360"/>
  <c r="H360"/>
  <c r="G360"/>
  <c r="F360"/>
  <c r="E360"/>
  <c r="D360"/>
  <c r="W342"/>
  <c r="V342"/>
  <c r="U342"/>
  <c r="T342"/>
  <c r="S342"/>
  <c r="R342"/>
  <c r="P342"/>
  <c r="O342"/>
  <c r="N342"/>
  <c r="M342"/>
  <c r="L342"/>
  <c r="K342"/>
  <c r="I342"/>
  <c r="H342"/>
  <c r="G342"/>
  <c r="F342"/>
  <c r="E342"/>
  <c r="D342"/>
  <c r="B333"/>
  <c r="B332"/>
  <c r="B331"/>
  <c r="B330"/>
  <c r="B329"/>
  <c r="B328"/>
  <c r="B327"/>
  <c r="B326"/>
  <c r="B325"/>
  <c r="B324"/>
  <c r="B323"/>
  <c r="B322"/>
  <c r="B321"/>
  <c r="B320"/>
  <c r="B319"/>
  <c r="B318"/>
  <c r="B317"/>
  <c r="B316"/>
  <c r="B315"/>
  <c r="B314"/>
  <c r="W313"/>
  <c r="V313"/>
  <c r="U313"/>
  <c r="T313"/>
  <c r="S313"/>
  <c r="R313"/>
  <c r="P313"/>
  <c r="O313"/>
  <c r="N313"/>
  <c r="M313"/>
  <c r="L313"/>
  <c r="K313"/>
  <c r="B304"/>
  <c r="B303"/>
  <c r="B302"/>
  <c r="B301"/>
  <c r="B300"/>
  <c r="B299"/>
  <c r="B298"/>
  <c r="B297"/>
  <c r="B296"/>
  <c r="B295"/>
  <c r="B294"/>
  <c r="B293"/>
  <c r="B292"/>
  <c r="B291"/>
  <c r="B290"/>
  <c r="B289"/>
  <c r="B288"/>
  <c r="B287"/>
  <c r="B286"/>
  <c r="B285"/>
  <c r="W284"/>
  <c r="V284"/>
  <c r="U284"/>
  <c r="T284"/>
  <c r="S284"/>
  <c r="R284"/>
  <c r="P284"/>
  <c r="O284"/>
  <c r="N284"/>
  <c r="M284"/>
  <c r="L284"/>
  <c r="K284"/>
  <c r="W639" l="1"/>
  <c r="V639"/>
  <c r="U639"/>
  <c r="T639"/>
  <c r="S639"/>
  <c r="R639"/>
  <c r="P639"/>
  <c r="O639"/>
  <c r="N639"/>
  <c r="M639"/>
  <c r="L639"/>
  <c r="K639"/>
  <c r="I639"/>
  <c r="H639"/>
  <c r="G639"/>
  <c r="F639"/>
  <c r="E639"/>
  <c r="D639"/>
  <c r="L617"/>
  <c r="K617"/>
  <c r="J617"/>
  <c r="I617"/>
  <c r="I81" s="1"/>
  <c r="H617"/>
  <c r="G617"/>
  <c r="D617"/>
  <c r="C617"/>
  <c r="B617"/>
  <c r="L616"/>
  <c r="K616"/>
  <c r="J616"/>
  <c r="I616"/>
  <c r="F80" s="1"/>
  <c r="H616"/>
  <c r="G616"/>
  <c r="D616"/>
  <c r="C616"/>
  <c r="B616"/>
  <c r="W579"/>
  <c r="V579"/>
  <c r="U579"/>
  <c r="T579"/>
  <c r="S579"/>
  <c r="R579"/>
  <c r="P579"/>
  <c r="O579"/>
  <c r="N579"/>
  <c r="M579"/>
  <c r="L579"/>
  <c r="K579"/>
  <c r="I579"/>
  <c r="H579"/>
  <c r="G579"/>
  <c r="F579"/>
  <c r="E579"/>
  <c r="D579"/>
  <c r="W561"/>
  <c r="V561"/>
  <c r="U561"/>
  <c r="T561"/>
  <c r="S561"/>
  <c r="R561"/>
  <c r="P561"/>
  <c r="O561"/>
  <c r="N561"/>
  <c r="M561"/>
  <c r="L561"/>
  <c r="K561"/>
  <c r="I561"/>
  <c r="H561"/>
  <c r="G561"/>
  <c r="F561"/>
  <c r="E561"/>
  <c r="D561"/>
  <c r="W547"/>
  <c r="V547"/>
  <c r="U547"/>
  <c r="T547"/>
  <c r="S547"/>
  <c r="R547"/>
  <c r="P547"/>
  <c r="O547"/>
  <c r="N547"/>
  <c r="M547"/>
  <c r="L547"/>
  <c r="K547"/>
  <c r="I547"/>
  <c r="H547"/>
  <c r="G547"/>
  <c r="F547"/>
  <c r="E547"/>
  <c r="D547"/>
  <c r="W533"/>
  <c r="V533"/>
  <c r="U533"/>
  <c r="T533"/>
  <c r="S533"/>
  <c r="R533"/>
  <c r="P533"/>
  <c r="O533"/>
  <c r="N533"/>
  <c r="M533"/>
  <c r="L533"/>
  <c r="K533"/>
  <c r="I533"/>
  <c r="H533"/>
  <c r="G533"/>
  <c r="F533"/>
  <c r="E533"/>
  <c r="D533"/>
  <c r="W519"/>
  <c r="V519"/>
  <c r="U519"/>
  <c r="T519"/>
  <c r="S519"/>
  <c r="R519"/>
  <c r="P519"/>
  <c r="O519"/>
  <c r="N519"/>
  <c r="M519"/>
  <c r="L519"/>
  <c r="K519"/>
  <c r="I519"/>
  <c r="H519"/>
  <c r="G519"/>
  <c r="F519"/>
  <c r="E519"/>
  <c r="D519"/>
  <c r="W505"/>
  <c r="V505"/>
  <c r="U505"/>
  <c r="T505"/>
  <c r="S505"/>
  <c r="R505"/>
  <c r="P505"/>
  <c r="O505"/>
  <c r="N505"/>
  <c r="M505"/>
  <c r="L505"/>
  <c r="K505"/>
  <c r="I505"/>
  <c r="H505"/>
  <c r="G505"/>
  <c r="F505"/>
  <c r="E505"/>
  <c r="D505"/>
  <c r="W478"/>
  <c r="V478"/>
  <c r="U478"/>
  <c r="T478"/>
  <c r="S478"/>
  <c r="R478"/>
  <c r="P478"/>
  <c r="O478"/>
  <c r="N478"/>
  <c r="M478"/>
  <c r="L478"/>
  <c r="K478"/>
  <c r="I478"/>
  <c r="H478"/>
  <c r="G478"/>
  <c r="F478"/>
  <c r="E478"/>
  <c r="D478"/>
  <c r="B469"/>
  <c r="B468"/>
  <c r="B467"/>
  <c r="B466"/>
  <c r="B465"/>
  <c r="B464"/>
  <c r="B463"/>
  <c r="B462"/>
  <c r="B461"/>
  <c r="B460"/>
  <c r="B459"/>
  <c r="B458"/>
  <c r="B457"/>
  <c r="B456"/>
  <c r="B455"/>
  <c r="B454"/>
  <c r="B453"/>
  <c r="B452"/>
  <c r="B451"/>
  <c r="B450"/>
  <c r="W449"/>
  <c r="V449"/>
  <c r="U449"/>
  <c r="T449"/>
  <c r="S449"/>
  <c r="R449"/>
  <c r="P449"/>
  <c r="O449"/>
  <c r="N449"/>
  <c r="M449"/>
  <c r="L449"/>
  <c r="K449"/>
  <c r="B440"/>
  <c r="B439"/>
  <c r="B438"/>
  <c r="B437"/>
  <c r="B436"/>
  <c r="B435"/>
  <c r="B434"/>
  <c r="B433"/>
  <c r="B432"/>
  <c r="B431"/>
  <c r="B430"/>
  <c r="B429"/>
  <c r="B428"/>
  <c r="B427"/>
  <c r="B426"/>
  <c r="B425"/>
  <c r="B424"/>
  <c r="B423"/>
  <c r="B422"/>
  <c r="B421"/>
  <c r="W420"/>
  <c r="V420"/>
  <c r="U420"/>
  <c r="T420"/>
  <c r="S420"/>
  <c r="R420"/>
  <c r="P420"/>
  <c r="O420"/>
  <c r="N420"/>
  <c r="M420"/>
  <c r="L420"/>
  <c r="K420"/>
  <c r="W254"/>
  <c r="V254"/>
  <c r="U254"/>
  <c r="T254"/>
  <c r="S254"/>
  <c r="R254"/>
  <c r="P254"/>
  <c r="O254"/>
  <c r="N254"/>
  <c r="M254"/>
  <c r="L254"/>
  <c r="K254"/>
  <c r="I254"/>
  <c r="H254"/>
  <c r="G254"/>
  <c r="F254"/>
  <c r="E254"/>
  <c r="D254"/>
  <c r="W244"/>
  <c r="V244"/>
  <c r="U244"/>
  <c r="T244"/>
  <c r="S244"/>
  <c r="R244"/>
  <c r="P244"/>
  <c r="O244"/>
  <c r="N244"/>
  <c r="M244"/>
  <c r="L244"/>
  <c r="K244"/>
  <c r="I244"/>
  <c r="H244"/>
  <c r="G244"/>
  <c r="F244"/>
  <c r="E244"/>
  <c r="D244"/>
  <c r="W234"/>
  <c r="V234"/>
  <c r="U234"/>
  <c r="T234"/>
  <c r="S234"/>
  <c r="R234"/>
  <c r="P234"/>
  <c r="O234"/>
  <c r="N234"/>
  <c r="M234"/>
  <c r="L234"/>
  <c r="K234"/>
  <c r="I234"/>
  <c r="H234"/>
  <c r="G234"/>
  <c r="F234"/>
  <c r="E234"/>
  <c r="D234"/>
  <c r="W224"/>
  <c r="V224"/>
  <c r="U224"/>
  <c r="T224"/>
  <c r="S224"/>
  <c r="R224"/>
  <c r="P224"/>
  <c r="O224"/>
  <c r="N224"/>
  <c r="M224"/>
  <c r="L224"/>
  <c r="K224"/>
  <c r="I224"/>
  <c r="H224"/>
  <c r="G224"/>
  <c r="F224"/>
  <c r="E224"/>
  <c r="D224"/>
  <c r="W206"/>
  <c r="V206"/>
  <c r="U206"/>
  <c r="T206"/>
  <c r="S206"/>
  <c r="R206"/>
  <c r="P206"/>
  <c r="O206"/>
  <c r="N206"/>
  <c r="M206"/>
  <c r="L206"/>
  <c r="K206"/>
  <c r="I206"/>
  <c r="H206"/>
  <c r="G206"/>
  <c r="F206"/>
  <c r="E206"/>
  <c r="D206"/>
  <c r="B197"/>
  <c r="B196"/>
  <c r="B195"/>
  <c r="B194"/>
  <c r="B193"/>
  <c r="B192"/>
  <c r="B191"/>
  <c r="B190"/>
  <c r="B189"/>
  <c r="B188"/>
  <c r="B187"/>
  <c r="B186"/>
  <c r="B185"/>
  <c r="B184"/>
  <c r="B183"/>
  <c r="B182"/>
  <c r="B181"/>
  <c r="B180"/>
  <c r="B179"/>
  <c r="B178"/>
  <c r="W177"/>
  <c r="V177"/>
  <c r="U177"/>
  <c r="T177"/>
  <c r="S177"/>
  <c r="R177"/>
  <c r="P177"/>
  <c r="O177"/>
  <c r="N177"/>
  <c r="M177"/>
  <c r="L177"/>
  <c r="K177"/>
  <c r="B168"/>
  <c r="B167"/>
  <c r="B166"/>
  <c r="B165"/>
  <c r="B164"/>
  <c r="B163"/>
  <c r="B162"/>
  <c r="B161"/>
  <c r="B160"/>
  <c r="B159"/>
  <c r="B158"/>
  <c r="B157"/>
  <c r="B156"/>
  <c r="B155"/>
  <c r="B154"/>
  <c r="B153"/>
  <c r="B152"/>
  <c r="B151"/>
  <c r="B150"/>
  <c r="B149"/>
  <c r="W148"/>
  <c r="V148"/>
  <c r="U148"/>
  <c r="T148"/>
  <c r="S148"/>
  <c r="R148"/>
  <c r="P148"/>
  <c r="O148"/>
  <c r="N148"/>
  <c r="M148"/>
  <c r="L148"/>
  <c r="K148"/>
  <c r="B136"/>
  <c r="B135"/>
  <c r="B134"/>
  <c r="B133"/>
  <c r="B132"/>
  <c r="B131"/>
  <c r="B130"/>
  <c r="B129"/>
  <c r="B128"/>
  <c r="B127"/>
  <c r="B126"/>
  <c r="B125"/>
  <c r="B124"/>
  <c r="B123"/>
  <c r="B122"/>
  <c r="B121"/>
  <c r="B120"/>
  <c r="B119"/>
  <c r="B118"/>
  <c r="B117"/>
  <c r="W116"/>
  <c r="V116"/>
  <c r="U116"/>
  <c r="T116"/>
  <c r="S116"/>
  <c r="R116"/>
  <c r="P116"/>
  <c r="O116"/>
  <c r="N116"/>
  <c r="M116"/>
  <c r="L116"/>
  <c r="K116"/>
  <c r="I116"/>
  <c r="H116"/>
  <c r="G116"/>
  <c r="F116"/>
  <c r="E116"/>
  <c r="D116"/>
  <c r="U107"/>
  <c r="U642" s="1"/>
  <c r="N107"/>
  <c r="N642" s="1"/>
  <c r="G107"/>
  <c r="G642" s="1"/>
  <c r="W103"/>
  <c r="V103"/>
  <c r="U103"/>
  <c r="T103"/>
  <c r="S103"/>
  <c r="R103"/>
  <c r="P103"/>
  <c r="O103"/>
  <c r="N103"/>
  <c r="M103"/>
  <c r="L103"/>
  <c r="K103"/>
  <c r="I103"/>
  <c r="H103"/>
  <c r="G103"/>
  <c r="F103"/>
  <c r="E103"/>
  <c r="D103"/>
  <c r="D83"/>
  <c r="E105" s="1"/>
  <c r="I82"/>
  <c r="D82"/>
  <c r="D81"/>
  <c r="D80"/>
  <c r="I79"/>
  <c r="V105" s="1"/>
  <c r="D79"/>
  <c r="C65"/>
  <c r="B65"/>
  <c r="C64"/>
  <c r="B64"/>
  <c r="C63"/>
  <c r="B63"/>
  <c r="C62"/>
  <c r="B62"/>
  <c r="C61"/>
  <c r="B61"/>
  <c r="C60"/>
  <c r="B60"/>
  <c r="C59"/>
  <c r="B59"/>
  <c r="C58"/>
  <c r="B58"/>
  <c r="C57"/>
  <c r="B57"/>
  <c r="C56"/>
  <c r="B56"/>
  <c r="C55"/>
  <c r="B55"/>
  <c r="C54"/>
  <c r="B54"/>
  <c r="C53"/>
  <c r="B53"/>
  <c r="C52"/>
  <c r="B52"/>
  <c r="C51"/>
  <c r="B51"/>
  <c r="C50"/>
  <c r="B50"/>
  <c r="C49"/>
  <c r="B49"/>
  <c r="C48"/>
  <c r="B48"/>
  <c r="C47"/>
  <c r="B47"/>
  <c r="C46"/>
  <c r="B46"/>
  <c r="C45"/>
  <c r="B45"/>
  <c r="C44"/>
  <c r="B44"/>
  <c r="C43"/>
  <c r="B43"/>
  <c r="C42"/>
  <c r="B42"/>
  <c r="C41"/>
  <c r="B41"/>
  <c r="C40"/>
  <c r="B40"/>
  <c r="C39"/>
  <c r="B39"/>
  <c r="C38"/>
  <c r="B38"/>
  <c r="C37"/>
  <c r="B37"/>
  <c r="C36"/>
  <c r="B36"/>
  <c r="C35"/>
  <c r="B35"/>
  <c r="C34"/>
  <c r="B34"/>
  <c r="C33"/>
  <c r="B33"/>
  <c r="C32"/>
  <c r="B32"/>
  <c r="C31"/>
  <c r="B31"/>
  <c r="C30"/>
  <c r="B30"/>
  <c r="C29"/>
  <c r="B29"/>
  <c r="C28"/>
  <c r="B28"/>
  <c r="W27"/>
  <c r="V27"/>
  <c r="U27"/>
  <c r="T27"/>
  <c r="S27"/>
  <c r="R27"/>
  <c r="P27"/>
  <c r="O27"/>
  <c r="N27"/>
  <c r="M27"/>
  <c r="L27"/>
  <c r="K27"/>
  <c r="I27"/>
  <c r="H27"/>
  <c r="G27"/>
  <c r="F27"/>
  <c r="E27"/>
  <c r="D27"/>
  <c r="W25"/>
  <c r="V25"/>
  <c r="U25"/>
  <c r="T25"/>
  <c r="S25"/>
  <c r="R25"/>
  <c r="P25"/>
  <c r="O25"/>
  <c r="O282" s="1"/>
  <c r="N25"/>
  <c r="N282" s="1"/>
  <c r="M25"/>
  <c r="M282" s="1"/>
  <c r="L25"/>
  <c r="L282" s="1"/>
  <c r="K25"/>
  <c r="K282" s="1"/>
  <c r="I25"/>
  <c r="I65" s="1"/>
  <c r="H25"/>
  <c r="G25"/>
  <c r="F25"/>
  <c r="E25"/>
  <c r="D25"/>
  <c r="F275" i="7"/>
  <c r="G275"/>
  <c r="F276"/>
  <c r="G276"/>
  <c r="F277"/>
  <c r="G277"/>
  <c r="F278"/>
  <c r="G278"/>
  <c r="F279"/>
  <c r="G279"/>
  <c r="F280"/>
  <c r="G280"/>
  <c r="F281"/>
  <c r="G281"/>
  <c r="F282"/>
  <c r="G282"/>
  <c r="F283"/>
  <c r="G283"/>
  <c r="F284"/>
  <c r="G284"/>
  <c r="F285"/>
  <c r="G285"/>
  <c r="F286"/>
  <c r="G286"/>
  <c r="F287"/>
  <c r="G287"/>
  <c r="F288"/>
  <c r="G288"/>
  <c r="F289"/>
  <c r="G289"/>
  <c r="F292"/>
  <c r="G292"/>
  <c r="F293"/>
  <c r="G293"/>
  <c r="K275"/>
  <c r="L275"/>
  <c r="K276"/>
  <c r="L276"/>
  <c r="K277"/>
  <c r="L277"/>
  <c r="K278"/>
  <c r="L278"/>
  <c r="K279"/>
  <c r="L279"/>
  <c r="K280"/>
  <c r="L280"/>
  <c r="K281"/>
  <c r="L281"/>
  <c r="K282"/>
  <c r="L282"/>
  <c r="K283"/>
  <c r="L283"/>
  <c r="K284"/>
  <c r="L284"/>
  <c r="K285"/>
  <c r="L285"/>
  <c r="K286"/>
  <c r="L286"/>
  <c r="K287"/>
  <c r="L287"/>
  <c r="K288"/>
  <c r="L288"/>
  <c r="K289"/>
  <c r="L289"/>
  <c r="K290"/>
  <c r="L290"/>
  <c r="K291"/>
  <c r="L291"/>
  <c r="K292"/>
  <c r="L292"/>
  <c r="K293"/>
  <c r="L293"/>
  <c r="L274"/>
  <c r="K274"/>
  <c r="G274"/>
  <c r="F274"/>
  <c r="C65" i="14"/>
  <c r="B65"/>
  <c r="D65" s="1"/>
  <c r="C64"/>
  <c r="B64"/>
  <c r="C63"/>
  <c r="B63"/>
  <c r="D63" s="1"/>
  <c r="C62"/>
  <c r="B62"/>
  <c r="D62" s="1"/>
  <c r="C61"/>
  <c r="B61"/>
  <c r="D61" s="1"/>
  <c r="C60"/>
  <c r="B60"/>
  <c r="E84"/>
  <c r="D84"/>
  <c r="C84"/>
  <c r="B84"/>
  <c r="Q98" i="7"/>
  <c r="R98"/>
  <c r="S98"/>
  <c r="T98"/>
  <c r="U98"/>
  <c r="P98"/>
  <c r="Q43"/>
  <c r="R43"/>
  <c r="S43"/>
  <c r="T43"/>
  <c r="U43"/>
  <c r="P43"/>
  <c r="E83" i="14"/>
  <c r="D83"/>
  <c r="C83"/>
  <c r="B83"/>
  <c r="B31"/>
  <c r="B32"/>
  <c r="E32" s="1"/>
  <c r="B33"/>
  <c r="E33" s="1"/>
  <c r="B34"/>
  <c r="E34" s="1"/>
  <c r="B35"/>
  <c r="B30"/>
  <c r="D30" s="1"/>
  <c r="C35"/>
  <c r="C31"/>
  <c r="C32"/>
  <c r="C33"/>
  <c r="C34"/>
  <c r="C30"/>
  <c r="T37" i="10"/>
  <c r="D291" i="7"/>
  <c r="G291" s="1"/>
  <c r="D290"/>
  <c r="G290" s="1"/>
  <c r="T38" i="10"/>
  <c r="T39"/>
  <c r="T41"/>
  <c r="F82" i="16" l="1"/>
  <c r="F79"/>
  <c r="O105" s="1"/>
  <c r="F81"/>
  <c r="I80"/>
  <c r="AB26" i="14"/>
  <c r="AH27"/>
  <c r="AB56"/>
  <c r="AH57"/>
  <c r="AO27"/>
  <c r="O27"/>
  <c r="X27"/>
  <c r="J26"/>
  <c r="AL26"/>
  <c r="S26"/>
  <c r="AL27"/>
  <c r="AO57"/>
  <c r="X57"/>
  <c r="S56"/>
  <c r="O57"/>
  <c r="D56"/>
  <c r="AL56"/>
  <c r="J56"/>
  <c r="H28"/>
  <c r="W28"/>
  <c r="S28"/>
  <c r="X28"/>
  <c r="T28"/>
  <c r="Y28"/>
  <c r="U28"/>
  <c r="K28"/>
  <c r="AA28"/>
  <c r="V28"/>
  <c r="AC28"/>
  <c r="W58"/>
  <c r="S58"/>
  <c r="X58"/>
  <c r="T58"/>
  <c r="Y58"/>
  <c r="U58"/>
  <c r="AA58"/>
  <c r="V58"/>
  <c r="K58"/>
  <c r="AC58"/>
  <c r="D65" i="16"/>
  <c r="G65"/>
  <c r="F29"/>
  <c r="H65"/>
  <c r="G28"/>
  <c r="F28"/>
  <c r="G30"/>
  <c r="G119" s="1"/>
  <c r="G32"/>
  <c r="G29"/>
  <c r="G31"/>
  <c r="T105"/>
  <c r="F105"/>
  <c r="D28"/>
  <c r="H28"/>
  <c r="D29"/>
  <c r="H29"/>
  <c r="D30"/>
  <c r="H30"/>
  <c r="D31"/>
  <c r="H31"/>
  <c r="D32"/>
  <c r="H32"/>
  <c r="D33"/>
  <c r="H33"/>
  <c r="D34"/>
  <c r="H34"/>
  <c r="D35"/>
  <c r="H35"/>
  <c r="D36"/>
  <c r="H36"/>
  <c r="D37"/>
  <c r="H37"/>
  <c r="D38"/>
  <c r="H38"/>
  <c r="D39"/>
  <c r="H39"/>
  <c r="D40"/>
  <c r="H40"/>
  <c r="D41"/>
  <c r="H41"/>
  <c r="D42"/>
  <c r="H42"/>
  <c r="D43"/>
  <c r="H43"/>
  <c r="D44"/>
  <c r="H44"/>
  <c r="D45"/>
  <c r="H45"/>
  <c r="D46"/>
  <c r="H46"/>
  <c r="D47"/>
  <c r="H47"/>
  <c r="D48"/>
  <c r="H48"/>
  <c r="D49"/>
  <c r="H49"/>
  <c r="D50"/>
  <c r="H50"/>
  <c r="D51"/>
  <c r="H51"/>
  <c r="D52"/>
  <c r="H52"/>
  <c r="D53"/>
  <c r="H53"/>
  <c r="D54"/>
  <c r="H54"/>
  <c r="D55"/>
  <c r="H55"/>
  <c r="D56"/>
  <c r="H56"/>
  <c r="D57"/>
  <c r="H57"/>
  <c r="D58"/>
  <c r="H58"/>
  <c r="D59"/>
  <c r="H59"/>
  <c r="D60"/>
  <c r="H60"/>
  <c r="D61"/>
  <c r="H61"/>
  <c r="D62"/>
  <c r="H62"/>
  <c r="D63"/>
  <c r="H63"/>
  <c r="D64"/>
  <c r="H64"/>
  <c r="H105"/>
  <c r="G33"/>
  <c r="G34"/>
  <c r="G35"/>
  <c r="G36"/>
  <c r="G121" s="1"/>
  <c r="G37"/>
  <c r="G122" s="1"/>
  <c r="G38"/>
  <c r="G39"/>
  <c r="G40"/>
  <c r="G124" s="1"/>
  <c r="G41"/>
  <c r="G125" s="1"/>
  <c r="G42"/>
  <c r="G126" s="1"/>
  <c r="G43"/>
  <c r="G127" s="1"/>
  <c r="G44"/>
  <c r="G128" s="1"/>
  <c r="G45"/>
  <c r="G129" s="1"/>
  <c r="G46"/>
  <c r="G130" s="1"/>
  <c r="G47"/>
  <c r="G48"/>
  <c r="G49"/>
  <c r="G50"/>
  <c r="G51"/>
  <c r="G52"/>
  <c r="G53"/>
  <c r="G54"/>
  <c r="G55"/>
  <c r="G56"/>
  <c r="G57"/>
  <c r="G132" s="1"/>
  <c r="G58"/>
  <c r="G133" s="1"/>
  <c r="G59"/>
  <c r="G60"/>
  <c r="G61"/>
  <c r="G62"/>
  <c r="G63"/>
  <c r="G135" s="1"/>
  <c r="G64"/>
  <c r="U105"/>
  <c r="G105"/>
  <c r="G118"/>
  <c r="F30"/>
  <c r="F31"/>
  <c r="F32"/>
  <c r="F33"/>
  <c r="F34"/>
  <c r="F35"/>
  <c r="F36"/>
  <c r="F37"/>
  <c r="F38"/>
  <c r="F39"/>
  <c r="F40"/>
  <c r="F41"/>
  <c r="F42"/>
  <c r="F43"/>
  <c r="F44"/>
  <c r="F45"/>
  <c r="F46"/>
  <c r="F47"/>
  <c r="F48"/>
  <c r="F49"/>
  <c r="F50"/>
  <c r="F51"/>
  <c r="F52"/>
  <c r="F53"/>
  <c r="F54"/>
  <c r="F55"/>
  <c r="F56"/>
  <c r="F57"/>
  <c r="F58"/>
  <c r="F59"/>
  <c r="F60"/>
  <c r="F61"/>
  <c r="F62"/>
  <c r="F63"/>
  <c r="F64"/>
  <c r="F65"/>
  <c r="E28"/>
  <c r="I28"/>
  <c r="E29"/>
  <c r="I29"/>
  <c r="E30"/>
  <c r="I30"/>
  <c r="E31"/>
  <c r="I31"/>
  <c r="E32"/>
  <c r="I32"/>
  <c r="E33"/>
  <c r="I33"/>
  <c r="E34"/>
  <c r="I34"/>
  <c r="E35"/>
  <c r="I35"/>
  <c r="E36"/>
  <c r="I36"/>
  <c r="E37"/>
  <c r="I37"/>
  <c r="E38"/>
  <c r="I38"/>
  <c r="E39"/>
  <c r="I39"/>
  <c r="E40"/>
  <c r="I40"/>
  <c r="E41"/>
  <c r="I41"/>
  <c r="E42"/>
  <c r="I42"/>
  <c r="E43"/>
  <c r="I43"/>
  <c r="E44"/>
  <c r="I44"/>
  <c r="E45"/>
  <c r="I45"/>
  <c r="E46"/>
  <c r="I46"/>
  <c r="E47"/>
  <c r="I47"/>
  <c r="E48"/>
  <c r="I48"/>
  <c r="E49"/>
  <c r="I49"/>
  <c r="E50"/>
  <c r="I50"/>
  <c r="E51"/>
  <c r="I51"/>
  <c r="E52"/>
  <c r="I52"/>
  <c r="E53"/>
  <c r="I53"/>
  <c r="E54"/>
  <c r="I54"/>
  <c r="E55"/>
  <c r="I55"/>
  <c r="E56"/>
  <c r="I56"/>
  <c r="E57"/>
  <c r="I57"/>
  <c r="E58"/>
  <c r="I58"/>
  <c r="E59"/>
  <c r="I59"/>
  <c r="E60"/>
  <c r="I60"/>
  <c r="E61"/>
  <c r="I61"/>
  <c r="E62"/>
  <c r="I62"/>
  <c r="E63"/>
  <c r="I63"/>
  <c r="E64"/>
  <c r="I64"/>
  <c r="E65"/>
  <c r="G117"/>
  <c r="E35" i="14"/>
  <c r="F291" i="7"/>
  <c r="F290"/>
  <c r="E31" i="14"/>
  <c r="E38" s="1"/>
  <c r="E60"/>
  <c r="E64"/>
  <c r="AK72"/>
  <c r="AK58"/>
  <c r="L58"/>
  <c r="P58"/>
  <c r="AE58"/>
  <c r="AI58"/>
  <c r="D60"/>
  <c r="E63"/>
  <c r="D64"/>
  <c r="J58"/>
  <c r="O58"/>
  <c r="AD58"/>
  <c r="AH58"/>
  <c r="AL57"/>
  <c r="E62"/>
  <c r="H58"/>
  <c r="N58"/>
  <c r="AB58"/>
  <c r="AG58"/>
  <c r="E61"/>
  <c r="E65"/>
  <c r="I58"/>
  <c r="M58"/>
  <c r="R58"/>
  <c r="AF58"/>
  <c r="J28"/>
  <c r="AB28"/>
  <c r="AG28"/>
  <c r="AI28"/>
  <c r="L28"/>
  <c r="R28"/>
  <c r="AF28"/>
  <c r="AH28"/>
  <c r="N28"/>
  <c r="AE28"/>
  <c r="P28"/>
  <c r="M28"/>
  <c r="AD28"/>
  <c r="AK28"/>
  <c r="O28"/>
  <c r="E39"/>
  <c r="E30"/>
  <c r="D34"/>
  <c r="D32"/>
  <c r="D35"/>
  <c r="D33"/>
  <c r="D31"/>
  <c r="I28"/>
  <c r="G136" i="16" l="1"/>
  <c r="M105"/>
  <c r="N105"/>
  <c r="G134"/>
  <c r="G131"/>
  <c r="G123"/>
  <c r="G120"/>
  <c r="F66"/>
  <c r="F104" s="1"/>
  <c r="E66"/>
  <c r="G66"/>
  <c r="I66"/>
  <c r="D66"/>
  <c r="H66"/>
  <c r="E40" i="14"/>
  <c r="D70"/>
  <c r="E69"/>
  <c r="E68"/>
  <c r="D69"/>
  <c r="D68"/>
  <c r="E70"/>
  <c r="D38"/>
  <c r="D39"/>
  <c r="D40"/>
  <c r="T81" i="10"/>
  <c r="T71"/>
  <c r="T70"/>
  <c r="T69"/>
  <c r="T68"/>
  <c r="T67"/>
  <c r="F641" i="16" l="1"/>
  <c r="G137"/>
  <c r="G255" s="1"/>
  <c r="G647" s="1"/>
  <c r="D641"/>
  <c r="D104"/>
  <c r="H641"/>
  <c r="H104"/>
  <c r="G641"/>
  <c r="G104"/>
  <c r="F106"/>
  <c r="F107" s="1"/>
  <c r="F108" s="1"/>
  <c r="F643" s="1"/>
  <c r="I641"/>
  <c r="I104"/>
  <c r="E641"/>
  <c r="E104"/>
  <c r="J44" i="11"/>
  <c r="I44"/>
  <c r="H44"/>
  <c r="E104" i="10"/>
  <c r="E102"/>
  <c r="E103"/>
  <c r="H103"/>
  <c r="I103"/>
  <c r="G103"/>
  <c r="F103"/>
  <c r="F46" i="11"/>
  <c r="F47"/>
  <c r="F48"/>
  <c r="F49"/>
  <c r="F50"/>
  <c r="F45"/>
  <c r="L114" i="10"/>
  <c r="T92"/>
  <c r="T21"/>
  <c r="T22"/>
  <c r="T24"/>
  <c r="T25"/>
  <c r="T26"/>
  <c r="T27"/>
  <c r="T28"/>
  <c r="T29"/>
  <c r="T30"/>
  <c r="T31"/>
  <c r="T32"/>
  <c r="T33"/>
  <c r="T34"/>
  <c r="T35"/>
  <c r="T36"/>
  <c r="T42"/>
  <c r="T43"/>
  <c r="T44"/>
  <c r="T45"/>
  <c r="T46"/>
  <c r="T51"/>
  <c r="T52"/>
  <c r="T53"/>
  <c r="T54"/>
  <c r="T55"/>
  <c r="T56"/>
  <c r="T57"/>
  <c r="T58"/>
  <c r="T59"/>
  <c r="T60"/>
  <c r="T61"/>
  <c r="T73"/>
  <c r="T74"/>
  <c r="T75"/>
  <c r="T76"/>
  <c r="T77"/>
  <c r="T78"/>
  <c r="T79"/>
  <c r="T80"/>
  <c r="T82"/>
  <c r="T83"/>
  <c r="T84"/>
  <c r="T85"/>
  <c r="G114"/>
  <c r="H114"/>
  <c r="I114"/>
  <c r="J114"/>
  <c r="K114"/>
  <c r="F114"/>
  <c r="H142" l="1"/>
  <c r="H155" s="1"/>
  <c r="H140"/>
  <c r="H138"/>
  <c r="H136"/>
  <c r="H134"/>
  <c r="H132"/>
  <c r="H130"/>
  <c r="H128"/>
  <c r="H126"/>
  <c r="H124"/>
  <c r="H122"/>
  <c r="H120"/>
  <c r="H118"/>
  <c r="H116"/>
  <c r="H141"/>
  <c r="H139"/>
  <c r="H137"/>
  <c r="H135"/>
  <c r="H133"/>
  <c r="H131"/>
  <c r="H129"/>
  <c r="H127"/>
  <c r="H125"/>
  <c r="H123"/>
  <c r="H121"/>
  <c r="H119"/>
  <c r="H117"/>
  <c r="H115"/>
  <c r="F141"/>
  <c r="F164" s="1"/>
  <c r="F139"/>
  <c r="F137"/>
  <c r="F135"/>
  <c r="F133"/>
  <c r="F131"/>
  <c r="F129"/>
  <c r="F127"/>
  <c r="F125"/>
  <c r="F123"/>
  <c r="F121"/>
  <c r="F119"/>
  <c r="F117"/>
  <c r="F115"/>
  <c r="F142"/>
  <c r="F155" s="1"/>
  <c r="F140"/>
  <c r="F138"/>
  <c r="F136"/>
  <c r="F134"/>
  <c r="F132"/>
  <c r="F130"/>
  <c r="F128"/>
  <c r="F126"/>
  <c r="F124"/>
  <c r="F122"/>
  <c r="F120"/>
  <c r="F118"/>
  <c r="F116"/>
  <c r="I142"/>
  <c r="I155" s="1"/>
  <c r="I140"/>
  <c r="I138"/>
  <c r="I136"/>
  <c r="I134"/>
  <c r="I132"/>
  <c r="I130"/>
  <c r="I128"/>
  <c r="I126"/>
  <c r="I124"/>
  <c r="I122"/>
  <c r="I120"/>
  <c r="I118"/>
  <c r="I116"/>
  <c r="I141"/>
  <c r="I139"/>
  <c r="I137"/>
  <c r="I135"/>
  <c r="I133"/>
  <c r="I131"/>
  <c r="I129"/>
  <c r="I127"/>
  <c r="I125"/>
  <c r="I123"/>
  <c r="I121"/>
  <c r="I119"/>
  <c r="I117"/>
  <c r="I115"/>
  <c r="L137"/>
  <c r="L163" s="1"/>
  <c r="L135"/>
  <c r="L133"/>
  <c r="L160" s="1"/>
  <c r="L131"/>
  <c r="L129"/>
  <c r="L162" s="1"/>
  <c r="L127"/>
  <c r="L125"/>
  <c r="L159" s="1"/>
  <c r="L123"/>
  <c r="L121"/>
  <c r="L161" s="1"/>
  <c r="L119"/>
  <c r="L117"/>
  <c r="L158" s="1"/>
  <c r="L115"/>
  <c r="L140"/>
  <c r="L138"/>
  <c r="L136"/>
  <c r="L134"/>
  <c r="L132"/>
  <c r="L130"/>
  <c r="L153" s="1"/>
  <c r="L128"/>
  <c r="L126"/>
  <c r="L124"/>
  <c r="L122"/>
  <c r="L120"/>
  <c r="L118"/>
  <c r="L116"/>
  <c r="J141"/>
  <c r="J139"/>
  <c r="J137"/>
  <c r="J135"/>
  <c r="J133"/>
  <c r="J131"/>
  <c r="J129"/>
  <c r="J127"/>
  <c r="J125"/>
  <c r="J123"/>
  <c r="J121"/>
  <c r="J119"/>
  <c r="J117"/>
  <c r="J115"/>
  <c r="J142"/>
  <c r="J140"/>
  <c r="J138"/>
  <c r="J136"/>
  <c r="J134"/>
  <c r="J132"/>
  <c r="J130"/>
  <c r="J128"/>
  <c r="J126"/>
  <c r="J124"/>
  <c r="J122"/>
  <c r="J120"/>
  <c r="J118"/>
  <c r="J116"/>
  <c r="G141"/>
  <c r="G139"/>
  <c r="G137"/>
  <c r="G135"/>
  <c r="G133"/>
  <c r="G131"/>
  <c r="G129"/>
  <c r="G127"/>
  <c r="G125"/>
  <c r="G123"/>
  <c r="G121"/>
  <c r="G119"/>
  <c r="G117"/>
  <c r="G115"/>
  <c r="G236" i="16" s="1"/>
  <c r="G142" i="10"/>
  <c r="G140"/>
  <c r="G138"/>
  <c r="G136"/>
  <c r="G134"/>
  <c r="G132"/>
  <c r="G130"/>
  <c r="G128"/>
  <c r="G126"/>
  <c r="G124"/>
  <c r="G122"/>
  <c r="G120"/>
  <c r="G118"/>
  <c r="G116"/>
  <c r="W38" i="15"/>
  <c r="P38"/>
  <c r="P65"/>
  <c r="C38"/>
  <c r="L65"/>
  <c r="H65"/>
  <c r="H38"/>
  <c r="L38"/>
  <c r="C65"/>
  <c r="Z72" i="14"/>
  <c r="Z42"/>
  <c r="G171" i="16"/>
  <c r="G200" s="1"/>
  <c r="G217" s="1"/>
  <c r="G225" s="1"/>
  <c r="G644"/>
  <c r="R72" i="14"/>
  <c r="I72"/>
  <c r="AA72"/>
  <c r="R42"/>
  <c r="I42"/>
  <c r="AA42"/>
  <c r="D38" i="15"/>
  <c r="G38"/>
  <c r="K38"/>
  <c r="Y42" i="14"/>
  <c r="K65" i="15"/>
  <c r="D65"/>
  <c r="G65"/>
  <c r="Y72" i="14"/>
  <c r="G581" i="16"/>
  <c r="G712" s="1"/>
  <c r="G207"/>
  <c r="G108"/>
  <c r="G643" s="1"/>
  <c r="G106"/>
  <c r="H106"/>
  <c r="H107" s="1"/>
  <c r="H108" s="1"/>
  <c r="H643" s="1"/>
  <c r="E106"/>
  <c r="F642"/>
  <c r="F117"/>
  <c r="F118"/>
  <c r="F119"/>
  <c r="F136"/>
  <c r="F132"/>
  <c r="F128"/>
  <c r="F124"/>
  <c r="F120"/>
  <c r="F133"/>
  <c r="F129"/>
  <c r="F125"/>
  <c r="F121"/>
  <c r="F134"/>
  <c r="F130"/>
  <c r="F126"/>
  <c r="F122"/>
  <c r="F135"/>
  <c r="F131"/>
  <c r="F127"/>
  <c r="F123"/>
  <c r="AJ72" i="14"/>
  <c r="AJ42"/>
  <c r="H72"/>
  <c r="P72"/>
  <c r="P42"/>
  <c r="H42"/>
  <c r="E106" i="10"/>
  <c r="J92" s="1"/>
  <c r="L139" s="1"/>
  <c r="F72" i="14"/>
  <c r="Q42"/>
  <c r="F42"/>
  <c r="Q72"/>
  <c r="H105" i="10"/>
  <c r="I104"/>
  <c r="AK42" i="14" s="1"/>
  <c r="E105" i="10"/>
  <c r="J164"/>
  <c r="G164"/>
  <c r="L149"/>
  <c r="L152"/>
  <c r="L150"/>
  <c r="L151"/>
  <c r="L154"/>
  <c r="E236" i="16"/>
  <c r="E372"/>
  <c r="E382"/>
  <c r="E407" s="1"/>
  <c r="E668" s="1"/>
  <c r="E522"/>
  <c r="E536"/>
  <c r="I164" i="10"/>
  <c r="G155"/>
  <c r="F236" i="16"/>
  <c r="H372"/>
  <c r="H382"/>
  <c r="H407" s="1"/>
  <c r="H668" s="1"/>
  <c r="H522"/>
  <c r="H536"/>
  <c r="J155" i="10"/>
  <c r="G372" i="16"/>
  <c r="G382"/>
  <c r="G407" s="1"/>
  <c r="G668" s="1"/>
  <c r="G522"/>
  <c r="G536"/>
  <c r="D236"/>
  <c r="D270" s="1"/>
  <c r="D652" s="1"/>
  <c r="H236"/>
  <c r="D372"/>
  <c r="D406" s="1"/>
  <c r="D667" s="1"/>
  <c r="F372"/>
  <c r="D382"/>
  <c r="D407" s="1"/>
  <c r="F382"/>
  <c r="F407" s="1"/>
  <c r="F668" s="1"/>
  <c r="D522"/>
  <c r="F522"/>
  <c r="D536"/>
  <c r="F536"/>
  <c r="K37" i="11"/>
  <c r="G25"/>
  <c r="E25"/>
  <c r="I407" i="16" l="1"/>
  <c r="I668" s="1"/>
  <c r="D668"/>
  <c r="H261"/>
  <c r="H270"/>
  <c r="H652" s="1"/>
  <c r="F397"/>
  <c r="F406"/>
  <c r="F667" s="1"/>
  <c r="G397"/>
  <c r="G406"/>
  <c r="G667" s="1"/>
  <c r="F261"/>
  <c r="F270"/>
  <c r="F652" s="1"/>
  <c r="E261"/>
  <c r="E270"/>
  <c r="H397"/>
  <c r="H406"/>
  <c r="H667" s="1"/>
  <c r="E397"/>
  <c r="E406"/>
  <c r="G261"/>
  <c r="G270"/>
  <c r="G652" s="1"/>
  <c r="S38" i="15"/>
  <c r="R38"/>
  <c r="R65"/>
  <c r="S65"/>
  <c r="C29"/>
  <c r="W29" s="1"/>
  <c r="C56"/>
  <c r="AL42" i="14"/>
  <c r="AM42"/>
  <c r="AL72"/>
  <c r="AM72"/>
  <c r="F163" i="10"/>
  <c r="J163"/>
  <c r="F154"/>
  <c r="H151"/>
  <c r="H154"/>
  <c r="J154"/>
  <c r="H160"/>
  <c r="I163"/>
  <c r="I160"/>
  <c r="G163"/>
  <c r="G160"/>
  <c r="F151"/>
  <c r="G154"/>
  <c r="G151"/>
  <c r="J160"/>
  <c r="I154"/>
  <c r="I151"/>
  <c r="H163"/>
  <c r="J151"/>
  <c r="E246" i="16"/>
  <c r="E398"/>
  <c r="D246"/>
  <c r="G246"/>
  <c r="G398"/>
  <c r="H246"/>
  <c r="H398"/>
  <c r="F246"/>
  <c r="F398"/>
  <c r="I372"/>
  <c r="D397"/>
  <c r="H149" i="10"/>
  <c r="H158"/>
  <c r="G158"/>
  <c r="R107" i="16"/>
  <c r="D107"/>
  <c r="K107"/>
  <c r="E107"/>
  <c r="S107"/>
  <c r="L107"/>
  <c r="D261"/>
  <c r="I236"/>
  <c r="H642"/>
  <c r="H136"/>
  <c r="H128"/>
  <c r="H120"/>
  <c r="H134"/>
  <c r="H126"/>
  <c r="H119"/>
  <c r="H135"/>
  <c r="H127"/>
  <c r="H129"/>
  <c r="H121"/>
  <c r="H132"/>
  <c r="H124"/>
  <c r="H130"/>
  <c r="H122"/>
  <c r="H118"/>
  <c r="H131"/>
  <c r="H123"/>
  <c r="H133"/>
  <c r="H125"/>
  <c r="H117"/>
  <c r="I149" i="10"/>
  <c r="I158"/>
  <c r="F137" i="16"/>
  <c r="G149" i="10"/>
  <c r="J149"/>
  <c r="J158"/>
  <c r="H153"/>
  <c r="H152"/>
  <c r="J153"/>
  <c r="J152"/>
  <c r="F150"/>
  <c r="G153"/>
  <c r="G150"/>
  <c r="G152"/>
  <c r="H150"/>
  <c r="I153"/>
  <c r="I150"/>
  <c r="I152"/>
  <c r="J150"/>
  <c r="F153"/>
  <c r="F152"/>
  <c r="F159"/>
  <c r="H159"/>
  <c r="I162"/>
  <c r="I159"/>
  <c r="I161"/>
  <c r="G162"/>
  <c r="G159"/>
  <c r="G161"/>
  <c r="H162"/>
  <c r="H161"/>
  <c r="F158"/>
  <c r="J159"/>
  <c r="F161"/>
  <c r="J162"/>
  <c r="J161"/>
  <c r="K141"/>
  <c r="K164" s="1"/>
  <c r="H164"/>
  <c r="K133"/>
  <c r="K160" s="1"/>
  <c r="F160"/>
  <c r="H146"/>
  <c r="J144"/>
  <c r="I146"/>
  <c r="J146"/>
  <c r="F145"/>
  <c r="I144"/>
  <c r="L144"/>
  <c r="K129"/>
  <c r="K162" s="1"/>
  <c r="F162"/>
  <c r="H145"/>
  <c r="G144"/>
  <c r="J145"/>
  <c r="G145"/>
  <c r="L145"/>
  <c r="F147"/>
  <c r="K118"/>
  <c r="K149" s="1"/>
  <c r="F149"/>
  <c r="I145"/>
  <c r="H147"/>
  <c r="I147"/>
  <c r="J147"/>
  <c r="F144"/>
  <c r="G147"/>
  <c r="F146"/>
  <c r="H144"/>
  <c r="G146"/>
  <c r="K137"/>
  <c r="K163" s="1"/>
  <c r="K125"/>
  <c r="K159" s="1"/>
  <c r="K121"/>
  <c r="K161" s="1"/>
  <c r="K115"/>
  <c r="K139"/>
  <c r="K131"/>
  <c r="K127"/>
  <c r="K142"/>
  <c r="K155" s="1"/>
  <c r="K134"/>
  <c r="K151" s="1"/>
  <c r="K130"/>
  <c r="K153" s="1"/>
  <c r="K140"/>
  <c r="K132"/>
  <c r="K128"/>
  <c r="K117"/>
  <c r="K158" s="1"/>
  <c r="K135"/>
  <c r="K123"/>
  <c r="K119"/>
  <c r="K138"/>
  <c r="K154" s="1"/>
  <c r="K126"/>
  <c r="K150" s="1"/>
  <c r="K122"/>
  <c r="K152" s="1"/>
  <c r="K116"/>
  <c r="K136"/>
  <c r="K124"/>
  <c r="K120"/>
  <c r="E85" i="6"/>
  <c r="E12" i="12"/>
  <c r="E14"/>
  <c r="E11"/>
  <c r="E9"/>
  <c r="E10"/>
  <c r="E13"/>
  <c r="M44" i="11"/>
  <c r="N44"/>
  <c r="P44"/>
  <c r="Q44"/>
  <c r="R44"/>
  <c r="L44"/>
  <c r="E10"/>
  <c r="E11"/>
  <c r="E12"/>
  <c r="E16"/>
  <c r="E18"/>
  <c r="E19"/>
  <c r="E23"/>
  <c r="E26"/>
  <c r="E27"/>
  <c r="E29"/>
  <c r="E30"/>
  <c r="E31"/>
  <c r="E32"/>
  <c r="G10"/>
  <c r="G11"/>
  <c r="G12"/>
  <c r="G16"/>
  <c r="G18"/>
  <c r="G23"/>
  <c r="G26"/>
  <c r="G27"/>
  <c r="G29"/>
  <c r="G30"/>
  <c r="G31"/>
  <c r="G32"/>
  <c r="I261" i="16" l="1"/>
  <c r="I406"/>
  <c r="I667" s="1"/>
  <c r="E667"/>
  <c r="I270"/>
  <c r="I652" s="1"/>
  <c r="E652"/>
  <c r="D262"/>
  <c r="D271"/>
  <c r="D653" s="1"/>
  <c r="F262"/>
  <c r="F271"/>
  <c r="F653" s="1"/>
  <c r="G262"/>
  <c r="G271"/>
  <c r="G653" s="1"/>
  <c r="E262"/>
  <c r="E271"/>
  <c r="E653" s="1"/>
  <c r="H262"/>
  <c r="H271"/>
  <c r="H653" s="1"/>
  <c r="J156" i="10"/>
  <c r="I397" i="16"/>
  <c r="I382"/>
  <c r="D398"/>
  <c r="I246"/>
  <c r="I536"/>
  <c r="K642"/>
  <c r="F644"/>
  <c r="F581"/>
  <c r="F712" s="1"/>
  <c r="F255"/>
  <c r="F647" s="1"/>
  <c r="F207"/>
  <c r="F171"/>
  <c r="F200" s="1"/>
  <c r="F217" s="1"/>
  <c r="F225" s="1"/>
  <c r="I522"/>
  <c r="E642"/>
  <c r="E131"/>
  <c r="E127"/>
  <c r="E136"/>
  <c r="E117"/>
  <c r="E135"/>
  <c r="E129"/>
  <c r="E125"/>
  <c r="E122"/>
  <c r="E118"/>
  <c r="E133"/>
  <c r="E130"/>
  <c r="E126"/>
  <c r="E120"/>
  <c r="E128"/>
  <c r="E124"/>
  <c r="E132"/>
  <c r="E123"/>
  <c r="E119"/>
  <c r="E134"/>
  <c r="E121"/>
  <c r="E108"/>
  <c r="E643" s="1"/>
  <c r="H137"/>
  <c r="S642"/>
  <c r="R642"/>
  <c r="L642"/>
  <c r="D642"/>
  <c r="D119"/>
  <c r="D135"/>
  <c r="D127"/>
  <c r="D129"/>
  <c r="D121"/>
  <c r="D132"/>
  <c r="D124"/>
  <c r="D130"/>
  <c r="D122"/>
  <c r="D131"/>
  <c r="D123"/>
  <c r="D133"/>
  <c r="D125"/>
  <c r="D136"/>
  <c r="D128"/>
  <c r="D120"/>
  <c r="D134"/>
  <c r="D126"/>
  <c r="D117"/>
  <c r="D118"/>
  <c r="D108"/>
  <c r="H156" i="10"/>
  <c r="I156"/>
  <c r="G156"/>
  <c r="H165"/>
  <c r="I165"/>
  <c r="I46" i="11"/>
  <c r="G362" i="16" s="1"/>
  <c r="I48" i="11"/>
  <c r="E362" i="16" s="1"/>
  <c r="H46" i="11"/>
  <c r="G226" i="16" s="1"/>
  <c r="H45" i="11"/>
  <c r="D226" i="16" s="1"/>
  <c r="D269" s="1"/>
  <c r="D651" s="1"/>
  <c r="J45" i="11"/>
  <c r="D508" i="16" s="1"/>
  <c r="J47" i="11"/>
  <c r="H508" i="16" s="1"/>
  <c r="J49" i="11"/>
  <c r="F508" i="16" s="1"/>
  <c r="H49" i="11"/>
  <c r="F226" i="16" s="1"/>
  <c r="I45" i="11"/>
  <c r="D362" i="16" s="1"/>
  <c r="D405" s="1"/>
  <c r="D666" s="1"/>
  <c r="I47" i="11"/>
  <c r="H362" i="16" s="1"/>
  <c r="I49" i="11"/>
  <c r="F362" i="16" s="1"/>
  <c r="H48" i="11"/>
  <c r="E226" i="16" s="1"/>
  <c r="J46" i="11"/>
  <c r="G508" i="16" s="1"/>
  <c r="J48" i="11"/>
  <c r="E508" i="16" s="1"/>
  <c r="H47" i="11"/>
  <c r="G165" i="10"/>
  <c r="J165"/>
  <c r="F156"/>
  <c r="F165"/>
  <c r="K165"/>
  <c r="K156"/>
  <c r="K147"/>
  <c r="K145"/>
  <c r="K146"/>
  <c r="K144"/>
  <c r="F24" i="12"/>
  <c r="G22"/>
  <c r="G24"/>
  <c r="F22"/>
  <c r="L47" i="11"/>
  <c r="V226" i="16" s="1"/>
  <c r="V260" s="1"/>
  <c r="P47" i="11"/>
  <c r="O226" i="16" s="1"/>
  <c r="O260" s="1"/>
  <c r="M45" i="11"/>
  <c r="R362" i="16" s="1"/>
  <c r="Q45" i="11"/>
  <c r="N45"/>
  <c r="R508" i="16" s="1"/>
  <c r="R687" s="1"/>
  <c r="R45" i="11"/>
  <c r="K508" i="16" s="1"/>
  <c r="K687" s="1"/>
  <c r="L45" i="11"/>
  <c r="R226" i="16" s="1"/>
  <c r="P45" i="11"/>
  <c r="K226" i="16" s="1"/>
  <c r="J93" i="10"/>
  <c r="K93"/>
  <c r="J87"/>
  <c r="I62"/>
  <c r="J62"/>
  <c r="K62"/>
  <c r="H62"/>
  <c r="J26" i="4"/>
  <c r="J43"/>
  <c r="K43" s="1"/>
  <c r="J28"/>
  <c r="K28" s="1"/>
  <c r="J29"/>
  <c r="K29" s="1"/>
  <c r="J30"/>
  <c r="K30" s="1"/>
  <c r="J31"/>
  <c r="K31" s="1"/>
  <c r="J32"/>
  <c r="K32" s="1"/>
  <c r="J33"/>
  <c r="K33" s="1"/>
  <c r="J34"/>
  <c r="K34" s="1"/>
  <c r="J35"/>
  <c r="K35" s="1"/>
  <c r="J36"/>
  <c r="K36" s="1"/>
  <c r="J37"/>
  <c r="K37" s="1"/>
  <c r="J38"/>
  <c r="K38" s="1"/>
  <c r="J39"/>
  <c r="K39" s="1"/>
  <c r="J40"/>
  <c r="K40" s="1"/>
  <c r="J41"/>
  <c r="K41" s="1"/>
  <c r="J42"/>
  <c r="K42" s="1"/>
  <c r="I262" i="16" l="1"/>
  <c r="I271"/>
  <c r="I653" s="1"/>
  <c r="F396"/>
  <c r="F399" s="1"/>
  <c r="F670" s="1"/>
  <c r="F405"/>
  <c r="D408"/>
  <c r="G396"/>
  <c r="G399" s="1"/>
  <c r="G670" s="1"/>
  <c r="G405"/>
  <c r="H396"/>
  <c r="H399" s="1"/>
  <c r="H670" s="1"/>
  <c r="H405"/>
  <c r="E396"/>
  <c r="E399" s="1"/>
  <c r="E670" s="1"/>
  <c r="E405"/>
  <c r="G227"/>
  <c r="G235" s="1"/>
  <c r="G237" s="1"/>
  <c r="G245" s="1"/>
  <c r="G247" s="1"/>
  <c r="G269"/>
  <c r="E260"/>
  <c r="E269"/>
  <c r="F260"/>
  <c r="F269"/>
  <c r="D272"/>
  <c r="C28" i="15"/>
  <c r="C55"/>
  <c r="I398" i="16"/>
  <c r="R396"/>
  <c r="K362"/>
  <c r="D396"/>
  <c r="I362"/>
  <c r="F227"/>
  <c r="F235" s="1"/>
  <c r="F237" s="1"/>
  <c r="F245" s="1"/>
  <c r="F247" s="1"/>
  <c r="K260"/>
  <c r="K550"/>
  <c r="K702" s="1"/>
  <c r="R260"/>
  <c r="O550"/>
  <c r="O702" s="1"/>
  <c r="D137"/>
  <c r="R550"/>
  <c r="R702" s="1"/>
  <c r="K47" i="11"/>
  <c r="H226" i="16"/>
  <c r="G260"/>
  <c r="H644"/>
  <c r="H581"/>
  <c r="H712" s="1"/>
  <c r="H255"/>
  <c r="H647" s="1"/>
  <c r="H207"/>
  <c r="H171"/>
  <c r="H200" s="1"/>
  <c r="H217" s="1"/>
  <c r="H225" s="1"/>
  <c r="V550"/>
  <c r="V702" s="1"/>
  <c r="D260"/>
  <c r="D643"/>
  <c r="I108"/>
  <c r="E137"/>
  <c r="K49" i="11"/>
  <c r="I50"/>
  <c r="J50"/>
  <c r="K46"/>
  <c r="H50"/>
  <c r="K45"/>
  <c r="K48"/>
  <c r="L48"/>
  <c r="S226" i="16" s="1"/>
  <c r="S260" s="1"/>
  <c r="S45" i="11"/>
  <c r="Q48"/>
  <c r="L362" i="16" s="1"/>
  <c r="L396" s="1"/>
  <c r="P48" i="11"/>
  <c r="L226" i="16" s="1"/>
  <c r="L260" s="1"/>
  <c r="M48" i="11"/>
  <c r="S362" i="16" s="1"/>
  <c r="S396" s="1"/>
  <c r="O45" i="11"/>
  <c r="F272" i="16" l="1"/>
  <c r="F273" s="1"/>
  <c r="F651"/>
  <c r="G272"/>
  <c r="G273" s="1"/>
  <c r="G651"/>
  <c r="H408"/>
  <c r="H666"/>
  <c r="E272"/>
  <c r="E651"/>
  <c r="E408"/>
  <c r="E666"/>
  <c r="G408"/>
  <c r="G666"/>
  <c r="F408"/>
  <c r="F666"/>
  <c r="F263"/>
  <c r="F655" s="1"/>
  <c r="I405"/>
  <c r="I666" s="1"/>
  <c r="E263"/>
  <c r="E655" s="1"/>
  <c r="H260"/>
  <c r="H269"/>
  <c r="W28" i="15"/>
  <c r="C57"/>
  <c r="C62" s="1"/>
  <c r="C70" s="1"/>
  <c r="C30"/>
  <c r="W30" s="1"/>
  <c r="I396" i="16"/>
  <c r="D399"/>
  <c r="H227"/>
  <c r="H235" s="1"/>
  <c r="H237" s="1"/>
  <c r="H245" s="1"/>
  <c r="H247" s="1"/>
  <c r="K396"/>
  <c r="E644"/>
  <c r="E581"/>
  <c r="E712" s="1"/>
  <c r="E255"/>
  <c r="E171"/>
  <c r="E200" s="1"/>
  <c r="E217" s="1"/>
  <c r="E225" s="1"/>
  <c r="E207"/>
  <c r="G263"/>
  <c r="G655" s="1"/>
  <c r="D644"/>
  <c r="D581"/>
  <c r="D255"/>
  <c r="D647" s="1"/>
  <c r="D207"/>
  <c r="D171"/>
  <c r="I226"/>
  <c r="I643"/>
  <c r="I107"/>
  <c r="I508"/>
  <c r="D263"/>
  <c r="K50" i="11"/>
  <c r="E28" i="9"/>
  <c r="F28" s="1"/>
  <c r="E27"/>
  <c r="I81" i="6"/>
  <c r="H81"/>
  <c r="G81"/>
  <c r="F81"/>
  <c r="E81"/>
  <c r="I77"/>
  <c r="H77"/>
  <c r="G77"/>
  <c r="F77"/>
  <c r="E77"/>
  <c r="I73"/>
  <c r="H73"/>
  <c r="G73"/>
  <c r="F73"/>
  <c r="E73"/>
  <c r="F69"/>
  <c r="G69"/>
  <c r="H69"/>
  <c r="I69"/>
  <c r="E69"/>
  <c r="E273" i="16" l="1"/>
  <c r="H272"/>
  <c r="H273" s="1"/>
  <c r="H651"/>
  <c r="F264"/>
  <c r="F656" s="1"/>
  <c r="I260"/>
  <c r="H263"/>
  <c r="H655" s="1"/>
  <c r="D273"/>
  <c r="I269"/>
  <c r="I651" s="1"/>
  <c r="C54" i="15"/>
  <c r="C61" s="1"/>
  <c r="C69" s="1"/>
  <c r="C27"/>
  <c r="W35"/>
  <c r="W43" s="1"/>
  <c r="C35"/>
  <c r="I399" i="16"/>
  <c r="I670" s="1"/>
  <c r="D670"/>
  <c r="E264"/>
  <c r="E656" s="1"/>
  <c r="E647"/>
  <c r="F659"/>
  <c r="E227"/>
  <c r="E235" s="1"/>
  <c r="E237" s="1"/>
  <c r="E245" s="1"/>
  <c r="E247" s="1"/>
  <c r="E616"/>
  <c r="D655"/>
  <c r="I171"/>
  <c r="D200"/>
  <c r="I642"/>
  <c r="I118"/>
  <c r="I136"/>
  <c r="I128"/>
  <c r="I124"/>
  <c r="I121"/>
  <c r="I117"/>
  <c r="I135"/>
  <c r="I132"/>
  <c r="I129"/>
  <c r="I125"/>
  <c r="I123"/>
  <c r="I119"/>
  <c r="I131"/>
  <c r="I127"/>
  <c r="I122"/>
  <c r="I133"/>
  <c r="I120"/>
  <c r="I130"/>
  <c r="I126"/>
  <c r="I134"/>
  <c r="D712"/>
  <c r="I255"/>
  <c r="I647" s="1"/>
  <c r="D264"/>
  <c r="E617"/>
  <c r="I207"/>
  <c r="G264"/>
  <c r="G656" s="1"/>
  <c r="F27" i="9"/>
  <c r="I28"/>
  <c r="P95" i="18" s="1"/>
  <c r="I27" i="9"/>
  <c r="P94" i="18" s="1"/>
  <c r="J44" i="4"/>
  <c r="K44" s="1"/>
  <c r="A31"/>
  <c r="A29"/>
  <c r="A30" s="1"/>
  <c r="A28"/>
  <c r="A17"/>
  <c r="A16"/>
  <c r="A23"/>
  <c r="A14"/>
  <c r="A13"/>
  <c r="A12"/>
  <c r="J27"/>
  <c r="K27" s="1"/>
  <c r="K26"/>
  <c r="I273" i="16" l="1"/>
  <c r="I272"/>
  <c r="H264"/>
  <c r="H656" s="1"/>
  <c r="I263"/>
  <c r="I655" s="1"/>
  <c r="G100" i="15"/>
  <c r="F10" i="17"/>
  <c r="G99" i="15"/>
  <c r="F9" i="17"/>
  <c r="C26" i="15"/>
  <c r="C53"/>
  <c r="C63" s="1"/>
  <c r="C43"/>
  <c r="C34"/>
  <c r="C42" s="1"/>
  <c r="W27"/>
  <c r="W34" s="1"/>
  <c r="W42" s="1"/>
  <c r="F586" i="16"/>
  <c r="F716" s="1"/>
  <c r="F343"/>
  <c r="F658"/>
  <c r="E659"/>
  <c r="F307"/>
  <c r="F336" s="1"/>
  <c r="F353" s="1"/>
  <c r="F361" s="1"/>
  <c r="F363" s="1"/>
  <c r="F371" s="1"/>
  <c r="F373" s="1"/>
  <c r="F381" s="1"/>
  <c r="F383" s="1"/>
  <c r="F391"/>
  <c r="F409" s="1"/>
  <c r="F617"/>
  <c r="I200"/>
  <c r="D217"/>
  <c r="F616"/>
  <c r="H659"/>
  <c r="I137"/>
  <c r="G659"/>
  <c r="D656"/>
  <c r="J27" i="9"/>
  <c r="Q94" i="18" s="1"/>
  <c r="F83" i="14"/>
  <c r="J28" i="9"/>
  <c r="Q95" i="18" s="1"/>
  <c r="F84" i="14"/>
  <c r="A26" i="4"/>
  <c r="A33" s="1"/>
  <c r="A15"/>
  <c r="A45" s="1"/>
  <c r="A20"/>
  <c r="A25"/>
  <c r="A42"/>
  <c r="A44"/>
  <c r="A19"/>
  <c r="A32"/>
  <c r="A18"/>
  <c r="A24"/>
  <c r="A43"/>
  <c r="B49" i="19" l="1"/>
  <c r="G12" i="18"/>
  <c r="H11"/>
  <c r="G80"/>
  <c r="H72"/>
  <c r="G69"/>
  <c r="H68"/>
  <c r="H62"/>
  <c r="G59"/>
  <c r="H58"/>
  <c r="G55"/>
  <c r="G33"/>
  <c r="H32"/>
  <c r="G29"/>
  <c r="H19"/>
  <c r="H21"/>
  <c r="G22"/>
  <c r="G16"/>
  <c r="G18"/>
  <c r="G46"/>
  <c r="G50"/>
  <c r="G52"/>
  <c r="G73"/>
  <c r="G75"/>
  <c r="G77"/>
  <c r="G79"/>
  <c r="G83"/>
  <c r="G85"/>
  <c r="G13"/>
  <c r="H12"/>
  <c r="G81"/>
  <c r="H80"/>
  <c r="G70"/>
  <c r="H69"/>
  <c r="G64"/>
  <c r="G60"/>
  <c r="H59"/>
  <c r="G56"/>
  <c r="H55"/>
  <c r="G34"/>
  <c r="H33"/>
  <c r="G30"/>
  <c r="H29"/>
  <c r="H20"/>
  <c r="G21"/>
  <c r="H15"/>
  <c r="H17"/>
  <c r="H45"/>
  <c r="H49"/>
  <c r="H51"/>
  <c r="H53"/>
  <c r="H74"/>
  <c r="H76"/>
  <c r="H82"/>
  <c r="G39"/>
  <c r="H13"/>
  <c r="H81"/>
  <c r="G71"/>
  <c r="H70"/>
  <c r="G54"/>
  <c r="H64"/>
  <c r="G61"/>
  <c r="H60"/>
  <c r="G57"/>
  <c r="H56"/>
  <c r="G35"/>
  <c r="H34"/>
  <c r="G31"/>
  <c r="H30"/>
  <c r="G20"/>
  <c r="H23"/>
  <c r="G15"/>
  <c r="G17"/>
  <c r="G45"/>
  <c r="G49"/>
  <c r="G51"/>
  <c r="G53"/>
  <c r="G74"/>
  <c r="G76"/>
  <c r="G82"/>
  <c r="H39"/>
  <c r="G11"/>
  <c r="G72"/>
  <c r="H71"/>
  <c r="G68"/>
  <c r="H54"/>
  <c r="G62"/>
  <c r="H61"/>
  <c r="G58"/>
  <c r="H57"/>
  <c r="H35"/>
  <c r="G32"/>
  <c r="H31"/>
  <c r="G19"/>
  <c r="H22"/>
  <c r="G23"/>
  <c r="H16"/>
  <c r="H18"/>
  <c r="H46"/>
  <c r="H50"/>
  <c r="H52"/>
  <c r="H73"/>
  <c r="H75"/>
  <c r="H77"/>
  <c r="H79"/>
  <c r="H83"/>
  <c r="H85"/>
  <c r="I264" i="16"/>
  <c r="I656" s="1"/>
  <c r="H99" i="15"/>
  <c r="G9" i="17"/>
  <c r="H100" i="15"/>
  <c r="G10" i="17"/>
  <c r="A41" i="4"/>
  <c r="A22"/>
  <c r="A35"/>
  <c r="A34"/>
  <c r="A40"/>
  <c r="M65" i="16"/>
  <c r="U65"/>
  <c r="T28"/>
  <c r="L30"/>
  <c r="L119" s="1"/>
  <c r="O28"/>
  <c r="P31"/>
  <c r="P29"/>
  <c r="P30"/>
  <c r="V29"/>
  <c r="R30"/>
  <c r="R119" s="1"/>
  <c r="M31"/>
  <c r="V33"/>
  <c r="R34"/>
  <c r="M35"/>
  <c r="V37"/>
  <c r="R38"/>
  <c r="M39"/>
  <c r="V41"/>
  <c r="R42"/>
  <c r="R126" s="1"/>
  <c r="M43"/>
  <c r="V45"/>
  <c r="R46"/>
  <c r="R130" s="1"/>
  <c r="M47"/>
  <c r="V49"/>
  <c r="R50"/>
  <c r="M51"/>
  <c r="V53"/>
  <c r="R54"/>
  <c r="M55"/>
  <c r="V57"/>
  <c r="R58"/>
  <c r="R133" s="1"/>
  <c r="M59"/>
  <c r="V61"/>
  <c r="R62"/>
  <c r="M63"/>
  <c r="U33"/>
  <c r="U34"/>
  <c r="U35"/>
  <c r="U36"/>
  <c r="U121" s="1"/>
  <c r="U37"/>
  <c r="U122" s="1"/>
  <c r="U38"/>
  <c r="U39"/>
  <c r="U40"/>
  <c r="U124" s="1"/>
  <c r="U41"/>
  <c r="U125" s="1"/>
  <c r="U42"/>
  <c r="U126" s="1"/>
  <c r="U43"/>
  <c r="U127" s="1"/>
  <c r="U44"/>
  <c r="U128" s="1"/>
  <c r="U45"/>
  <c r="U129" s="1"/>
  <c r="U46"/>
  <c r="U130" s="1"/>
  <c r="U47"/>
  <c r="U48"/>
  <c r="U49"/>
  <c r="U50"/>
  <c r="U51"/>
  <c r="U52"/>
  <c r="U53"/>
  <c r="U54"/>
  <c r="U55"/>
  <c r="U56"/>
  <c r="U57"/>
  <c r="U132" s="1"/>
  <c r="U58"/>
  <c r="U133" s="1"/>
  <c r="U59"/>
  <c r="U60"/>
  <c r="U61"/>
  <c r="U62"/>
  <c r="U63"/>
  <c r="U135" s="1"/>
  <c r="U64"/>
  <c r="K30"/>
  <c r="K119" s="1"/>
  <c r="K31"/>
  <c r="K32"/>
  <c r="K33"/>
  <c r="K34"/>
  <c r="K35"/>
  <c r="K36"/>
  <c r="K121" s="1"/>
  <c r="K37"/>
  <c r="K122" s="1"/>
  <c r="K38"/>
  <c r="K39"/>
  <c r="K40"/>
  <c r="K124" s="1"/>
  <c r="K41"/>
  <c r="K125" s="1"/>
  <c r="K42"/>
  <c r="K126" s="1"/>
  <c r="K43"/>
  <c r="K127" s="1"/>
  <c r="K44"/>
  <c r="K128" s="1"/>
  <c r="K45"/>
  <c r="K129" s="1"/>
  <c r="K46"/>
  <c r="K130" s="1"/>
  <c r="K47"/>
  <c r="K48"/>
  <c r="K49"/>
  <c r="K50"/>
  <c r="K51"/>
  <c r="K52"/>
  <c r="K53"/>
  <c r="K54"/>
  <c r="K55"/>
  <c r="K56"/>
  <c r="K57"/>
  <c r="K132" s="1"/>
  <c r="K58"/>
  <c r="K133" s="1"/>
  <c r="K59"/>
  <c r="K60"/>
  <c r="K61"/>
  <c r="K62"/>
  <c r="K63"/>
  <c r="K135" s="1"/>
  <c r="K64"/>
  <c r="K65"/>
  <c r="W28"/>
  <c r="S29"/>
  <c r="S118" s="1"/>
  <c r="N30"/>
  <c r="N119" s="1"/>
  <c r="W32"/>
  <c r="S33"/>
  <c r="N34"/>
  <c r="W36"/>
  <c r="S37"/>
  <c r="S122" s="1"/>
  <c r="N38"/>
  <c r="W40"/>
  <c r="S41"/>
  <c r="S125" s="1"/>
  <c r="N42"/>
  <c r="N126" s="1"/>
  <c r="W44"/>
  <c r="S45"/>
  <c r="S129" s="1"/>
  <c r="N46"/>
  <c r="N130" s="1"/>
  <c r="W48"/>
  <c r="S49"/>
  <c r="N50"/>
  <c r="W52"/>
  <c r="S53"/>
  <c r="N54"/>
  <c r="W56"/>
  <c r="S57"/>
  <c r="S132" s="1"/>
  <c r="N58"/>
  <c r="N133" s="1"/>
  <c r="W60"/>
  <c r="S61"/>
  <c r="N62"/>
  <c r="W64"/>
  <c r="L65"/>
  <c r="O29"/>
  <c r="U28"/>
  <c r="U29"/>
  <c r="U118" s="1"/>
  <c r="U32"/>
  <c r="V28"/>
  <c r="R29"/>
  <c r="R118" s="1"/>
  <c r="M30"/>
  <c r="V32"/>
  <c r="R33"/>
  <c r="M34"/>
  <c r="V36"/>
  <c r="R37"/>
  <c r="R122" s="1"/>
  <c r="M38"/>
  <c r="V40"/>
  <c r="R41"/>
  <c r="R125" s="1"/>
  <c r="M42"/>
  <c r="V44"/>
  <c r="R45"/>
  <c r="R129" s="1"/>
  <c r="M46"/>
  <c r="V48"/>
  <c r="R49"/>
  <c r="M50"/>
  <c r="V52"/>
  <c r="R53"/>
  <c r="M54"/>
  <c r="V56"/>
  <c r="R57"/>
  <c r="R132" s="1"/>
  <c r="M58"/>
  <c r="V60"/>
  <c r="R61"/>
  <c r="M62"/>
  <c r="V64"/>
  <c r="P33"/>
  <c r="P34"/>
  <c r="P35"/>
  <c r="P36"/>
  <c r="P37"/>
  <c r="P38"/>
  <c r="P39"/>
  <c r="P40"/>
  <c r="P41"/>
  <c r="P42"/>
  <c r="P43"/>
  <c r="P44"/>
  <c r="P45"/>
  <c r="P46"/>
  <c r="P47"/>
  <c r="P48"/>
  <c r="P49"/>
  <c r="P50"/>
  <c r="P51"/>
  <c r="P52"/>
  <c r="P53"/>
  <c r="P54"/>
  <c r="P55"/>
  <c r="P56"/>
  <c r="P57"/>
  <c r="P58"/>
  <c r="P59"/>
  <c r="P60"/>
  <c r="P61"/>
  <c r="P62"/>
  <c r="P63"/>
  <c r="P64"/>
  <c r="S28"/>
  <c r="N29"/>
  <c r="N118" s="1"/>
  <c r="W31"/>
  <c r="S32"/>
  <c r="N33"/>
  <c r="W35"/>
  <c r="S36"/>
  <c r="S121" s="1"/>
  <c r="N37"/>
  <c r="N122" s="1"/>
  <c r="W39"/>
  <c r="S40"/>
  <c r="S124" s="1"/>
  <c r="N41"/>
  <c r="N125" s="1"/>
  <c r="W43"/>
  <c r="S44"/>
  <c r="S128" s="1"/>
  <c r="N45"/>
  <c r="N129" s="1"/>
  <c r="W47"/>
  <c r="S48"/>
  <c r="N49"/>
  <c r="W51"/>
  <c r="S52"/>
  <c r="N53"/>
  <c r="W55"/>
  <c r="S56"/>
  <c r="N57"/>
  <c r="N132" s="1"/>
  <c r="W59"/>
  <c r="S60"/>
  <c r="N61"/>
  <c r="W63"/>
  <c r="S64"/>
  <c r="S65"/>
  <c r="N64"/>
  <c r="S54"/>
  <c r="N59"/>
  <c r="W61"/>
  <c r="W65"/>
  <c r="K28"/>
  <c r="R65"/>
  <c r="L29"/>
  <c r="L118" s="1"/>
  <c r="L32"/>
  <c r="T29"/>
  <c r="L28"/>
  <c r="L31"/>
  <c r="P32"/>
  <c r="R28"/>
  <c r="M29"/>
  <c r="V31"/>
  <c r="R32"/>
  <c r="M33"/>
  <c r="V35"/>
  <c r="R36"/>
  <c r="R121" s="1"/>
  <c r="M37"/>
  <c r="V39"/>
  <c r="R40"/>
  <c r="R124" s="1"/>
  <c r="M41"/>
  <c r="V43"/>
  <c r="R44"/>
  <c r="R128" s="1"/>
  <c r="M45"/>
  <c r="V47"/>
  <c r="R48"/>
  <c r="M49"/>
  <c r="V51"/>
  <c r="R52"/>
  <c r="M53"/>
  <c r="V55"/>
  <c r="R56"/>
  <c r="M57"/>
  <c r="V59"/>
  <c r="R60"/>
  <c r="M61"/>
  <c r="V63"/>
  <c r="R64"/>
  <c r="L33"/>
  <c r="L34"/>
  <c r="L35"/>
  <c r="L36"/>
  <c r="L121" s="1"/>
  <c r="L37"/>
  <c r="L122" s="1"/>
  <c r="L38"/>
  <c r="L39"/>
  <c r="L40"/>
  <c r="L124" s="1"/>
  <c r="L41"/>
  <c r="L125" s="1"/>
  <c r="L42"/>
  <c r="L126" s="1"/>
  <c r="L43"/>
  <c r="L127" s="1"/>
  <c r="L44"/>
  <c r="L128" s="1"/>
  <c r="L45"/>
  <c r="L129" s="1"/>
  <c r="L46"/>
  <c r="L130" s="1"/>
  <c r="L47"/>
  <c r="L48"/>
  <c r="L49"/>
  <c r="L50"/>
  <c r="L51"/>
  <c r="L52"/>
  <c r="L53"/>
  <c r="L54"/>
  <c r="L55"/>
  <c r="L56"/>
  <c r="L57"/>
  <c r="L132" s="1"/>
  <c r="L58"/>
  <c r="L133" s="1"/>
  <c r="L59"/>
  <c r="L60"/>
  <c r="L61"/>
  <c r="L62"/>
  <c r="L63"/>
  <c r="L135" s="1"/>
  <c r="L64"/>
  <c r="T30"/>
  <c r="T31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N28"/>
  <c r="W30"/>
  <c r="S31"/>
  <c r="N32"/>
  <c r="W34"/>
  <c r="S35"/>
  <c r="N36"/>
  <c r="N121" s="1"/>
  <c r="W38"/>
  <c r="S39"/>
  <c r="N40"/>
  <c r="N124" s="1"/>
  <c r="W42"/>
  <c r="S43"/>
  <c r="S127" s="1"/>
  <c r="N44"/>
  <c r="N128" s="1"/>
  <c r="W46"/>
  <c r="S47"/>
  <c r="N48"/>
  <c r="W50"/>
  <c r="S51"/>
  <c r="N52"/>
  <c r="W54"/>
  <c r="S55"/>
  <c r="N56"/>
  <c r="W58"/>
  <c r="S59"/>
  <c r="N60"/>
  <c r="W62"/>
  <c r="S63"/>
  <c r="S135" s="1"/>
  <c r="N65"/>
  <c r="N55"/>
  <c r="W57"/>
  <c r="S62"/>
  <c r="P65"/>
  <c r="V65"/>
  <c r="P28"/>
  <c r="U31"/>
  <c r="K29"/>
  <c r="K118" s="1"/>
  <c r="U30"/>
  <c r="U119" s="1"/>
  <c r="M28"/>
  <c r="V30"/>
  <c r="R31"/>
  <c r="M32"/>
  <c r="V34"/>
  <c r="R35"/>
  <c r="M36"/>
  <c r="V38"/>
  <c r="R39"/>
  <c r="M40"/>
  <c r="V42"/>
  <c r="R43"/>
  <c r="R127" s="1"/>
  <c r="M44"/>
  <c r="V46"/>
  <c r="R47"/>
  <c r="M48"/>
  <c r="V50"/>
  <c r="R51"/>
  <c r="M52"/>
  <c r="V54"/>
  <c r="R55"/>
  <c r="M56"/>
  <c r="V58"/>
  <c r="R59"/>
  <c r="M60"/>
  <c r="V62"/>
  <c r="R63"/>
  <c r="R135" s="1"/>
  <c r="M64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W29"/>
  <c r="S30"/>
  <c r="S119" s="1"/>
  <c r="N31"/>
  <c r="W33"/>
  <c r="S34"/>
  <c r="N35"/>
  <c r="W37"/>
  <c r="S38"/>
  <c r="S123" s="1"/>
  <c r="N39"/>
  <c r="W41"/>
  <c r="S42"/>
  <c r="S126" s="1"/>
  <c r="N43"/>
  <c r="N127" s="1"/>
  <c r="W45"/>
  <c r="S46"/>
  <c r="S130" s="1"/>
  <c r="N47"/>
  <c r="W49"/>
  <c r="S50"/>
  <c r="N51"/>
  <c r="W53"/>
  <c r="S58"/>
  <c r="S133" s="1"/>
  <c r="N63"/>
  <c r="N135" s="1"/>
  <c r="O382"/>
  <c r="O398" s="1"/>
  <c r="M382"/>
  <c r="M398" s="1"/>
  <c r="T382"/>
  <c r="T398" s="1"/>
  <c r="N382"/>
  <c r="N398" s="1"/>
  <c r="U372"/>
  <c r="U397" s="1"/>
  <c r="S246"/>
  <c r="S262" s="1"/>
  <c r="V246"/>
  <c r="V262" s="1"/>
  <c r="T246"/>
  <c r="T262" s="1"/>
  <c r="S372"/>
  <c r="S397" s="1"/>
  <c r="S382"/>
  <c r="S398" s="1"/>
  <c r="R236"/>
  <c r="L372"/>
  <c r="L397" s="1"/>
  <c r="U382"/>
  <c r="U398" s="1"/>
  <c r="K536"/>
  <c r="K697" s="1"/>
  <c r="R536"/>
  <c r="R697" s="1"/>
  <c r="V536"/>
  <c r="V697" s="1"/>
  <c r="AD75" i="18" s="1"/>
  <c r="O522" i="16"/>
  <c r="O692" s="1"/>
  <c r="L522"/>
  <c r="L692" s="1"/>
  <c r="N522"/>
  <c r="N692" s="1"/>
  <c r="U536"/>
  <c r="U697" s="1"/>
  <c r="M522"/>
  <c r="M692" s="1"/>
  <c r="S522"/>
  <c r="S692" s="1"/>
  <c r="T522"/>
  <c r="T692" s="1"/>
  <c r="K246"/>
  <c r="R246"/>
  <c r="V236"/>
  <c r="V261" s="1"/>
  <c r="N236"/>
  <c r="N261" s="1"/>
  <c r="L236"/>
  <c r="L261" s="1"/>
  <c r="U236"/>
  <c r="U261" s="1"/>
  <c r="M236"/>
  <c r="M261" s="1"/>
  <c r="K382"/>
  <c r="K236"/>
  <c r="V372"/>
  <c r="V397" s="1"/>
  <c r="K372"/>
  <c r="L382"/>
  <c r="L398" s="1"/>
  <c r="R372"/>
  <c r="O246"/>
  <c r="O262" s="1"/>
  <c r="M246"/>
  <c r="M262" s="1"/>
  <c r="L246"/>
  <c r="L262" s="1"/>
  <c r="N246"/>
  <c r="N262" s="1"/>
  <c r="U246"/>
  <c r="U262" s="1"/>
  <c r="K522"/>
  <c r="K692" s="1"/>
  <c r="T372"/>
  <c r="T397" s="1"/>
  <c r="M372"/>
  <c r="M397" s="1"/>
  <c r="R382"/>
  <c r="V382"/>
  <c r="V398" s="1"/>
  <c r="O372"/>
  <c r="O397" s="1"/>
  <c r="N372"/>
  <c r="N397" s="1"/>
  <c r="M536"/>
  <c r="M697" s="1"/>
  <c r="V522"/>
  <c r="V692" s="1"/>
  <c r="T536"/>
  <c r="T697" s="1"/>
  <c r="L536"/>
  <c r="L697" s="1"/>
  <c r="W74" i="18" s="1"/>
  <c r="N536" i="16"/>
  <c r="N697" s="1"/>
  <c r="R522"/>
  <c r="R692" s="1"/>
  <c r="U522"/>
  <c r="U692" s="1"/>
  <c r="S536"/>
  <c r="S697" s="1"/>
  <c r="AD74" i="18" s="1"/>
  <c r="O536" i="16"/>
  <c r="O697" s="1"/>
  <c r="W75" i="18" s="1"/>
  <c r="O236" i="16"/>
  <c r="O261" s="1"/>
  <c r="S236"/>
  <c r="S261" s="1"/>
  <c r="T236"/>
  <c r="T261" s="1"/>
  <c r="I88" i="10"/>
  <c r="H88"/>
  <c r="I63"/>
  <c r="H63"/>
  <c r="C36" i="15"/>
  <c r="W26"/>
  <c r="W36" s="1"/>
  <c r="H55"/>
  <c r="H28"/>
  <c r="E586" i="16"/>
  <c r="E716" s="1"/>
  <c r="E658"/>
  <c r="E307"/>
  <c r="E336" s="1"/>
  <c r="E353" s="1"/>
  <c r="E361" s="1"/>
  <c r="E363" s="1"/>
  <c r="E371" s="1"/>
  <c r="E373" s="1"/>
  <c r="E381" s="1"/>
  <c r="E383" s="1"/>
  <c r="F585"/>
  <c r="E343"/>
  <c r="E391"/>
  <c r="F400"/>
  <c r="F662"/>
  <c r="D391"/>
  <c r="D409" s="1"/>
  <c r="G391"/>
  <c r="G409" s="1"/>
  <c r="H391"/>
  <c r="H409" s="1"/>
  <c r="D343"/>
  <c r="D307"/>
  <c r="H307"/>
  <c r="H336" s="1"/>
  <c r="H353" s="1"/>
  <c r="H361" s="1"/>
  <c r="H343"/>
  <c r="G307"/>
  <c r="G336" s="1"/>
  <c r="G353" s="1"/>
  <c r="G361" s="1"/>
  <c r="G343"/>
  <c r="H586"/>
  <c r="H716" s="1"/>
  <c r="H658"/>
  <c r="I644"/>
  <c r="R263" i="17" s="1"/>
  <c r="I581" i="16"/>
  <c r="I712" s="1"/>
  <c r="D659"/>
  <c r="D586"/>
  <c r="I659"/>
  <c r="G586"/>
  <c r="G716" s="1"/>
  <c r="G658"/>
  <c r="I217"/>
  <c r="D225"/>
  <c r="D227" s="1"/>
  <c r="I227" s="1"/>
  <c r="G84" i="14"/>
  <c r="G83"/>
  <c r="I63" i="7"/>
  <c r="I67"/>
  <c r="I71"/>
  <c r="I75"/>
  <c r="I79"/>
  <c r="I83"/>
  <c r="I87"/>
  <c r="I91"/>
  <c r="I95"/>
  <c r="G62"/>
  <c r="G66"/>
  <c r="G70"/>
  <c r="G74"/>
  <c r="G78"/>
  <c r="G82"/>
  <c r="G86"/>
  <c r="G90"/>
  <c r="G94"/>
  <c r="G59"/>
  <c r="I62"/>
  <c r="I66"/>
  <c r="I70"/>
  <c r="I74"/>
  <c r="I78"/>
  <c r="I82"/>
  <c r="I86"/>
  <c r="I90"/>
  <c r="I94"/>
  <c r="G61"/>
  <c r="H11" i="12" s="1"/>
  <c r="G65" i="7"/>
  <c r="G69"/>
  <c r="G73"/>
  <c r="H12" i="12" s="1"/>
  <c r="G77" i="7"/>
  <c r="G81"/>
  <c r="G85"/>
  <c r="G89"/>
  <c r="G93"/>
  <c r="I59"/>
  <c r="I61"/>
  <c r="G11" i="12" s="1"/>
  <c r="I65" i="7"/>
  <c r="I69"/>
  <c r="I73"/>
  <c r="G12" i="12" s="1"/>
  <c r="I77" i="7"/>
  <c r="I81"/>
  <c r="I85"/>
  <c r="I89"/>
  <c r="I93"/>
  <c r="G60"/>
  <c r="G64"/>
  <c r="G68"/>
  <c r="G72"/>
  <c r="G76"/>
  <c r="G80"/>
  <c r="G84"/>
  <c r="G88"/>
  <c r="G92"/>
  <c r="G96"/>
  <c r="I60"/>
  <c r="I64"/>
  <c r="I68"/>
  <c r="I72"/>
  <c r="I76"/>
  <c r="I80"/>
  <c r="I84"/>
  <c r="I88"/>
  <c r="I92"/>
  <c r="I96"/>
  <c r="G63"/>
  <c r="G67"/>
  <c r="H10" i="12" s="1"/>
  <c r="G71" i="7"/>
  <c r="G75"/>
  <c r="G79"/>
  <c r="G83"/>
  <c r="G87"/>
  <c r="G91"/>
  <c r="G95"/>
  <c r="A38" i="4"/>
  <c r="A47"/>
  <c r="A37"/>
  <c r="A36"/>
  <c r="A39"/>
  <c r="R134" i="16" l="1"/>
  <c r="R438" s="1"/>
  <c r="U136"/>
  <c r="U333" s="1"/>
  <c r="G65" i="18"/>
  <c r="G41"/>
  <c r="H65"/>
  <c r="G36"/>
  <c r="H86"/>
  <c r="H24"/>
  <c r="G86"/>
  <c r="H41"/>
  <c r="H36"/>
  <c r="G24"/>
  <c r="S427" i="16"/>
  <c r="S320"/>
  <c r="S184"/>
  <c r="S456"/>
  <c r="S291"/>
  <c r="S155"/>
  <c r="R331"/>
  <c r="R302"/>
  <c r="R166"/>
  <c r="U423"/>
  <c r="U316"/>
  <c r="U180"/>
  <c r="U452"/>
  <c r="U151"/>
  <c r="U287"/>
  <c r="L465"/>
  <c r="L436"/>
  <c r="L329"/>
  <c r="L193"/>
  <c r="L300"/>
  <c r="L164"/>
  <c r="L462"/>
  <c r="L433"/>
  <c r="L326"/>
  <c r="L190"/>
  <c r="L161"/>
  <c r="L297"/>
  <c r="L458"/>
  <c r="L429"/>
  <c r="L322"/>
  <c r="L293"/>
  <c r="L157"/>
  <c r="L186"/>
  <c r="L455"/>
  <c r="L426"/>
  <c r="L319"/>
  <c r="L290"/>
  <c r="L154"/>
  <c r="L183"/>
  <c r="R432"/>
  <c r="R325"/>
  <c r="R189"/>
  <c r="R461"/>
  <c r="R160"/>
  <c r="R296"/>
  <c r="N465"/>
  <c r="N436"/>
  <c r="N329"/>
  <c r="N193"/>
  <c r="N164"/>
  <c r="N300"/>
  <c r="N458"/>
  <c r="N429"/>
  <c r="N322"/>
  <c r="N186"/>
  <c r="N293"/>
  <c r="N157"/>
  <c r="S425"/>
  <c r="S318"/>
  <c r="S182"/>
  <c r="S454"/>
  <c r="S153"/>
  <c r="S289"/>
  <c r="R436"/>
  <c r="R329"/>
  <c r="R193"/>
  <c r="R465"/>
  <c r="R164"/>
  <c r="R300"/>
  <c r="R458"/>
  <c r="R429"/>
  <c r="R322"/>
  <c r="R186"/>
  <c r="R293"/>
  <c r="R157"/>
  <c r="U451"/>
  <c r="U422"/>
  <c r="U315"/>
  <c r="U179"/>
  <c r="U286"/>
  <c r="U150"/>
  <c r="N466"/>
  <c r="N437"/>
  <c r="N330"/>
  <c r="N194"/>
  <c r="N165"/>
  <c r="N301"/>
  <c r="N459"/>
  <c r="N430"/>
  <c r="N323"/>
  <c r="N187"/>
  <c r="N294"/>
  <c r="N158"/>
  <c r="S426"/>
  <c r="S319"/>
  <c r="S183"/>
  <c r="S455"/>
  <c r="S290"/>
  <c r="S154"/>
  <c r="K465"/>
  <c r="K436"/>
  <c r="K329"/>
  <c r="K193"/>
  <c r="K300"/>
  <c r="K164"/>
  <c r="K462"/>
  <c r="K433"/>
  <c r="K326"/>
  <c r="K190"/>
  <c r="K297"/>
  <c r="K161"/>
  <c r="K458"/>
  <c r="K429"/>
  <c r="K322"/>
  <c r="K186"/>
  <c r="K293"/>
  <c r="K157"/>
  <c r="K455"/>
  <c r="K426"/>
  <c r="K319"/>
  <c r="K290"/>
  <c r="K154"/>
  <c r="K183"/>
  <c r="U197"/>
  <c r="U432"/>
  <c r="U325"/>
  <c r="U189"/>
  <c r="U461"/>
  <c r="U296"/>
  <c r="U160"/>
  <c r="U428"/>
  <c r="U321"/>
  <c r="U185"/>
  <c r="U457"/>
  <c r="U156"/>
  <c r="U292"/>
  <c r="U425"/>
  <c r="U318"/>
  <c r="U182"/>
  <c r="U289"/>
  <c r="U454"/>
  <c r="U153"/>
  <c r="R466"/>
  <c r="R437"/>
  <c r="R330"/>
  <c r="R194"/>
  <c r="R301"/>
  <c r="R165"/>
  <c r="R430"/>
  <c r="R323"/>
  <c r="R187"/>
  <c r="R459"/>
  <c r="R294"/>
  <c r="R158"/>
  <c r="S437"/>
  <c r="S330"/>
  <c r="S466"/>
  <c r="S194"/>
  <c r="S301"/>
  <c r="S165"/>
  <c r="R431"/>
  <c r="R324"/>
  <c r="R188"/>
  <c r="R460"/>
  <c r="R295"/>
  <c r="R159"/>
  <c r="N461"/>
  <c r="N432"/>
  <c r="N325"/>
  <c r="N296"/>
  <c r="N160"/>
  <c r="N189"/>
  <c r="N457"/>
  <c r="N428"/>
  <c r="N321"/>
  <c r="N185"/>
  <c r="N292"/>
  <c r="N156"/>
  <c r="L466"/>
  <c r="L437"/>
  <c r="L330"/>
  <c r="L301"/>
  <c r="L165"/>
  <c r="L194"/>
  <c r="L463"/>
  <c r="L434"/>
  <c r="L327"/>
  <c r="L162"/>
  <c r="L191"/>
  <c r="L298"/>
  <c r="L459"/>
  <c r="L430"/>
  <c r="L323"/>
  <c r="L187"/>
  <c r="L158"/>
  <c r="L294"/>
  <c r="R428"/>
  <c r="R321"/>
  <c r="R185"/>
  <c r="R457"/>
  <c r="R292"/>
  <c r="R156"/>
  <c r="N455"/>
  <c r="N426"/>
  <c r="N319"/>
  <c r="N183"/>
  <c r="N290"/>
  <c r="N154"/>
  <c r="R426"/>
  <c r="R319"/>
  <c r="R183"/>
  <c r="R455"/>
  <c r="R290"/>
  <c r="R154"/>
  <c r="K466"/>
  <c r="K437"/>
  <c r="K330"/>
  <c r="K194"/>
  <c r="K301"/>
  <c r="K165"/>
  <c r="K463"/>
  <c r="K434"/>
  <c r="K327"/>
  <c r="K298"/>
  <c r="K162"/>
  <c r="K191"/>
  <c r="K459"/>
  <c r="K430"/>
  <c r="K323"/>
  <c r="K187"/>
  <c r="K158"/>
  <c r="K294"/>
  <c r="K452"/>
  <c r="K423"/>
  <c r="K316"/>
  <c r="K287"/>
  <c r="K151"/>
  <c r="K180"/>
  <c r="U436"/>
  <c r="U329"/>
  <c r="U465"/>
  <c r="U300"/>
  <c r="U193"/>
  <c r="U164"/>
  <c r="U433"/>
  <c r="U326"/>
  <c r="U190"/>
  <c r="U462"/>
  <c r="U297"/>
  <c r="U161"/>
  <c r="U429"/>
  <c r="U322"/>
  <c r="U186"/>
  <c r="U458"/>
  <c r="U157"/>
  <c r="U293"/>
  <c r="U455"/>
  <c r="U426"/>
  <c r="U319"/>
  <c r="U183"/>
  <c r="U290"/>
  <c r="U154"/>
  <c r="L452"/>
  <c r="L423"/>
  <c r="L316"/>
  <c r="L180"/>
  <c r="L287"/>
  <c r="L151"/>
  <c r="N460"/>
  <c r="N431"/>
  <c r="N324"/>
  <c r="N188"/>
  <c r="N295"/>
  <c r="N159"/>
  <c r="N468"/>
  <c r="N439"/>
  <c r="N332"/>
  <c r="N196"/>
  <c r="N167"/>
  <c r="N303"/>
  <c r="S434"/>
  <c r="S327"/>
  <c r="S191"/>
  <c r="S463"/>
  <c r="S298"/>
  <c r="S162"/>
  <c r="S423"/>
  <c r="S316"/>
  <c r="S180"/>
  <c r="S287"/>
  <c r="S452"/>
  <c r="S151"/>
  <c r="S439"/>
  <c r="S332"/>
  <c r="S196"/>
  <c r="S468"/>
  <c r="S167"/>
  <c r="S303"/>
  <c r="N454"/>
  <c r="N425"/>
  <c r="N318"/>
  <c r="N182"/>
  <c r="N153"/>
  <c r="N289"/>
  <c r="L468"/>
  <c r="L439"/>
  <c r="L332"/>
  <c r="L196"/>
  <c r="L303"/>
  <c r="L167"/>
  <c r="L460"/>
  <c r="L431"/>
  <c r="L324"/>
  <c r="L188"/>
  <c r="L159"/>
  <c r="L295"/>
  <c r="R454"/>
  <c r="R425"/>
  <c r="R318"/>
  <c r="R182"/>
  <c r="R289"/>
  <c r="R153"/>
  <c r="L451"/>
  <c r="L422"/>
  <c r="L315"/>
  <c r="L179"/>
  <c r="L286"/>
  <c r="L150"/>
  <c r="S461"/>
  <c r="S432"/>
  <c r="S325"/>
  <c r="S189"/>
  <c r="S296"/>
  <c r="S160"/>
  <c r="S433"/>
  <c r="S326"/>
  <c r="S190"/>
  <c r="S462"/>
  <c r="S297"/>
  <c r="S161"/>
  <c r="S422"/>
  <c r="S315"/>
  <c r="S179"/>
  <c r="S451"/>
  <c r="S150"/>
  <c r="S286"/>
  <c r="K468"/>
  <c r="K439"/>
  <c r="K332"/>
  <c r="K303"/>
  <c r="K167"/>
  <c r="K196"/>
  <c r="K460"/>
  <c r="K431"/>
  <c r="K324"/>
  <c r="K159"/>
  <c r="K188"/>
  <c r="K295"/>
  <c r="U437"/>
  <c r="U330"/>
  <c r="U194"/>
  <c r="U466"/>
  <c r="U301"/>
  <c r="U165"/>
  <c r="U463"/>
  <c r="U434"/>
  <c r="U327"/>
  <c r="U191"/>
  <c r="U298"/>
  <c r="U162"/>
  <c r="U459"/>
  <c r="U430"/>
  <c r="U323"/>
  <c r="U187"/>
  <c r="U294"/>
  <c r="U158"/>
  <c r="S430"/>
  <c r="S323"/>
  <c r="S187"/>
  <c r="S459"/>
  <c r="S294"/>
  <c r="S158"/>
  <c r="R439"/>
  <c r="R332"/>
  <c r="R468"/>
  <c r="R196"/>
  <c r="R303"/>
  <c r="R167"/>
  <c r="K451"/>
  <c r="K422"/>
  <c r="K315"/>
  <c r="K179"/>
  <c r="K286"/>
  <c r="K150"/>
  <c r="S431"/>
  <c r="S324"/>
  <c r="S188"/>
  <c r="S460"/>
  <c r="S295"/>
  <c r="S159"/>
  <c r="L461"/>
  <c r="L432"/>
  <c r="L325"/>
  <c r="L189"/>
  <c r="L296"/>
  <c r="L160"/>
  <c r="L457"/>
  <c r="L428"/>
  <c r="L321"/>
  <c r="L185"/>
  <c r="L292"/>
  <c r="L156"/>
  <c r="L454"/>
  <c r="L425"/>
  <c r="L318"/>
  <c r="L182"/>
  <c r="L289"/>
  <c r="L153"/>
  <c r="N462"/>
  <c r="N433"/>
  <c r="N326"/>
  <c r="N190"/>
  <c r="N161"/>
  <c r="N297"/>
  <c r="S457"/>
  <c r="S428"/>
  <c r="S321"/>
  <c r="S185"/>
  <c r="S292"/>
  <c r="S156"/>
  <c r="N451"/>
  <c r="N422"/>
  <c r="N315"/>
  <c r="N179"/>
  <c r="N286"/>
  <c r="N150"/>
  <c r="R462"/>
  <c r="R433"/>
  <c r="R326"/>
  <c r="R190"/>
  <c r="R297"/>
  <c r="R161"/>
  <c r="R422"/>
  <c r="R315"/>
  <c r="R179"/>
  <c r="R451"/>
  <c r="R150"/>
  <c r="R286"/>
  <c r="S465"/>
  <c r="S436"/>
  <c r="S329"/>
  <c r="S193"/>
  <c r="S300"/>
  <c r="S164"/>
  <c r="N463"/>
  <c r="N434"/>
  <c r="N327"/>
  <c r="N191"/>
  <c r="N298"/>
  <c r="N162"/>
  <c r="S429"/>
  <c r="S322"/>
  <c r="S186"/>
  <c r="S458"/>
  <c r="S293"/>
  <c r="S157"/>
  <c r="N452"/>
  <c r="N423"/>
  <c r="N316"/>
  <c r="N180"/>
  <c r="N151"/>
  <c r="N287"/>
  <c r="K461"/>
  <c r="K432"/>
  <c r="K325"/>
  <c r="K189"/>
  <c r="K160"/>
  <c r="K296"/>
  <c r="K457"/>
  <c r="K428"/>
  <c r="K321"/>
  <c r="K185"/>
  <c r="K156"/>
  <c r="K292"/>
  <c r="K454"/>
  <c r="K425"/>
  <c r="K318"/>
  <c r="K182"/>
  <c r="K289"/>
  <c r="K153"/>
  <c r="U439"/>
  <c r="U332"/>
  <c r="U468"/>
  <c r="U303"/>
  <c r="U196"/>
  <c r="U167"/>
  <c r="U431"/>
  <c r="U324"/>
  <c r="U188"/>
  <c r="U460"/>
  <c r="U295"/>
  <c r="U159"/>
  <c r="R434"/>
  <c r="R327"/>
  <c r="R191"/>
  <c r="R463"/>
  <c r="R298"/>
  <c r="R162"/>
  <c r="R423"/>
  <c r="R316"/>
  <c r="R180"/>
  <c r="R452"/>
  <c r="R287"/>
  <c r="R151"/>
  <c r="E400"/>
  <c r="E671" s="1"/>
  <c r="E409"/>
  <c r="AD69" i="18"/>
  <c r="AD78"/>
  <c r="AD83"/>
  <c r="AD72"/>
  <c r="AD82"/>
  <c r="AD76"/>
  <c r="AD77"/>
  <c r="AD68"/>
  <c r="AD70"/>
  <c r="AD71"/>
  <c r="W77"/>
  <c r="W78"/>
  <c r="W72"/>
  <c r="W83"/>
  <c r="W76"/>
  <c r="W69"/>
  <c r="W68"/>
  <c r="W71"/>
  <c r="W82"/>
  <c r="W70"/>
  <c r="W85"/>
  <c r="W79"/>
  <c r="W81"/>
  <c r="W80"/>
  <c r="W73"/>
  <c r="W64"/>
  <c r="W48"/>
  <c r="W46"/>
  <c r="W61"/>
  <c r="W55"/>
  <c r="W45"/>
  <c r="AD54"/>
  <c r="AD53"/>
  <c r="AD51"/>
  <c r="W53"/>
  <c r="W51"/>
  <c r="W54"/>
  <c r="AD49"/>
  <c r="AD58"/>
  <c r="AD60"/>
  <c r="AD47"/>
  <c r="AD52"/>
  <c r="AD63"/>
  <c r="AD56"/>
  <c r="AD50"/>
  <c r="AD59"/>
  <c r="AD62"/>
  <c r="AD57"/>
  <c r="W60"/>
  <c r="W58"/>
  <c r="W63"/>
  <c r="W57"/>
  <c r="W62"/>
  <c r="W52"/>
  <c r="W50"/>
  <c r="W56"/>
  <c r="W49"/>
  <c r="W59"/>
  <c r="W47"/>
  <c r="AD85"/>
  <c r="AD80"/>
  <c r="AD73"/>
  <c r="AD79"/>
  <c r="AD81"/>
  <c r="AD64"/>
  <c r="AD55"/>
  <c r="AD48"/>
  <c r="AD46"/>
  <c r="AD61"/>
  <c r="AD45"/>
  <c r="U120" i="16"/>
  <c r="L136"/>
  <c r="R136"/>
  <c r="N120"/>
  <c r="R131"/>
  <c r="R120"/>
  <c r="S134"/>
  <c r="N131"/>
  <c r="P522"/>
  <c r="P692" s="1"/>
  <c r="W522"/>
  <c r="W692" s="1"/>
  <c r="P536"/>
  <c r="P697" s="1"/>
  <c r="F715"/>
  <c r="L123"/>
  <c r="S136"/>
  <c r="K123"/>
  <c r="M12" i="12"/>
  <c r="N12" s="1"/>
  <c r="M10"/>
  <c r="N10" s="1"/>
  <c r="M11"/>
  <c r="N11" s="1"/>
  <c r="K12"/>
  <c r="L12" s="1"/>
  <c r="K397" i="16"/>
  <c r="P372"/>
  <c r="U117"/>
  <c r="U66"/>
  <c r="G79"/>
  <c r="J82"/>
  <c r="G80"/>
  <c r="J80"/>
  <c r="G82"/>
  <c r="G81"/>
  <c r="J81"/>
  <c r="J79"/>
  <c r="H100" i="10"/>
  <c r="H102" s="1"/>
  <c r="F101"/>
  <c r="F102" s="1"/>
  <c r="G101"/>
  <c r="G102" s="1"/>
  <c r="I100"/>
  <c r="I102" s="1"/>
  <c r="F104"/>
  <c r="M38" i="15"/>
  <c r="E38"/>
  <c r="M65"/>
  <c r="G104" i="10"/>
  <c r="I65" i="15"/>
  <c r="E65"/>
  <c r="I38"/>
  <c r="N136" i="16"/>
  <c r="K136"/>
  <c r="U134"/>
  <c r="U131"/>
  <c r="P382"/>
  <c r="K398"/>
  <c r="R261"/>
  <c r="W236"/>
  <c r="N66"/>
  <c r="N117"/>
  <c r="R66"/>
  <c r="R117"/>
  <c r="K66"/>
  <c r="K117"/>
  <c r="T66"/>
  <c r="W536"/>
  <c r="W697" s="1"/>
  <c r="R397"/>
  <c r="W372"/>
  <c r="K261"/>
  <c r="P236"/>
  <c r="K262"/>
  <c r="P246"/>
  <c r="M66"/>
  <c r="P66"/>
  <c r="L66"/>
  <c r="L117"/>
  <c r="W66"/>
  <c r="N134"/>
  <c r="N123"/>
  <c r="R123"/>
  <c r="W382"/>
  <c r="R398"/>
  <c r="R262"/>
  <c r="W246"/>
  <c r="S66"/>
  <c r="S117"/>
  <c r="V66"/>
  <c r="O66"/>
  <c r="K11" i="12"/>
  <c r="L11" s="1"/>
  <c r="S131" i="16"/>
  <c r="S120"/>
  <c r="L134"/>
  <c r="L131"/>
  <c r="L120"/>
  <c r="K134"/>
  <c r="K131"/>
  <c r="K120"/>
  <c r="U123"/>
  <c r="H29" i="15"/>
  <c r="H56"/>
  <c r="C31"/>
  <c r="C58"/>
  <c r="C68" s="1"/>
  <c r="H30"/>
  <c r="H57"/>
  <c r="H54"/>
  <c r="H27"/>
  <c r="E662" i="16"/>
  <c r="F603"/>
  <c r="F729" s="1"/>
  <c r="E585"/>
  <c r="G400"/>
  <c r="G662"/>
  <c r="F671"/>
  <c r="H400"/>
  <c r="H662"/>
  <c r="D400"/>
  <c r="D671" s="1"/>
  <c r="D662"/>
  <c r="I391"/>
  <c r="I662" s="1"/>
  <c r="G363"/>
  <c r="G371" s="1"/>
  <c r="G373" s="1"/>
  <c r="G381" s="1"/>
  <c r="G383" s="1"/>
  <c r="H363"/>
  <c r="H371" s="1"/>
  <c r="H373" s="1"/>
  <c r="H381" s="1"/>
  <c r="H383" s="1"/>
  <c r="I343"/>
  <c r="D336"/>
  <c r="I307"/>
  <c r="D658"/>
  <c r="D585"/>
  <c r="I658"/>
  <c r="D716"/>
  <c r="G585"/>
  <c r="I586"/>
  <c r="I716" s="1"/>
  <c r="H585"/>
  <c r="I225"/>
  <c r="D235"/>
  <c r="G10" i="12"/>
  <c r="K10" s="1"/>
  <c r="L10" s="1"/>
  <c r="H13"/>
  <c r="M13" s="1"/>
  <c r="N13" s="1"/>
  <c r="H9"/>
  <c r="M9" s="1"/>
  <c r="N9" s="1"/>
  <c r="H14"/>
  <c r="M14" s="1"/>
  <c r="N14" s="1"/>
  <c r="G25" s="1"/>
  <c r="G14"/>
  <c r="K14" s="1"/>
  <c r="L14" s="1"/>
  <c r="F25" s="1"/>
  <c r="G9"/>
  <c r="K9" s="1"/>
  <c r="L9" s="1"/>
  <c r="G13"/>
  <c r="K13" s="1"/>
  <c r="L13" s="1"/>
  <c r="F23" s="1"/>
  <c r="R467" i="16" l="1"/>
  <c r="R195"/>
  <c r="U469"/>
  <c r="U304"/>
  <c r="U440"/>
  <c r="U168"/>
  <c r="G23" i="12"/>
  <c r="N550" i="16" s="1"/>
  <c r="N702" s="1"/>
  <c r="K453"/>
  <c r="K424"/>
  <c r="K317"/>
  <c r="K181"/>
  <c r="K152"/>
  <c r="K288"/>
  <c r="U427"/>
  <c r="U320"/>
  <c r="U184"/>
  <c r="U456"/>
  <c r="U291"/>
  <c r="U155"/>
  <c r="L453"/>
  <c r="L424"/>
  <c r="L317"/>
  <c r="L181"/>
  <c r="L288"/>
  <c r="L152"/>
  <c r="S435"/>
  <c r="S328"/>
  <c r="S192"/>
  <c r="S464"/>
  <c r="S163"/>
  <c r="S299"/>
  <c r="S306" s="1"/>
  <c r="S345" s="1"/>
  <c r="S450"/>
  <c r="S421"/>
  <c r="S314"/>
  <c r="S178"/>
  <c r="S285"/>
  <c r="S149"/>
  <c r="N467"/>
  <c r="N438"/>
  <c r="N331"/>
  <c r="N195"/>
  <c r="N302"/>
  <c r="N166"/>
  <c r="R450"/>
  <c r="R421"/>
  <c r="R314"/>
  <c r="R178"/>
  <c r="R285"/>
  <c r="R149"/>
  <c r="U435"/>
  <c r="U328"/>
  <c r="U192"/>
  <c r="U464"/>
  <c r="U299"/>
  <c r="U163"/>
  <c r="K456"/>
  <c r="K427"/>
  <c r="K320"/>
  <c r="K184"/>
  <c r="K155"/>
  <c r="K291"/>
  <c r="S438"/>
  <c r="S331"/>
  <c r="S467"/>
  <c r="S195"/>
  <c r="S166"/>
  <c r="S302"/>
  <c r="R440"/>
  <c r="R333"/>
  <c r="R197"/>
  <c r="R469"/>
  <c r="R304"/>
  <c r="R168"/>
  <c r="K467"/>
  <c r="K438"/>
  <c r="K331"/>
  <c r="K195"/>
  <c r="K302"/>
  <c r="K166"/>
  <c r="S453"/>
  <c r="S424"/>
  <c r="S317"/>
  <c r="S181"/>
  <c r="S288"/>
  <c r="S152"/>
  <c r="N456"/>
  <c r="N427"/>
  <c r="N320"/>
  <c r="N291"/>
  <c r="N155"/>
  <c r="N184"/>
  <c r="N469"/>
  <c r="N440"/>
  <c r="N333"/>
  <c r="N168"/>
  <c r="N197"/>
  <c r="N304"/>
  <c r="N464"/>
  <c r="N435"/>
  <c r="N328"/>
  <c r="N299"/>
  <c r="N163"/>
  <c r="N192"/>
  <c r="N453"/>
  <c r="N424"/>
  <c r="N317"/>
  <c r="N152"/>
  <c r="N181"/>
  <c r="N288"/>
  <c r="K464"/>
  <c r="K435"/>
  <c r="K328"/>
  <c r="K192"/>
  <c r="K299"/>
  <c r="K163"/>
  <c r="L467"/>
  <c r="L438"/>
  <c r="L331"/>
  <c r="L195"/>
  <c r="L302"/>
  <c r="L166"/>
  <c r="R427"/>
  <c r="R320"/>
  <c r="R184"/>
  <c r="R456"/>
  <c r="R291"/>
  <c r="R155"/>
  <c r="L450"/>
  <c r="L421"/>
  <c r="L314"/>
  <c r="L178"/>
  <c r="L285"/>
  <c r="L149"/>
  <c r="K450"/>
  <c r="K421"/>
  <c r="K314"/>
  <c r="K285"/>
  <c r="K178"/>
  <c r="K149"/>
  <c r="N450"/>
  <c r="N421"/>
  <c r="N314"/>
  <c r="N178"/>
  <c r="N285"/>
  <c r="N149"/>
  <c r="K469"/>
  <c r="K440"/>
  <c r="K333"/>
  <c r="K197"/>
  <c r="K168"/>
  <c r="K304"/>
  <c r="L456"/>
  <c r="L427"/>
  <c r="L320"/>
  <c r="L184"/>
  <c r="L199" s="1"/>
  <c r="L211" s="1"/>
  <c r="L155"/>
  <c r="L291"/>
  <c r="R435"/>
  <c r="R328"/>
  <c r="R192"/>
  <c r="R464"/>
  <c r="R471" s="1"/>
  <c r="R163"/>
  <c r="R299"/>
  <c r="U424"/>
  <c r="U317"/>
  <c r="U181"/>
  <c r="U453"/>
  <c r="U288"/>
  <c r="U152"/>
  <c r="L464"/>
  <c r="L435"/>
  <c r="L328"/>
  <c r="L192"/>
  <c r="L163"/>
  <c r="L299"/>
  <c r="U467"/>
  <c r="U438"/>
  <c r="U331"/>
  <c r="U195"/>
  <c r="U302"/>
  <c r="U166"/>
  <c r="U421"/>
  <c r="U314"/>
  <c r="U450"/>
  <c r="U178"/>
  <c r="U149"/>
  <c r="U285"/>
  <c r="S469"/>
  <c r="S440"/>
  <c r="S333"/>
  <c r="S197"/>
  <c r="S304"/>
  <c r="S168"/>
  <c r="R424"/>
  <c r="R317"/>
  <c r="R181"/>
  <c r="R288"/>
  <c r="R453"/>
  <c r="R152"/>
  <c r="L469"/>
  <c r="L440"/>
  <c r="L333"/>
  <c r="L197"/>
  <c r="L304"/>
  <c r="L168"/>
  <c r="G26" i="12"/>
  <c r="M550" i="16" s="1"/>
  <c r="M702" s="1"/>
  <c r="E715"/>
  <c r="H715"/>
  <c r="G715"/>
  <c r="N170"/>
  <c r="N209" s="1"/>
  <c r="L137"/>
  <c r="K137"/>
  <c r="P398"/>
  <c r="Y38" i="15"/>
  <c r="O38"/>
  <c r="Q38" s="1"/>
  <c r="G105" i="10"/>
  <c r="G106"/>
  <c r="AI42" i="14"/>
  <c r="AI72"/>
  <c r="O65" i="15"/>
  <c r="Q65" s="1"/>
  <c r="F105" i="10"/>
  <c r="F106"/>
  <c r="U137" i="16"/>
  <c r="P397"/>
  <c r="S170"/>
  <c r="S209" s="1"/>
  <c r="S335"/>
  <c r="S347" s="1"/>
  <c r="S199"/>
  <c r="S211" s="1"/>
  <c r="S442"/>
  <c r="S471"/>
  <c r="S104"/>
  <c r="S108" s="1"/>
  <c r="S643" s="1"/>
  <c r="S641"/>
  <c r="P104"/>
  <c r="P641"/>
  <c r="P261"/>
  <c r="R104"/>
  <c r="R108" s="1"/>
  <c r="R641"/>
  <c r="N104"/>
  <c r="N641"/>
  <c r="W261"/>
  <c r="U104"/>
  <c r="U641"/>
  <c r="S137"/>
  <c r="W398"/>
  <c r="R137"/>
  <c r="N137"/>
  <c r="O641"/>
  <c r="O104"/>
  <c r="O106" s="1"/>
  <c r="O107" s="1"/>
  <c r="V104"/>
  <c r="V106" s="1"/>
  <c r="V107" s="1"/>
  <c r="V641"/>
  <c r="W262"/>
  <c r="W104"/>
  <c r="W641"/>
  <c r="L104"/>
  <c r="L108" s="1"/>
  <c r="L643" s="1"/>
  <c r="L641"/>
  <c r="M104"/>
  <c r="M106" s="1"/>
  <c r="M107" s="1"/>
  <c r="M641"/>
  <c r="P262"/>
  <c r="W397"/>
  <c r="T104"/>
  <c r="T106" s="1"/>
  <c r="T107" s="1"/>
  <c r="T641"/>
  <c r="K104"/>
  <c r="K108" s="1"/>
  <c r="K641"/>
  <c r="H35" i="15"/>
  <c r="H43" s="1"/>
  <c r="H34"/>
  <c r="H42" s="1"/>
  <c r="H62"/>
  <c r="H70" s="1"/>
  <c r="H61"/>
  <c r="H69" s="1"/>
  <c r="H26"/>
  <c r="H36" s="1"/>
  <c r="H53"/>
  <c r="H63" s="1"/>
  <c r="H58"/>
  <c r="H68" s="1"/>
  <c r="H31"/>
  <c r="H41" s="1"/>
  <c r="W31"/>
  <c r="C41"/>
  <c r="E603" i="16"/>
  <c r="E729" s="1"/>
  <c r="G671"/>
  <c r="D674"/>
  <c r="H671"/>
  <c r="I400"/>
  <c r="I671" s="1"/>
  <c r="F674"/>
  <c r="F443"/>
  <c r="F472" s="1"/>
  <c r="F482" s="1"/>
  <c r="F485" s="1"/>
  <c r="F479"/>
  <c r="F677" s="1"/>
  <c r="F591"/>
  <c r="F720" s="1"/>
  <c r="F562"/>
  <c r="E443"/>
  <c r="E472" s="1"/>
  <c r="E482" s="1"/>
  <c r="E485" s="1"/>
  <c r="E674"/>
  <c r="E591"/>
  <c r="E720" s="1"/>
  <c r="E562"/>
  <c r="E479"/>
  <c r="E677" s="1"/>
  <c r="D715"/>
  <c r="D603"/>
  <c r="H603"/>
  <c r="H729" s="1"/>
  <c r="G603"/>
  <c r="G729" s="1"/>
  <c r="D353"/>
  <c r="I336"/>
  <c r="I235"/>
  <c r="D237"/>
  <c r="I237" s="1"/>
  <c r="I585"/>
  <c r="I715" s="1"/>
  <c r="U550"/>
  <c r="U702" s="1"/>
  <c r="L550"/>
  <c r="L702" s="1"/>
  <c r="S550"/>
  <c r="S702" s="1"/>
  <c r="F33" i="14"/>
  <c r="G33" s="1"/>
  <c r="F63"/>
  <c r="G63" s="1"/>
  <c r="F26" i="12"/>
  <c r="F27" s="1"/>
  <c r="L471" i="16" l="1"/>
  <c r="L306"/>
  <c r="L345" s="1"/>
  <c r="L442"/>
  <c r="U169"/>
  <c r="U208" s="1"/>
  <c r="K199"/>
  <c r="K211" s="1"/>
  <c r="L170"/>
  <c r="L209" s="1"/>
  <c r="L215" s="1"/>
  <c r="L259" s="1"/>
  <c r="N335"/>
  <c r="N347" s="1"/>
  <c r="K170"/>
  <c r="G27" i="12"/>
  <c r="U198" i="16"/>
  <c r="U210" s="1"/>
  <c r="U334"/>
  <c r="U346" s="1"/>
  <c r="L335"/>
  <c r="L347" s="1"/>
  <c r="K471"/>
  <c r="U306"/>
  <c r="U345" s="1"/>
  <c r="U305"/>
  <c r="U344" s="1"/>
  <c r="R199"/>
  <c r="R211" s="1"/>
  <c r="N471"/>
  <c r="N199"/>
  <c r="N211" s="1"/>
  <c r="N215" s="1"/>
  <c r="N259" s="1"/>
  <c r="K306"/>
  <c r="K345" s="1"/>
  <c r="N306"/>
  <c r="N345" s="1"/>
  <c r="N442"/>
  <c r="K442"/>
  <c r="AP42" i="14"/>
  <c r="V38" i="15"/>
  <c r="V65"/>
  <c r="AP72" i="14"/>
  <c r="S351" i="16"/>
  <c r="S395" s="1"/>
  <c r="U199"/>
  <c r="U211" s="1"/>
  <c r="U170"/>
  <c r="U209" s="1"/>
  <c r="U442"/>
  <c r="U471"/>
  <c r="U335"/>
  <c r="U347" s="1"/>
  <c r="T108"/>
  <c r="T643" s="1"/>
  <c r="T642"/>
  <c r="T132"/>
  <c r="T126"/>
  <c r="T134"/>
  <c r="T121"/>
  <c r="T122"/>
  <c r="T130"/>
  <c r="T118"/>
  <c r="T135"/>
  <c r="T120"/>
  <c r="T124"/>
  <c r="T125"/>
  <c r="T133"/>
  <c r="T119"/>
  <c r="T127"/>
  <c r="T128"/>
  <c r="T129"/>
  <c r="T117"/>
  <c r="T123"/>
  <c r="T131"/>
  <c r="T136"/>
  <c r="V108"/>
  <c r="V643" s="1"/>
  <c r="V642"/>
  <c r="V133"/>
  <c r="V134"/>
  <c r="V124"/>
  <c r="V121"/>
  <c r="V119"/>
  <c r="V135"/>
  <c r="V120"/>
  <c r="V125"/>
  <c r="V130"/>
  <c r="V118"/>
  <c r="V126"/>
  <c r="V127"/>
  <c r="V132"/>
  <c r="V123"/>
  <c r="V122"/>
  <c r="V136"/>
  <c r="V117"/>
  <c r="V131"/>
  <c r="V128"/>
  <c r="V129"/>
  <c r="N307"/>
  <c r="N348" s="1"/>
  <c r="N305"/>
  <c r="N344" s="1"/>
  <c r="R200"/>
  <c r="R198"/>
  <c r="R472"/>
  <c r="R470"/>
  <c r="S441"/>
  <c r="S443"/>
  <c r="S171"/>
  <c r="S212" s="1"/>
  <c r="S169"/>
  <c r="S208" s="1"/>
  <c r="U106"/>
  <c r="U108"/>
  <c r="U643" s="1"/>
  <c r="N106"/>
  <c r="N108"/>
  <c r="N643" s="1"/>
  <c r="U472"/>
  <c r="U470"/>
  <c r="K334"/>
  <c r="K336"/>
  <c r="L470"/>
  <c r="L472"/>
  <c r="L207"/>
  <c r="L581"/>
  <c r="L712" s="1"/>
  <c r="D88" i="17" s="1"/>
  <c r="L644" i="16"/>
  <c r="L138"/>
  <c r="L255"/>
  <c r="N336"/>
  <c r="N349" s="1"/>
  <c r="N334"/>
  <c r="N346" s="1"/>
  <c r="N470"/>
  <c r="N472"/>
  <c r="R305"/>
  <c r="R307"/>
  <c r="S305"/>
  <c r="S344" s="1"/>
  <c r="S307"/>
  <c r="S348" s="1"/>
  <c r="S472"/>
  <c r="S470"/>
  <c r="U441"/>
  <c r="U443"/>
  <c r="X38" i="15"/>
  <c r="N38"/>
  <c r="T38" s="1"/>
  <c r="U38" s="1"/>
  <c r="AH42" i="14"/>
  <c r="AN42" s="1"/>
  <c r="AO42" s="1"/>
  <c r="I92" i="10"/>
  <c r="L141" s="1"/>
  <c r="K171" i="16"/>
  <c r="K169"/>
  <c r="K470"/>
  <c r="K472"/>
  <c r="L334"/>
  <c r="L346" s="1"/>
  <c r="L336"/>
  <c r="L349" s="1"/>
  <c r="S215"/>
  <c r="S259" s="1"/>
  <c r="U336"/>
  <c r="U349" s="1"/>
  <c r="K643"/>
  <c r="M108"/>
  <c r="M643" s="1"/>
  <c r="M642"/>
  <c r="M136"/>
  <c r="M131"/>
  <c r="M129"/>
  <c r="M132"/>
  <c r="M130"/>
  <c r="M135"/>
  <c r="M128"/>
  <c r="M126"/>
  <c r="M127"/>
  <c r="M124"/>
  <c r="M121"/>
  <c r="M122"/>
  <c r="M120"/>
  <c r="M133"/>
  <c r="M134"/>
  <c r="M125"/>
  <c r="M123"/>
  <c r="M119"/>
  <c r="M117"/>
  <c r="M118"/>
  <c r="N441"/>
  <c r="N443"/>
  <c r="N200"/>
  <c r="N213" s="1"/>
  <c r="N198"/>
  <c r="N210" s="1"/>
  <c r="R171"/>
  <c r="R169"/>
  <c r="R441"/>
  <c r="R443"/>
  <c r="S198"/>
  <c r="S210" s="1"/>
  <c r="S200"/>
  <c r="S213" s="1"/>
  <c r="R643"/>
  <c r="N65" i="15"/>
  <c r="T65" s="1"/>
  <c r="U65" s="1"/>
  <c r="AH72" i="14"/>
  <c r="AN72" s="1"/>
  <c r="AO72" s="1"/>
  <c r="H92" i="10"/>
  <c r="L142" s="1"/>
  <c r="Z38" i="15"/>
  <c r="K441" i="16"/>
  <c r="K443"/>
  <c r="K581"/>
  <c r="K712" s="1"/>
  <c r="D87" i="17" s="1"/>
  <c r="K207" i="16"/>
  <c r="K138"/>
  <c r="K644"/>
  <c r="K255"/>
  <c r="L198"/>
  <c r="L210" s="1"/>
  <c r="L200"/>
  <c r="L213" s="1"/>
  <c r="L307"/>
  <c r="L348" s="1"/>
  <c r="L305"/>
  <c r="L344" s="1"/>
  <c r="R442"/>
  <c r="R170"/>
  <c r="U171"/>
  <c r="U212" s="1"/>
  <c r="U307"/>
  <c r="U348" s="1"/>
  <c r="O108"/>
  <c r="O643" s="1"/>
  <c r="O642"/>
  <c r="O136"/>
  <c r="O132"/>
  <c r="O126"/>
  <c r="O127"/>
  <c r="O121"/>
  <c r="O122"/>
  <c r="O130"/>
  <c r="O131"/>
  <c r="O118"/>
  <c r="O124"/>
  <c r="O125"/>
  <c r="O133"/>
  <c r="O119"/>
  <c r="O134"/>
  <c r="O128"/>
  <c r="O129"/>
  <c r="O123"/>
  <c r="O117"/>
  <c r="O135"/>
  <c r="O120"/>
  <c r="N169"/>
  <c r="N208" s="1"/>
  <c r="N171"/>
  <c r="N212" s="1"/>
  <c r="N644"/>
  <c r="N138"/>
  <c r="N207"/>
  <c r="N255"/>
  <c r="N647" s="1"/>
  <c r="N581"/>
  <c r="N712" s="1"/>
  <c r="D90" i="17" s="1"/>
  <c r="R336" i="16"/>
  <c r="R334"/>
  <c r="R255"/>
  <c r="R581"/>
  <c r="R712" s="1"/>
  <c r="D121" i="17" s="1"/>
  <c r="R644" i="16"/>
  <c r="R138"/>
  <c r="R207"/>
  <c r="S644"/>
  <c r="S138"/>
  <c r="S255"/>
  <c r="S207"/>
  <c r="S581"/>
  <c r="S712" s="1"/>
  <c r="D122" i="17" s="1"/>
  <c r="S336" i="16"/>
  <c r="S349" s="1"/>
  <c r="S334"/>
  <c r="S346" s="1"/>
  <c r="K209"/>
  <c r="U207"/>
  <c r="U255"/>
  <c r="U647" s="1"/>
  <c r="U138"/>
  <c r="U644"/>
  <c r="H63" i="14" s="1"/>
  <c r="U581" i="16"/>
  <c r="U712" s="1"/>
  <c r="D124" i="17" s="1"/>
  <c r="K198" i="16"/>
  <c r="K200"/>
  <c r="K305"/>
  <c r="K307"/>
  <c r="L441"/>
  <c r="L443"/>
  <c r="L171"/>
  <c r="L212" s="1"/>
  <c r="L169"/>
  <c r="L208" s="1"/>
  <c r="R335"/>
  <c r="U200"/>
  <c r="U213" s="1"/>
  <c r="K335"/>
  <c r="R306"/>
  <c r="L54" i="15"/>
  <c r="L27"/>
  <c r="W41"/>
  <c r="L28"/>
  <c r="L55"/>
  <c r="Z32" i="14"/>
  <c r="Z62"/>
  <c r="Z60"/>
  <c r="Z30"/>
  <c r="Z61"/>
  <c r="Z31"/>
  <c r="D673" i="16"/>
  <c r="D562"/>
  <c r="D443"/>
  <c r="D472" s="1"/>
  <c r="I409"/>
  <c r="I674" s="1"/>
  <c r="D479"/>
  <c r="D677" s="1"/>
  <c r="E498"/>
  <c r="G674"/>
  <c r="G479"/>
  <c r="G677" s="1"/>
  <c r="G591"/>
  <c r="G720" s="1"/>
  <c r="G562"/>
  <c r="G443"/>
  <c r="G472" s="1"/>
  <c r="G482" s="1"/>
  <c r="G485" s="1"/>
  <c r="D591"/>
  <c r="D720" s="1"/>
  <c r="F673"/>
  <c r="F590"/>
  <c r="E673"/>
  <c r="E590"/>
  <c r="F498"/>
  <c r="H674"/>
  <c r="H443"/>
  <c r="H472" s="1"/>
  <c r="H482" s="1"/>
  <c r="H485" s="1"/>
  <c r="H562"/>
  <c r="H479"/>
  <c r="H677" s="1"/>
  <c r="H591"/>
  <c r="H720" s="1"/>
  <c r="D729"/>
  <c r="I603"/>
  <c r="I729" s="1"/>
  <c r="I353"/>
  <c r="D361"/>
  <c r="D363" s="1"/>
  <c r="I363" s="1"/>
  <c r="P550"/>
  <c r="P702" s="1"/>
  <c r="T550"/>
  <c r="T702" s="1"/>
  <c r="D245"/>
  <c r="F60" i="14"/>
  <c r="F30"/>
  <c r="L351" i="16" l="1"/>
  <c r="L395" s="1"/>
  <c r="U214"/>
  <c r="U258" s="1"/>
  <c r="U350"/>
  <c r="U394" s="1"/>
  <c r="N351"/>
  <c r="N395" s="1"/>
  <c r="O468"/>
  <c r="O439"/>
  <c r="O332"/>
  <c r="O196"/>
  <c r="O167"/>
  <c r="O303"/>
  <c r="O461"/>
  <c r="O432"/>
  <c r="O325"/>
  <c r="O189"/>
  <c r="O296"/>
  <c r="O160"/>
  <c r="O458"/>
  <c r="O429"/>
  <c r="O322"/>
  <c r="O186"/>
  <c r="O293"/>
  <c r="O157"/>
  <c r="O463"/>
  <c r="O434"/>
  <c r="O327"/>
  <c r="O191"/>
  <c r="O298"/>
  <c r="O162"/>
  <c r="O459"/>
  <c r="O430"/>
  <c r="O323"/>
  <c r="O294"/>
  <c r="O158"/>
  <c r="O187"/>
  <c r="M456"/>
  <c r="M427"/>
  <c r="M320"/>
  <c r="M184"/>
  <c r="M291"/>
  <c r="M155"/>
  <c r="M453"/>
  <c r="M424"/>
  <c r="M317"/>
  <c r="M288"/>
  <c r="M152"/>
  <c r="M181"/>
  <c r="M460"/>
  <c r="M431"/>
  <c r="M324"/>
  <c r="M188"/>
  <c r="M295"/>
  <c r="M159"/>
  <c r="M463"/>
  <c r="M434"/>
  <c r="M327"/>
  <c r="M191"/>
  <c r="M162"/>
  <c r="M298"/>
  <c r="M469"/>
  <c r="M440"/>
  <c r="M333"/>
  <c r="M304"/>
  <c r="M168"/>
  <c r="M197"/>
  <c r="V435"/>
  <c r="V328"/>
  <c r="V192"/>
  <c r="V464"/>
  <c r="V299"/>
  <c r="V163"/>
  <c r="V427"/>
  <c r="V320"/>
  <c r="V184"/>
  <c r="V456"/>
  <c r="V291"/>
  <c r="V155"/>
  <c r="V422"/>
  <c r="V315"/>
  <c r="V179"/>
  <c r="V451"/>
  <c r="V286"/>
  <c r="V150"/>
  <c r="V439"/>
  <c r="V332"/>
  <c r="V468"/>
  <c r="V303"/>
  <c r="V196"/>
  <c r="V167"/>
  <c r="V438"/>
  <c r="V331"/>
  <c r="V467"/>
  <c r="V195"/>
  <c r="V302"/>
  <c r="V166"/>
  <c r="T440"/>
  <c r="T333"/>
  <c r="T469"/>
  <c r="T197"/>
  <c r="T304"/>
  <c r="T168"/>
  <c r="T433"/>
  <c r="T326"/>
  <c r="T190"/>
  <c r="T462"/>
  <c r="T297"/>
  <c r="T161"/>
  <c r="T437"/>
  <c r="T330"/>
  <c r="T466"/>
  <c r="T194"/>
  <c r="T301"/>
  <c r="T165"/>
  <c r="T468"/>
  <c r="T439"/>
  <c r="T332"/>
  <c r="T196"/>
  <c r="T303"/>
  <c r="T167"/>
  <c r="T425"/>
  <c r="T318"/>
  <c r="T182"/>
  <c r="T454"/>
  <c r="T153"/>
  <c r="T289"/>
  <c r="O453"/>
  <c r="O424"/>
  <c r="O317"/>
  <c r="O181"/>
  <c r="O152"/>
  <c r="O288"/>
  <c r="O462"/>
  <c r="O433"/>
  <c r="O326"/>
  <c r="O190"/>
  <c r="O297"/>
  <c r="O161"/>
  <c r="O466"/>
  <c r="O437"/>
  <c r="O330"/>
  <c r="O194"/>
  <c r="O301"/>
  <c r="O165"/>
  <c r="O464"/>
  <c r="O435"/>
  <c r="O328"/>
  <c r="O299"/>
  <c r="O163"/>
  <c r="O192"/>
  <c r="O460"/>
  <c r="O431"/>
  <c r="O324"/>
  <c r="O188"/>
  <c r="O295"/>
  <c r="O159"/>
  <c r="M452"/>
  <c r="M423"/>
  <c r="M316"/>
  <c r="M180"/>
  <c r="M287"/>
  <c r="M151"/>
  <c r="M466"/>
  <c r="P466" s="1"/>
  <c r="M437"/>
  <c r="M330"/>
  <c r="M165"/>
  <c r="M194"/>
  <c r="M301"/>
  <c r="M457"/>
  <c r="M428"/>
  <c r="M321"/>
  <c r="M185"/>
  <c r="M292"/>
  <c r="M156"/>
  <c r="M468"/>
  <c r="M439"/>
  <c r="M332"/>
  <c r="M196"/>
  <c r="M303"/>
  <c r="M167"/>
  <c r="M464"/>
  <c r="M435"/>
  <c r="M328"/>
  <c r="M192"/>
  <c r="M299"/>
  <c r="M163"/>
  <c r="V432"/>
  <c r="V325"/>
  <c r="V189"/>
  <c r="V461"/>
  <c r="V160"/>
  <c r="V296"/>
  <c r="V426"/>
  <c r="V319"/>
  <c r="V183"/>
  <c r="V455"/>
  <c r="V290"/>
  <c r="V154"/>
  <c r="V430"/>
  <c r="V323"/>
  <c r="V187"/>
  <c r="V459"/>
  <c r="V294"/>
  <c r="V158"/>
  <c r="V424"/>
  <c r="V317"/>
  <c r="V181"/>
  <c r="V288"/>
  <c r="V453"/>
  <c r="V152"/>
  <c r="V428"/>
  <c r="V321"/>
  <c r="V185"/>
  <c r="V457"/>
  <c r="V156"/>
  <c r="V292"/>
  <c r="T421"/>
  <c r="T314"/>
  <c r="T450"/>
  <c r="T285"/>
  <c r="T178"/>
  <c r="T149"/>
  <c r="T452"/>
  <c r="T423"/>
  <c r="T316"/>
  <c r="T180"/>
  <c r="T287"/>
  <c r="T151"/>
  <c r="T424"/>
  <c r="T317"/>
  <c r="T181"/>
  <c r="T453"/>
  <c r="T288"/>
  <c r="T152"/>
  <c r="T426"/>
  <c r="T319"/>
  <c r="T183"/>
  <c r="T455"/>
  <c r="T154"/>
  <c r="T290"/>
  <c r="T436"/>
  <c r="T329"/>
  <c r="T465"/>
  <c r="T300"/>
  <c r="T193"/>
  <c r="T164"/>
  <c r="O456"/>
  <c r="O427"/>
  <c r="O320"/>
  <c r="O155"/>
  <c r="O184"/>
  <c r="O291"/>
  <c r="O452"/>
  <c r="O423"/>
  <c r="O316"/>
  <c r="O180"/>
  <c r="O151"/>
  <c r="O287"/>
  <c r="O451"/>
  <c r="O422"/>
  <c r="O315"/>
  <c r="O286"/>
  <c r="O150"/>
  <c r="O179"/>
  <c r="O454"/>
  <c r="O425"/>
  <c r="O318"/>
  <c r="O182"/>
  <c r="O289"/>
  <c r="O153"/>
  <c r="O469"/>
  <c r="O440"/>
  <c r="O333"/>
  <c r="O197"/>
  <c r="O304"/>
  <c r="O168"/>
  <c r="M450"/>
  <c r="M421"/>
  <c r="M314"/>
  <c r="M178"/>
  <c r="M285"/>
  <c r="M149"/>
  <c r="M467"/>
  <c r="M438"/>
  <c r="M331"/>
  <c r="M195"/>
  <c r="M166"/>
  <c r="M302"/>
  <c r="M454"/>
  <c r="M425"/>
  <c r="M318"/>
  <c r="M182"/>
  <c r="M289"/>
  <c r="M153"/>
  <c r="M461"/>
  <c r="M432"/>
  <c r="M325"/>
  <c r="M296"/>
  <c r="M160"/>
  <c r="M189"/>
  <c r="M462"/>
  <c r="M433"/>
  <c r="M326"/>
  <c r="M190"/>
  <c r="M161"/>
  <c r="M297"/>
  <c r="V462"/>
  <c r="V433"/>
  <c r="V326"/>
  <c r="V190"/>
  <c r="V297"/>
  <c r="V161"/>
  <c r="V440"/>
  <c r="V333"/>
  <c r="V197"/>
  <c r="V469"/>
  <c r="V304"/>
  <c r="V168"/>
  <c r="V431"/>
  <c r="V324"/>
  <c r="V188"/>
  <c r="V460"/>
  <c r="V159"/>
  <c r="V295"/>
  <c r="V458"/>
  <c r="V429"/>
  <c r="V322"/>
  <c r="V186"/>
  <c r="V293"/>
  <c r="V157"/>
  <c r="V454"/>
  <c r="V425"/>
  <c r="V318"/>
  <c r="V182"/>
  <c r="V289"/>
  <c r="V153"/>
  <c r="T456"/>
  <c r="T427"/>
  <c r="T320"/>
  <c r="T184"/>
  <c r="T291"/>
  <c r="T155"/>
  <c r="T460"/>
  <c r="T431"/>
  <c r="T324"/>
  <c r="T188"/>
  <c r="T295"/>
  <c r="T159"/>
  <c r="T428"/>
  <c r="T321"/>
  <c r="T185"/>
  <c r="T457"/>
  <c r="T292"/>
  <c r="T156"/>
  <c r="T434"/>
  <c r="T327"/>
  <c r="T191"/>
  <c r="T463"/>
  <c r="T298"/>
  <c r="T162"/>
  <c r="T430"/>
  <c r="T323"/>
  <c r="T187"/>
  <c r="W187" s="1"/>
  <c r="T459"/>
  <c r="T294"/>
  <c r="T158"/>
  <c r="O450"/>
  <c r="O421"/>
  <c r="O314"/>
  <c r="O178"/>
  <c r="O149"/>
  <c r="O285"/>
  <c r="O467"/>
  <c r="O438"/>
  <c r="O331"/>
  <c r="O302"/>
  <c r="O166"/>
  <c r="O195"/>
  <c r="O457"/>
  <c r="O428"/>
  <c r="O321"/>
  <c r="O185"/>
  <c r="O156"/>
  <c r="O292"/>
  <c r="O455"/>
  <c r="O426"/>
  <c r="O319"/>
  <c r="O183"/>
  <c r="O154"/>
  <c r="O290"/>
  <c r="O465"/>
  <c r="O436"/>
  <c r="O329"/>
  <c r="O193"/>
  <c r="O164"/>
  <c r="O300"/>
  <c r="M451"/>
  <c r="M422"/>
  <c r="M315"/>
  <c r="M179"/>
  <c r="M150"/>
  <c r="M286"/>
  <c r="M458"/>
  <c r="M429"/>
  <c r="M322"/>
  <c r="M293"/>
  <c r="P293" s="1"/>
  <c r="M157"/>
  <c r="M186"/>
  <c r="P186" s="1"/>
  <c r="M455"/>
  <c r="M426"/>
  <c r="M319"/>
  <c r="P319" s="1"/>
  <c r="M183"/>
  <c r="M290"/>
  <c r="M154"/>
  <c r="M459"/>
  <c r="M430"/>
  <c r="P430" s="1"/>
  <c r="M323"/>
  <c r="M187"/>
  <c r="M158"/>
  <c r="M294"/>
  <c r="M465"/>
  <c r="M436"/>
  <c r="M329"/>
  <c r="M193"/>
  <c r="M164"/>
  <c r="M300"/>
  <c r="V421"/>
  <c r="V314"/>
  <c r="V178"/>
  <c r="V450"/>
  <c r="V149"/>
  <c r="V285"/>
  <c r="V436"/>
  <c r="V329"/>
  <c r="V193"/>
  <c r="V465"/>
  <c r="V300"/>
  <c r="V164"/>
  <c r="V434"/>
  <c r="W434" s="1"/>
  <c r="V327"/>
  <c r="V191"/>
  <c r="V463"/>
  <c r="V298"/>
  <c r="V162"/>
  <c r="V423"/>
  <c r="V316"/>
  <c r="V180"/>
  <c r="V452"/>
  <c r="V287"/>
  <c r="V151"/>
  <c r="V466"/>
  <c r="V437"/>
  <c r="V330"/>
  <c r="V194"/>
  <c r="V301"/>
  <c r="W301" s="1"/>
  <c r="V165"/>
  <c r="T464"/>
  <c r="T435"/>
  <c r="T328"/>
  <c r="T192"/>
  <c r="T299"/>
  <c r="T163"/>
  <c r="T432"/>
  <c r="T325"/>
  <c r="T189"/>
  <c r="T461"/>
  <c r="T296"/>
  <c r="T160"/>
  <c r="T429"/>
  <c r="T322"/>
  <c r="T186"/>
  <c r="T458"/>
  <c r="T293"/>
  <c r="T157"/>
  <c r="T422"/>
  <c r="T315"/>
  <c r="T179"/>
  <c r="T286"/>
  <c r="T451"/>
  <c r="T150"/>
  <c r="T438"/>
  <c r="T331"/>
  <c r="T195"/>
  <c r="T467"/>
  <c r="T166"/>
  <c r="T302"/>
  <c r="N481"/>
  <c r="N680" s="1"/>
  <c r="U351"/>
  <c r="U395" s="1"/>
  <c r="U256"/>
  <c r="R256"/>
  <c r="S256"/>
  <c r="N256"/>
  <c r="K256"/>
  <c r="L256"/>
  <c r="L481"/>
  <c r="L680" s="1"/>
  <c r="L216"/>
  <c r="L217" s="1"/>
  <c r="L350"/>
  <c r="L394" s="1"/>
  <c r="L399" s="1"/>
  <c r="N216"/>
  <c r="N217" s="1"/>
  <c r="D27" i="15"/>
  <c r="D56"/>
  <c r="D54"/>
  <c r="D53"/>
  <c r="D29"/>
  <c r="D26"/>
  <c r="L214" i="16"/>
  <c r="L258" s="1"/>
  <c r="L263" s="1"/>
  <c r="W108"/>
  <c r="W107" s="1"/>
  <c r="N214"/>
  <c r="N258" s="1"/>
  <c r="U352"/>
  <c r="L352"/>
  <c r="U215"/>
  <c r="U259" s="1"/>
  <c r="U481"/>
  <c r="U680" s="1"/>
  <c r="R345"/>
  <c r="S647"/>
  <c r="R645"/>
  <c r="R582"/>
  <c r="R713" s="1"/>
  <c r="R346"/>
  <c r="O137"/>
  <c r="K215"/>
  <c r="R209"/>
  <c r="R215" s="1"/>
  <c r="K647"/>
  <c r="H93" i="10"/>
  <c r="H94" s="1"/>
  <c r="R212" i="16"/>
  <c r="M137"/>
  <c r="K481"/>
  <c r="K680" s="1"/>
  <c r="K212"/>
  <c r="R348"/>
  <c r="K349"/>
  <c r="R210"/>
  <c r="V137"/>
  <c r="U216"/>
  <c r="U217" s="1"/>
  <c r="N352"/>
  <c r="K347"/>
  <c r="K351" s="1"/>
  <c r="R347"/>
  <c r="K348"/>
  <c r="K210"/>
  <c r="U645"/>
  <c r="I63" i="14" s="1"/>
  <c r="U582" i="16"/>
  <c r="U713" s="1"/>
  <c r="R647"/>
  <c r="P429"/>
  <c r="P426"/>
  <c r="K208"/>
  <c r="R481"/>
  <c r="R680" s="1"/>
  <c r="W332"/>
  <c r="S350"/>
  <c r="S394" s="1"/>
  <c r="S481"/>
  <c r="S680" s="1"/>
  <c r="N350"/>
  <c r="N394" s="1"/>
  <c r="K213"/>
  <c r="N645"/>
  <c r="N582"/>
  <c r="N713" s="1"/>
  <c r="K645"/>
  <c r="K582"/>
  <c r="K713" s="1"/>
  <c r="R208"/>
  <c r="I93" i="10"/>
  <c r="I94" s="1"/>
  <c r="R344" i="16"/>
  <c r="L645"/>
  <c r="L582"/>
  <c r="L713" s="1"/>
  <c r="K346"/>
  <c r="T137"/>
  <c r="W288"/>
  <c r="W424"/>
  <c r="W426"/>
  <c r="W290"/>
  <c r="W183"/>
  <c r="S352"/>
  <c r="S216"/>
  <c r="S217" s="1"/>
  <c r="K344"/>
  <c r="S582"/>
  <c r="S713" s="1"/>
  <c r="S645"/>
  <c r="R349"/>
  <c r="P180"/>
  <c r="P464"/>
  <c r="L647"/>
  <c r="R213"/>
  <c r="P108"/>
  <c r="S214"/>
  <c r="S258" s="1"/>
  <c r="L30" i="15"/>
  <c r="L57"/>
  <c r="L26"/>
  <c r="L36" s="1"/>
  <c r="L53"/>
  <c r="L63" s="1"/>
  <c r="L56"/>
  <c r="L29"/>
  <c r="Z70" i="14"/>
  <c r="Z40"/>
  <c r="Z33"/>
  <c r="Z63"/>
  <c r="Z65"/>
  <c r="Z75" s="1"/>
  <c r="Z35"/>
  <c r="Z45" s="1"/>
  <c r="Z64"/>
  <c r="Z34"/>
  <c r="D590" i="16"/>
  <c r="I591"/>
  <c r="I720" s="1"/>
  <c r="E604"/>
  <c r="E730" s="1"/>
  <c r="E719"/>
  <c r="F604"/>
  <c r="F730" s="1"/>
  <c r="F719"/>
  <c r="E506"/>
  <c r="E509" s="1"/>
  <c r="E512" s="1"/>
  <c r="E689" s="1"/>
  <c r="E684"/>
  <c r="F506"/>
  <c r="F509" s="1"/>
  <c r="F512" s="1"/>
  <c r="F689" s="1"/>
  <c r="F684"/>
  <c r="I562"/>
  <c r="I408"/>
  <c r="I673" s="1"/>
  <c r="H498"/>
  <c r="I443"/>
  <c r="H673"/>
  <c r="H590"/>
  <c r="G673"/>
  <c r="G590"/>
  <c r="I479"/>
  <c r="I677" s="1"/>
  <c r="G498"/>
  <c r="I472"/>
  <c r="D482"/>
  <c r="D371"/>
  <c r="I361"/>
  <c r="W550"/>
  <c r="W702" s="1"/>
  <c r="I245"/>
  <c r="D247"/>
  <c r="I247" s="1"/>
  <c r="F62" i="14"/>
  <c r="F32"/>
  <c r="F31"/>
  <c r="F40" s="1"/>
  <c r="G40" s="1"/>
  <c r="F61"/>
  <c r="F70" s="1"/>
  <c r="G70" s="1"/>
  <c r="G60"/>
  <c r="G30"/>
  <c r="W455" i="16" l="1"/>
  <c r="W423"/>
  <c r="W194"/>
  <c r="P156"/>
  <c r="W154"/>
  <c r="W460"/>
  <c r="P465"/>
  <c r="W298"/>
  <c r="W465"/>
  <c r="W294"/>
  <c r="W466"/>
  <c r="P327"/>
  <c r="P196"/>
  <c r="P194"/>
  <c r="W427"/>
  <c r="P328"/>
  <c r="P162"/>
  <c r="P192"/>
  <c r="W158"/>
  <c r="P428"/>
  <c r="P436"/>
  <c r="W291"/>
  <c r="P321"/>
  <c r="P300"/>
  <c r="W323"/>
  <c r="P191"/>
  <c r="P154"/>
  <c r="L670"/>
  <c r="W28" i="18" s="1"/>
  <c r="W185" i="16"/>
  <c r="P438"/>
  <c r="W428"/>
  <c r="P330"/>
  <c r="P467"/>
  <c r="W643"/>
  <c r="L655"/>
  <c r="W292"/>
  <c r="P324"/>
  <c r="P424"/>
  <c r="W430"/>
  <c r="W457"/>
  <c r="P317"/>
  <c r="P299"/>
  <c r="W151"/>
  <c r="P298"/>
  <c r="W155"/>
  <c r="P434"/>
  <c r="P468"/>
  <c r="P453"/>
  <c r="W321"/>
  <c r="P435"/>
  <c r="P195"/>
  <c r="W191"/>
  <c r="W330"/>
  <c r="W164"/>
  <c r="W463"/>
  <c r="P185"/>
  <c r="P292"/>
  <c r="W437"/>
  <c r="P302"/>
  <c r="P181"/>
  <c r="W167"/>
  <c r="P459"/>
  <c r="W162"/>
  <c r="W320"/>
  <c r="P163"/>
  <c r="P332"/>
  <c r="P457"/>
  <c r="W329"/>
  <c r="P290"/>
  <c r="P331"/>
  <c r="P165"/>
  <c r="P183"/>
  <c r="W156"/>
  <c r="P167"/>
  <c r="W300"/>
  <c r="W180"/>
  <c r="W452"/>
  <c r="P193"/>
  <c r="W431"/>
  <c r="P159"/>
  <c r="D63" i="15"/>
  <c r="E63" s="1"/>
  <c r="D36"/>
  <c r="E36" s="1"/>
  <c r="P458" i="16"/>
  <c r="Y29" i="15"/>
  <c r="Z29" s="1"/>
  <c r="X29"/>
  <c r="X27"/>
  <c r="Y27"/>
  <c r="X26"/>
  <c r="Y26"/>
  <c r="Z26" s="1"/>
  <c r="E54"/>
  <c r="D54" i="17"/>
  <c r="E26" i="15"/>
  <c r="D19" i="17"/>
  <c r="E29" i="15"/>
  <c r="D22" i="17"/>
  <c r="E27" i="15"/>
  <c r="D20" i="17"/>
  <c r="E56" i="15"/>
  <c r="D56" i="17"/>
  <c r="E53" i="15"/>
  <c r="D53" i="17"/>
  <c r="W324" i="16"/>
  <c r="W193"/>
  <c r="W165"/>
  <c r="P455"/>
  <c r="W327"/>
  <c r="W184"/>
  <c r="P303"/>
  <c r="P439"/>
  <c r="P301"/>
  <c r="P164"/>
  <c r="D719"/>
  <c r="W459"/>
  <c r="W456"/>
  <c r="L264"/>
  <c r="L265" s="1"/>
  <c r="P437"/>
  <c r="W436"/>
  <c r="W287"/>
  <c r="W316"/>
  <c r="P463"/>
  <c r="P329"/>
  <c r="P166"/>
  <c r="W303"/>
  <c r="I590"/>
  <c r="I604" s="1"/>
  <c r="I730" s="1"/>
  <c r="O471"/>
  <c r="W319"/>
  <c r="P188"/>
  <c r="P431"/>
  <c r="P158"/>
  <c r="P157"/>
  <c r="P287"/>
  <c r="W152"/>
  <c r="P152"/>
  <c r="W468"/>
  <c r="P323"/>
  <c r="O199"/>
  <c r="O211" s="1"/>
  <c r="O306"/>
  <c r="O345" s="1"/>
  <c r="P460"/>
  <c r="P294"/>
  <c r="V199"/>
  <c r="V211" s="1"/>
  <c r="V442"/>
  <c r="P423"/>
  <c r="P187"/>
  <c r="D604"/>
  <c r="L35" i="15"/>
  <c r="L43" s="1"/>
  <c r="W295" i="16"/>
  <c r="V306"/>
  <c r="V345" s="1"/>
  <c r="V335"/>
  <c r="V347" s="1"/>
  <c r="P316"/>
  <c r="O170"/>
  <c r="O209" s="1"/>
  <c r="W181"/>
  <c r="P295"/>
  <c r="W439"/>
  <c r="P322"/>
  <c r="W453"/>
  <c r="P288"/>
  <c r="W196"/>
  <c r="S218"/>
  <c r="S225"/>
  <c r="S227" s="1"/>
  <c r="P107"/>
  <c r="P643"/>
  <c r="U225"/>
  <c r="U218"/>
  <c r="K350"/>
  <c r="T336"/>
  <c r="T334"/>
  <c r="W314"/>
  <c r="T307"/>
  <c r="T305"/>
  <c r="W285"/>
  <c r="R350"/>
  <c r="S399"/>
  <c r="T335"/>
  <c r="W318"/>
  <c r="T199"/>
  <c r="W182"/>
  <c r="N225"/>
  <c r="N218"/>
  <c r="V207"/>
  <c r="V255"/>
  <c r="V581"/>
  <c r="V712" s="1"/>
  <c r="D125" i="17" s="1"/>
  <c r="V644" i="16"/>
  <c r="H64" i="14" s="1"/>
  <c r="V138" i="16"/>
  <c r="V441"/>
  <c r="V443"/>
  <c r="M306"/>
  <c r="P289"/>
  <c r="M470"/>
  <c r="M472"/>
  <c r="P450"/>
  <c r="M334"/>
  <c r="M336"/>
  <c r="P314"/>
  <c r="W642"/>
  <c r="W135"/>
  <c r="W129"/>
  <c r="W132"/>
  <c r="W127"/>
  <c r="W128"/>
  <c r="W125"/>
  <c r="W124"/>
  <c r="W122"/>
  <c r="W123"/>
  <c r="W134"/>
  <c r="W126"/>
  <c r="W120"/>
  <c r="W136"/>
  <c r="W119"/>
  <c r="W121"/>
  <c r="W131"/>
  <c r="W117"/>
  <c r="W118"/>
  <c r="W130"/>
  <c r="W133"/>
  <c r="O307"/>
  <c r="O348" s="1"/>
  <c r="O305"/>
  <c r="O344" s="1"/>
  <c r="O441"/>
  <c r="O443"/>
  <c r="R351"/>
  <c r="W159"/>
  <c r="V170"/>
  <c r="V209" s="1"/>
  <c r="P452"/>
  <c r="O335"/>
  <c r="O347" s="1"/>
  <c r="O442"/>
  <c r="P440"/>
  <c r="P304"/>
  <c r="P184"/>
  <c r="P427"/>
  <c r="W161"/>
  <c r="W333"/>
  <c r="W168"/>
  <c r="P422"/>
  <c r="P150"/>
  <c r="W195"/>
  <c r="W302"/>
  <c r="W179"/>
  <c r="W322"/>
  <c r="W186"/>
  <c r="W432"/>
  <c r="W192"/>
  <c r="W464"/>
  <c r="P190"/>
  <c r="P325"/>
  <c r="P189"/>
  <c r="L218"/>
  <c r="L225"/>
  <c r="L227" s="1"/>
  <c r="T169"/>
  <c r="T171"/>
  <c r="W149"/>
  <c r="T198"/>
  <c r="T200"/>
  <c r="W178"/>
  <c r="K395"/>
  <c r="T442"/>
  <c r="W425"/>
  <c r="K214"/>
  <c r="R259"/>
  <c r="V336"/>
  <c r="V349" s="1"/>
  <c r="V334"/>
  <c r="V346" s="1"/>
  <c r="V470"/>
  <c r="V472"/>
  <c r="M199"/>
  <c r="P182"/>
  <c r="M442"/>
  <c r="P425"/>
  <c r="M307"/>
  <c r="M305"/>
  <c r="P285"/>
  <c r="M255"/>
  <c r="M581"/>
  <c r="M712" s="1"/>
  <c r="D89" i="17" s="1"/>
  <c r="M644" i="16"/>
  <c r="H32" i="14" s="1"/>
  <c r="M207" i="16"/>
  <c r="M138"/>
  <c r="O198"/>
  <c r="O210" s="1"/>
  <c r="O200"/>
  <c r="O213" s="1"/>
  <c r="O169"/>
  <c r="O208" s="1"/>
  <c r="O171"/>
  <c r="O212" s="1"/>
  <c r="V471"/>
  <c r="W317"/>
  <c r="P197"/>
  <c r="P155"/>
  <c r="W297"/>
  <c r="W462"/>
  <c r="W440"/>
  <c r="P286"/>
  <c r="W166"/>
  <c r="W451"/>
  <c r="W286"/>
  <c r="W429"/>
  <c r="W325"/>
  <c r="W461"/>
  <c r="W163"/>
  <c r="P326"/>
  <c r="P462"/>
  <c r="P461"/>
  <c r="S263"/>
  <c r="T644"/>
  <c r="H62" i="14" s="1"/>
  <c r="T138" i="16"/>
  <c r="T207"/>
  <c r="T255"/>
  <c r="T581"/>
  <c r="T712" s="1"/>
  <c r="D123" i="17" s="1"/>
  <c r="L147" i="10"/>
  <c r="L164"/>
  <c r="L165" s="1"/>
  <c r="T306" i="16"/>
  <c r="W289"/>
  <c r="K352"/>
  <c r="V200"/>
  <c r="V213" s="1"/>
  <c r="V198"/>
  <c r="V210" s="1"/>
  <c r="V307"/>
  <c r="V348" s="1"/>
  <c r="V305"/>
  <c r="V344" s="1"/>
  <c r="R214"/>
  <c r="K216"/>
  <c r="M335"/>
  <c r="P318"/>
  <c r="M170"/>
  <c r="P153"/>
  <c r="M198"/>
  <c r="M200"/>
  <c r="P178"/>
  <c r="M443"/>
  <c r="M441"/>
  <c r="P421"/>
  <c r="L155" i="10"/>
  <c r="L156" s="1"/>
  <c r="L146"/>
  <c r="O336" i="16"/>
  <c r="O349" s="1"/>
  <c r="O334"/>
  <c r="O346" s="1"/>
  <c r="O644"/>
  <c r="O207"/>
  <c r="O255"/>
  <c r="O581"/>
  <c r="O712" s="1"/>
  <c r="D91" i="17" s="1"/>
  <c r="O138" i="16"/>
  <c r="P333"/>
  <c r="P456"/>
  <c r="W326"/>
  <c r="W190"/>
  <c r="W197"/>
  <c r="P179"/>
  <c r="W467"/>
  <c r="W150"/>
  <c r="W315"/>
  <c r="W157"/>
  <c r="W189"/>
  <c r="W296"/>
  <c r="W435"/>
  <c r="P433"/>
  <c r="P161"/>
  <c r="P296"/>
  <c r="T441"/>
  <c r="T443"/>
  <c r="W421"/>
  <c r="T470"/>
  <c r="T472"/>
  <c r="W450"/>
  <c r="T170"/>
  <c r="W153"/>
  <c r="T471"/>
  <c r="W454"/>
  <c r="V169"/>
  <c r="V208" s="1"/>
  <c r="V171"/>
  <c r="V212" s="1"/>
  <c r="R352"/>
  <c r="M471"/>
  <c r="P454"/>
  <c r="M171"/>
  <c r="M169"/>
  <c r="P149"/>
  <c r="R216"/>
  <c r="K259"/>
  <c r="O470"/>
  <c r="O472"/>
  <c r="W188"/>
  <c r="P151"/>
  <c r="P168"/>
  <c r="P469"/>
  <c r="P291"/>
  <c r="P320"/>
  <c r="W433"/>
  <c r="W304"/>
  <c r="W469"/>
  <c r="P315"/>
  <c r="P451"/>
  <c r="W331"/>
  <c r="W438"/>
  <c r="W422"/>
  <c r="W293"/>
  <c r="W458"/>
  <c r="W160"/>
  <c r="W299"/>
  <c r="W328"/>
  <c r="P297"/>
  <c r="P160"/>
  <c r="P432"/>
  <c r="L61" i="15"/>
  <c r="L69" s="1"/>
  <c r="L62"/>
  <c r="L70" s="1"/>
  <c r="L34"/>
  <c r="L58"/>
  <c r="L68" s="1"/>
  <c r="L31"/>
  <c r="L41" s="1"/>
  <c r="Z38" i="14"/>
  <c r="Z46" s="1"/>
  <c r="Z39"/>
  <c r="Z47" s="1"/>
  <c r="Z69"/>
  <c r="Z77" s="1"/>
  <c r="Z68"/>
  <c r="Z76" s="1"/>
  <c r="E520" i="16"/>
  <c r="E523" s="1"/>
  <c r="E526" s="1"/>
  <c r="E694" s="1"/>
  <c r="E511"/>
  <c r="E688" s="1"/>
  <c r="F511"/>
  <c r="F688" s="1"/>
  <c r="H506"/>
  <c r="H509" s="1"/>
  <c r="H512" s="1"/>
  <c r="H689" s="1"/>
  <c r="H684"/>
  <c r="F520"/>
  <c r="F523" s="1"/>
  <c r="F526" s="1"/>
  <c r="F694" s="1"/>
  <c r="G506"/>
  <c r="G509" s="1"/>
  <c r="G512" s="1"/>
  <c r="G689" s="1"/>
  <c r="G684"/>
  <c r="H604"/>
  <c r="H730" s="1"/>
  <c r="H719"/>
  <c r="G604"/>
  <c r="G730" s="1"/>
  <c r="G719"/>
  <c r="D485"/>
  <c r="D498" s="1"/>
  <c r="D684" s="1"/>
  <c r="I482"/>
  <c r="D373"/>
  <c r="I371"/>
  <c r="G61" i="14"/>
  <c r="H60"/>
  <c r="G62"/>
  <c r="H61"/>
  <c r="H30"/>
  <c r="H31"/>
  <c r="G31"/>
  <c r="G32"/>
  <c r="Q33"/>
  <c r="Q63"/>
  <c r="W472" i="16" l="1"/>
  <c r="W22" i="18"/>
  <c r="W13"/>
  <c r="W12"/>
  <c r="W470" i="16"/>
  <c r="W29" i="18"/>
  <c r="L625" i="16"/>
  <c r="D61" i="11" s="1"/>
  <c r="S625" i="16"/>
  <c r="G61" i="11" s="1"/>
  <c r="N625" i="16"/>
  <c r="D63" i="11" s="1"/>
  <c r="U625" i="16"/>
  <c r="G63" i="11" s="1"/>
  <c r="T256" i="16"/>
  <c r="V256"/>
  <c r="W31" i="18"/>
  <c r="W34"/>
  <c r="W35"/>
  <c r="S670" i="16"/>
  <c r="AD34" i="18" s="1"/>
  <c r="W19"/>
  <c r="W23"/>
  <c r="O256" i="16"/>
  <c r="M256"/>
  <c r="L274"/>
  <c r="P441"/>
  <c r="W442"/>
  <c r="X36" i="15"/>
  <c r="V215" i="16"/>
  <c r="V259" s="1"/>
  <c r="V214"/>
  <c r="V258" s="1"/>
  <c r="Y36" i="15"/>
  <c r="Z36" s="1"/>
  <c r="Z27"/>
  <c r="L656" i="16"/>
  <c r="H69" i="14"/>
  <c r="H77" s="1"/>
  <c r="D30" i="15"/>
  <c r="D57"/>
  <c r="D55"/>
  <c r="D28"/>
  <c r="I719" i="16"/>
  <c r="P471"/>
  <c r="P443"/>
  <c r="H68" i="14"/>
  <c r="H76" s="1"/>
  <c r="O351" i="16"/>
  <c r="O395" s="1"/>
  <c r="W471"/>
  <c r="W441"/>
  <c r="O481"/>
  <c r="O680" s="1"/>
  <c r="V352"/>
  <c r="V350"/>
  <c r="V394" s="1"/>
  <c r="V216"/>
  <c r="V217" s="1"/>
  <c r="O215"/>
  <c r="O259" s="1"/>
  <c r="V351"/>
  <c r="V395" s="1"/>
  <c r="O216"/>
  <c r="O217" s="1"/>
  <c r="O645"/>
  <c r="O582"/>
  <c r="O713" s="1"/>
  <c r="M209"/>
  <c r="P170"/>
  <c r="T582"/>
  <c r="T713" s="1"/>
  <c r="T645"/>
  <c r="I62" i="14" s="1"/>
  <c r="M344" i="16"/>
  <c r="P305"/>
  <c r="T210"/>
  <c r="W210" s="1"/>
  <c r="W198"/>
  <c r="L228"/>
  <c r="L235"/>
  <c r="L237" s="1"/>
  <c r="R395"/>
  <c r="M346"/>
  <c r="P346" s="1"/>
  <c r="P334"/>
  <c r="V582"/>
  <c r="V713" s="1"/>
  <c r="V645"/>
  <c r="T211"/>
  <c r="W211" s="1"/>
  <c r="W199"/>
  <c r="T344"/>
  <c r="W344" s="1"/>
  <c r="W305"/>
  <c r="T349"/>
  <c r="W349" s="1"/>
  <c r="W336"/>
  <c r="O350"/>
  <c r="O394" s="1"/>
  <c r="W137"/>
  <c r="T481"/>
  <c r="T680" s="1"/>
  <c r="W443"/>
  <c r="K217"/>
  <c r="W207"/>
  <c r="S655"/>
  <c r="S264"/>
  <c r="P207"/>
  <c r="T213"/>
  <c r="W213" s="1"/>
  <c r="W200"/>
  <c r="T208"/>
  <c r="W169"/>
  <c r="M349"/>
  <c r="P349" s="1"/>
  <c r="P336"/>
  <c r="V647"/>
  <c r="T346"/>
  <c r="W334"/>
  <c r="S228"/>
  <c r="S235"/>
  <c r="S237" s="1"/>
  <c r="O214"/>
  <c r="O258" s="1"/>
  <c r="P442"/>
  <c r="P470"/>
  <c r="R217"/>
  <c r="M212"/>
  <c r="P171"/>
  <c r="T209"/>
  <c r="W170"/>
  <c r="O647"/>
  <c r="M210"/>
  <c r="P210" s="1"/>
  <c r="P198"/>
  <c r="M347"/>
  <c r="P347" s="1"/>
  <c r="P335"/>
  <c r="R258"/>
  <c r="T345"/>
  <c r="W306"/>
  <c r="T647"/>
  <c r="W255"/>
  <c r="W647" s="1"/>
  <c r="M645"/>
  <c r="I32" i="14" s="1"/>
  <c r="M582" i="16"/>
  <c r="M713" s="1"/>
  <c r="M647"/>
  <c r="P255"/>
  <c r="P647" s="1"/>
  <c r="T212"/>
  <c r="W171"/>
  <c r="M481"/>
  <c r="P472"/>
  <c r="T347"/>
  <c r="W347" s="1"/>
  <c r="W335"/>
  <c r="P642"/>
  <c r="P133"/>
  <c r="P134"/>
  <c r="P121"/>
  <c r="P122"/>
  <c r="P123"/>
  <c r="P120"/>
  <c r="P135"/>
  <c r="P118"/>
  <c r="P117"/>
  <c r="P124"/>
  <c r="P125"/>
  <c r="P126"/>
  <c r="P127"/>
  <c r="P128"/>
  <c r="P129"/>
  <c r="P130"/>
  <c r="P131"/>
  <c r="P136"/>
  <c r="P119"/>
  <c r="P132"/>
  <c r="V481"/>
  <c r="V680" s="1"/>
  <c r="M208"/>
  <c r="P169"/>
  <c r="L657"/>
  <c r="M213"/>
  <c r="P213" s="1"/>
  <c r="P200"/>
  <c r="M348"/>
  <c r="P307"/>
  <c r="M211"/>
  <c r="P211" s="1"/>
  <c r="P199"/>
  <c r="K258"/>
  <c r="M345"/>
  <c r="P306"/>
  <c r="R394"/>
  <c r="T348"/>
  <c r="W307"/>
  <c r="K394"/>
  <c r="O352"/>
  <c r="L42" i="15"/>
  <c r="E525" i="16"/>
  <c r="E693" s="1"/>
  <c r="F525"/>
  <c r="F693" s="1"/>
  <c r="E565"/>
  <c r="E534"/>
  <c r="E537" s="1"/>
  <c r="E540" s="1"/>
  <c r="E699" s="1"/>
  <c r="G520"/>
  <c r="G523" s="1"/>
  <c r="G526" s="1"/>
  <c r="G694" s="1"/>
  <c r="F565"/>
  <c r="G511"/>
  <c r="G688" s="1"/>
  <c r="H520"/>
  <c r="H523" s="1"/>
  <c r="H526" s="1"/>
  <c r="H694" s="1"/>
  <c r="H511"/>
  <c r="H688" s="1"/>
  <c r="F534"/>
  <c r="F537" s="1"/>
  <c r="F540" s="1"/>
  <c r="F699" s="1"/>
  <c r="D506"/>
  <c r="I498"/>
  <c r="I684" s="1"/>
  <c r="I485"/>
  <c r="D381"/>
  <c r="I373"/>
  <c r="H40" i="14"/>
  <c r="I60"/>
  <c r="I61"/>
  <c r="H70"/>
  <c r="F34"/>
  <c r="F64"/>
  <c r="H34"/>
  <c r="I30"/>
  <c r="I31"/>
  <c r="H33"/>
  <c r="Q60"/>
  <c r="Q30"/>
  <c r="AD12" i="18" l="1"/>
  <c r="AD13"/>
  <c r="AD11"/>
  <c r="L12" i="11"/>
  <c r="M12" s="1"/>
  <c r="L10"/>
  <c r="M10" s="1"/>
  <c r="N10"/>
  <c r="O10" s="1"/>
  <c r="N12"/>
  <c r="O12" s="1"/>
  <c r="L392" i="16"/>
  <c r="AD29" i="18"/>
  <c r="AD31"/>
  <c r="AD28"/>
  <c r="AD35"/>
  <c r="P481" i="16"/>
  <c r="P680" s="1"/>
  <c r="M680"/>
  <c r="AD22" i="18"/>
  <c r="AD19"/>
  <c r="AD23"/>
  <c r="V263" i="16"/>
  <c r="D62" i="15"/>
  <c r="E62" s="1"/>
  <c r="D34"/>
  <c r="E34" s="1"/>
  <c r="D35"/>
  <c r="D43" s="1"/>
  <c r="E43" s="1"/>
  <c r="D61"/>
  <c r="E61" s="1"/>
  <c r="X30"/>
  <c r="Y30"/>
  <c r="Z30" s="1"/>
  <c r="X28"/>
  <c r="Y28"/>
  <c r="Z28" s="1"/>
  <c r="E30"/>
  <c r="D23" i="17"/>
  <c r="E28" i="15"/>
  <c r="D21" i="17"/>
  <c r="E57" i="15"/>
  <c r="D57" i="17"/>
  <c r="E55" i="15"/>
  <c r="D55" i="17"/>
  <c r="O225" i="16"/>
  <c r="O227" s="1"/>
  <c r="O235" s="1"/>
  <c r="O237" s="1"/>
  <c r="O218"/>
  <c r="F566"/>
  <c r="R399"/>
  <c r="L660"/>
  <c r="R31" i="14" s="1"/>
  <c r="L273" i="16"/>
  <c r="L587"/>
  <c r="L717" s="1"/>
  <c r="S265"/>
  <c r="S656"/>
  <c r="K218"/>
  <c r="K225"/>
  <c r="W138"/>
  <c r="W644"/>
  <c r="W581"/>
  <c r="W712" s="1"/>
  <c r="D126" i="17" s="1"/>
  <c r="T352" i="16"/>
  <c r="W352" s="1"/>
  <c r="W348"/>
  <c r="M351"/>
  <c r="P345"/>
  <c r="M214"/>
  <c r="P208"/>
  <c r="T351"/>
  <c r="W345"/>
  <c r="R218"/>
  <c r="R225"/>
  <c r="T214"/>
  <c r="W208"/>
  <c r="V218"/>
  <c r="V225"/>
  <c r="V227" s="1"/>
  <c r="T215"/>
  <c r="W209"/>
  <c r="M216"/>
  <c r="P212"/>
  <c r="S245"/>
  <c r="S247" s="1"/>
  <c r="S248" s="1"/>
  <c r="S238"/>
  <c r="M350"/>
  <c r="P344"/>
  <c r="M215"/>
  <c r="P209"/>
  <c r="P137"/>
  <c r="K399"/>
  <c r="K263"/>
  <c r="M352"/>
  <c r="P352" s="1"/>
  <c r="P348"/>
  <c r="T216"/>
  <c r="W212"/>
  <c r="R263"/>
  <c r="O263"/>
  <c r="T350"/>
  <c r="W346"/>
  <c r="L238"/>
  <c r="L245"/>
  <c r="L247" s="1"/>
  <c r="L248" s="1"/>
  <c r="W481"/>
  <c r="W680" s="1"/>
  <c r="E566"/>
  <c r="I70" i="14"/>
  <c r="I40"/>
  <c r="H38"/>
  <c r="G525" i="16"/>
  <c r="G693" s="1"/>
  <c r="G534"/>
  <c r="G537" s="1"/>
  <c r="G540" s="1"/>
  <c r="G699" s="1"/>
  <c r="H525"/>
  <c r="H693" s="1"/>
  <c r="E548"/>
  <c r="E551" s="1"/>
  <c r="E554" s="1"/>
  <c r="E704" s="1"/>
  <c r="E539"/>
  <c r="E698" s="1"/>
  <c r="H534"/>
  <c r="H537" s="1"/>
  <c r="H540" s="1"/>
  <c r="H699" s="1"/>
  <c r="G565"/>
  <c r="H565"/>
  <c r="F539"/>
  <c r="F698" s="1"/>
  <c r="F548"/>
  <c r="F551" s="1"/>
  <c r="F554" s="1"/>
  <c r="F704" s="1"/>
  <c r="D509"/>
  <c r="I506"/>
  <c r="D383"/>
  <c r="I383" s="1"/>
  <c r="I381"/>
  <c r="F65" i="14"/>
  <c r="H39"/>
  <c r="I64"/>
  <c r="I34"/>
  <c r="I33"/>
  <c r="G34"/>
  <c r="F39"/>
  <c r="F38"/>
  <c r="G64"/>
  <c r="F69"/>
  <c r="F68"/>
  <c r="D70" i="15" l="1"/>
  <c r="E70" s="1"/>
  <c r="W256" i="16"/>
  <c r="O625"/>
  <c r="D64" i="11" s="1"/>
  <c r="N11" s="1"/>
  <c r="O11" s="1"/>
  <c r="O34" s="1"/>
  <c r="K625" i="16"/>
  <c r="D60" i="11" s="1"/>
  <c r="V625" i="16"/>
  <c r="G64" i="11" s="1"/>
  <c r="L11" s="1"/>
  <c r="M11" s="1"/>
  <c r="R625" i="16"/>
  <c r="G60" i="11" s="1"/>
  <c r="S274" i="16"/>
  <c r="K670"/>
  <c r="R670"/>
  <c r="V655"/>
  <c r="AD21" i="18" s="1"/>
  <c r="V264" i="16"/>
  <c r="V265" s="1"/>
  <c r="D42" i="15"/>
  <c r="E42" s="1"/>
  <c r="X34"/>
  <c r="X42" s="1"/>
  <c r="Y34"/>
  <c r="Z34" s="1"/>
  <c r="E35"/>
  <c r="X31"/>
  <c r="X41" s="1"/>
  <c r="X35"/>
  <c r="X43" s="1"/>
  <c r="Y35"/>
  <c r="Z35" s="1"/>
  <c r="D69"/>
  <c r="E69" s="1"/>
  <c r="Y31"/>
  <c r="Z31" s="1"/>
  <c r="J266" i="17"/>
  <c r="K190"/>
  <c r="I27" i="15"/>
  <c r="E20" i="17"/>
  <c r="D58" i="15"/>
  <c r="D68" s="1"/>
  <c r="E68" s="1"/>
  <c r="O228" i="16"/>
  <c r="K264"/>
  <c r="K655"/>
  <c r="M259"/>
  <c r="P215"/>
  <c r="T259"/>
  <c r="W215"/>
  <c r="T395"/>
  <c r="W351"/>
  <c r="M395"/>
  <c r="P351"/>
  <c r="T258"/>
  <c r="W214"/>
  <c r="O655"/>
  <c r="O264"/>
  <c r="T394"/>
  <c r="W350"/>
  <c r="P138"/>
  <c r="P581"/>
  <c r="P712" s="1"/>
  <c r="D92" i="17" s="1"/>
  <c r="P644" i="16"/>
  <c r="M394"/>
  <c r="P350"/>
  <c r="P216"/>
  <c r="M217"/>
  <c r="V228"/>
  <c r="V235"/>
  <c r="V237" s="1"/>
  <c r="M258"/>
  <c r="P214"/>
  <c r="K227"/>
  <c r="S657"/>
  <c r="L659"/>
  <c r="L391"/>
  <c r="L272"/>
  <c r="L343"/>
  <c r="L353" s="1"/>
  <c r="L586"/>
  <c r="L716" s="1"/>
  <c r="E88" i="17" s="1"/>
  <c r="R655" i="16"/>
  <c r="R264"/>
  <c r="T217"/>
  <c r="W216"/>
  <c r="O245"/>
  <c r="O247" s="1"/>
  <c r="O248" s="1"/>
  <c r="O238"/>
  <c r="R227"/>
  <c r="W582"/>
  <c r="W713" s="1"/>
  <c r="W645"/>
  <c r="H46" i="14"/>
  <c r="I38"/>
  <c r="H47"/>
  <c r="E567" i="16"/>
  <c r="E569" s="1"/>
  <c r="E595" s="1"/>
  <c r="E600" s="1"/>
  <c r="E727" s="1"/>
  <c r="H548"/>
  <c r="H551" s="1"/>
  <c r="H554" s="1"/>
  <c r="H704" s="1"/>
  <c r="G566"/>
  <c r="G548"/>
  <c r="G551" s="1"/>
  <c r="G554" s="1"/>
  <c r="G704" s="1"/>
  <c r="G539"/>
  <c r="G698" s="1"/>
  <c r="H566"/>
  <c r="H539"/>
  <c r="H698" s="1"/>
  <c r="F567"/>
  <c r="F569" s="1"/>
  <c r="F707" s="1"/>
  <c r="D512"/>
  <c r="D689" s="1"/>
  <c r="I509"/>
  <c r="F35" i="14"/>
  <c r="G35" s="1"/>
  <c r="G65"/>
  <c r="F75"/>
  <c r="H65"/>
  <c r="H75" s="1"/>
  <c r="G69"/>
  <c r="F77"/>
  <c r="I77" s="1"/>
  <c r="I69"/>
  <c r="G39"/>
  <c r="F47"/>
  <c r="G68"/>
  <c r="F76"/>
  <c r="I76" s="1"/>
  <c r="I68"/>
  <c r="G38"/>
  <c r="F46"/>
  <c r="I39"/>
  <c r="Q31"/>
  <c r="Q61"/>
  <c r="Q32"/>
  <c r="Q62"/>
  <c r="Y41" i="15" l="1"/>
  <c r="Z41" s="1"/>
  <c r="M34" i="11"/>
  <c r="L49"/>
  <c r="T226" i="16" s="1"/>
  <c r="T260" s="1"/>
  <c r="P256"/>
  <c r="S392"/>
  <c r="V274"/>
  <c r="AD20" i="18"/>
  <c r="L267" i="16"/>
  <c r="L649" s="1"/>
  <c r="J31" i="14" s="1"/>
  <c r="L271" i="16"/>
  <c r="L653" s="1"/>
  <c r="N31" i="14" s="1"/>
  <c r="L268" i="16"/>
  <c r="L650" s="1"/>
  <c r="K31" i="14" s="1"/>
  <c r="L269" i="16"/>
  <c r="L651" s="1"/>
  <c r="L31" i="14" s="1"/>
  <c r="L270" i="16"/>
  <c r="L652" s="1"/>
  <c r="V656"/>
  <c r="D287" i="17"/>
  <c r="H287" s="1"/>
  <c r="W20" i="18"/>
  <c r="W21"/>
  <c r="Y43" i="15"/>
  <c r="Z43" s="1"/>
  <c r="Y42"/>
  <c r="Z42" s="1"/>
  <c r="D31"/>
  <c r="D41" s="1"/>
  <c r="E41" s="1"/>
  <c r="E58"/>
  <c r="D58" i="17"/>
  <c r="G27" i="15"/>
  <c r="J256" i="17"/>
  <c r="H190"/>
  <c r="N266"/>
  <c r="K191"/>
  <c r="I46" i="14"/>
  <c r="R235" i="16"/>
  <c r="R237" s="1"/>
  <c r="R228"/>
  <c r="V657"/>
  <c r="L662"/>
  <c r="L400"/>
  <c r="V245"/>
  <c r="V247" s="1"/>
  <c r="V248" s="1"/>
  <c r="V238"/>
  <c r="P582"/>
  <c r="P713" s="1"/>
  <c r="P645"/>
  <c r="W258"/>
  <c r="W259"/>
  <c r="K656"/>
  <c r="K265"/>
  <c r="K274" s="1"/>
  <c r="R656"/>
  <c r="R265"/>
  <c r="L658"/>
  <c r="L585"/>
  <c r="P258"/>
  <c r="O265"/>
  <c r="O656"/>
  <c r="T218"/>
  <c r="T225"/>
  <c r="W225" s="1"/>
  <c r="W217"/>
  <c r="W218" s="1"/>
  <c r="W625" s="1"/>
  <c r="G65" i="11" s="1"/>
  <c r="L361" i="16"/>
  <c r="L363" s="1"/>
  <c r="L354"/>
  <c r="S587"/>
  <c r="S717" s="1"/>
  <c r="S273"/>
  <c r="S660"/>
  <c r="M225"/>
  <c r="P225" s="1"/>
  <c r="M218"/>
  <c r="P217"/>
  <c r="P218" s="1"/>
  <c r="P625" s="1"/>
  <c r="D65" i="11" s="1"/>
  <c r="W394" i="16"/>
  <c r="P395"/>
  <c r="W395"/>
  <c r="P259"/>
  <c r="K235"/>
  <c r="K237" s="1"/>
  <c r="K228"/>
  <c r="P394"/>
  <c r="I47" i="14"/>
  <c r="G567" i="16"/>
  <c r="G569" s="1"/>
  <c r="G707" s="1"/>
  <c r="E707"/>
  <c r="E570"/>
  <c r="E708" s="1"/>
  <c r="H567"/>
  <c r="H569" s="1"/>
  <c r="H707" s="1"/>
  <c r="F595"/>
  <c r="F570"/>
  <c r="F708" s="1"/>
  <c r="F45" i="14"/>
  <c r="E605" i="16"/>
  <c r="E731" s="1"/>
  <c r="E723"/>
  <c r="D511"/>
  <c r="D688" s="1"/>
  <c r="D520"/>
  <c r="I512"/>
  <c r="I689" s="1"/>
  <c r="I65" i="14"/>
  <c r="H35"/>
  <c r="H45" s="1"/>
  <c r="I75"/>
  <c r="Q35"/>
  <c r="Q45" s="1"/>
  <c r="Q65"/>
  <c r="Q75" s="1"/>
  <c r="Q40"/>
  <c r="Q64"/>
  <c r="Q68" s="1"/>
  <c r="Q76" s="1"/>
  <c r="Q34"/>
  <c r="Q38" s="1"/>
  <c r="Q46" s="1"/>
  <c r="Q70"/>
  <c r="P46" i="11"/>
  <c r="X11" i="18" l="1"/>
  <c r="X13"/>
  <c r="Y13" s="1"/>
  <c r="Z13" s="1"/>
  <c r="D13" s="1"/>
  <c r="X12"/>
  <c r="Y12" s="1"/>
  <c r="Z12" s="1"/>
  <c r="D12" s="1"/>
  <c r="T227" i="16"/>
  <c r="T625"/>
  <c r="G62" i="11" s="1"/>
  <c r="M625" i="16"/>
  <c r="D62" i="11" s="1"/>
  <c r="L626" i="16"/>
  <c r="E61" i="11" s="1"/>
  <c r="N18" s="1"/>
  <c r="O18" s="1"/>
  <c r="Q46" s="1"/>
  <c r="N362" i="16" s="1"/>
  <c r="N396" s="1"/>
  <c r="V392"/>
  <c r="K392"/>
  <c r="R274"/>
  <c r="O274"/>
  <c r="D280" i="17"/>
  <c r="H280" s="1"/>
  <c r="X23" i="18"/>
  <c r="Y23" s="1"/>
  <c r="Z23" s="1"/>
  <c r="D23" s="1"/>
  <c r="X22"/>
  <c r="Y22" s="1"/>
  <c r="Z22" s="1"/>
  <c r="D22" s="1"/>
  <c r="X19"/>
  <c r="Y19" s="1"/>
  <c r="Z19" s="1"/>
  <c r="D19" s="1"/>
  <c r="X17"/>
  <c r="X18"/>
  <c r="X15"/>
  <c r="X14"/>
  <c r="X16"/>
  <c r="W15"/>
  <c r="W16"/>
  <c r="W14"/>
  <c r="W17"/>
  <c r="W18"/>
  <c r="M31" i="14"/>
  <c r="H262" i="17"/>
  <c r="J262"/>
  <c r="N262" s="1"/>
  <c r="I54" i="15"/>
  <c r="E54" i="17"/>
  <c r="I35" i="14"/>
  <c r="N256" i="17"/>
  <c r="H191"/>
  <c r="E31" i="15"/>
  <c r="D24" i="17"/>
  <c r="F723" i="16"/>
  <c r="F600"/>
  <c r="F727" s="1"/>
  <c r="L364"/>
  <c r="L371"/>
  <c r="L373" s="1"/>
  <c r="R245"/>
  <c r="R247" s="1"/>
  <c r="R248" s="1"/>
  <c r="R238"/>
  <c r="K238"/>
  <c r="K245"/>
  <c r="K247" s="1"/>
  <c r="K248" s="1"/>
  <c r="R657"/>
  <c r="L671"/>
  <c r="L401"/>
  <c r="L410" s="1"/>
  <c r="L480" s="1"/>
  <c r="O657"/>
  <c r="V587"/>
  <c r="V717" s="1"/>
  <c r="V273"/>
  <c r="V660"/>
  <c r="R64" i="14" s="1"/>
  <c r="S343" i="16"/>
  <c r="S353" s="1"/>
  <c r="S391"/>
  <c r="S659"/>
  <c r="S586"/>
  <c r="S716" s="1"/>
  <c r="E122" i="17" s="1"/>
  <c r="S272" i="16"/>
  <c r="L715"/>
  <c r="F27" i="15" s="1"/>
  <c r="L603" i="16"/>
  <c r="L729" s="1"/>
  <c r="K657"/>
  <c r="E596"/>
  <c r="G595"/>
  <c r="G605" s="1"/>
  <c r="G731" s="1"/>
  <c r="I45" i="14"/>
  <c r="H595" i="16"/>
  <c r="F605"/>
  <c r="F606" s="1"/>
  <c r="F732" s="1"/>
  <c r="H570"/>
  <c r="H596" s="1"/>
  <c r="G570"/>
  <c r="G708" s="1"/>
  <c r="F596"/>
  <c r="E606"/>
  <c r="E732" s="1"/>
  <c r="I511"/>
  <c r="I688" s="1"/>
  <c r="D565"/>
  <c r="I565" s="1"/>
  <c r="D523"/>
  <c r="I520"/>
  <c r="T263"/>
  <c r="N226"/>
  <c r="T228"/>
  <c r="T235"/>
  <c r="Q69" i="14"/>
  <c r="Q77" s="1"/>
  <c r="Q39"/>
  <c r="Q47" s="1"/>
  <c r="P49" i="11"/>
  <c r="R27" i="15" l="1"/>
  <c r="D156" i="17"/>
  <c r="N399" i="16"/>
  <c r="N670" s="1"/>
  <c r="R392"/>
  <c r="O392"/>
  <c r="T655"/>
  <c r="S269"/>
  <c r="S651" s="1"/>
  <c r="L61" i="14" s="1"/>
  <c r="S268" i="16"/>
  <c r="S650" s="1"/>
  <c r="K61" i="14" s="1"/>
  <c r="S267" i="16"/>
  <c r="S649" s="1"/>
  <c r="J61" i="14" s="1"/>
  <c r="S271" i="16"/>
  <c r="S653" s="1"/>
  <c r="N61" i="14" s="1"/>
  <c r="S270" i="16"/>
  <c r="S652" s="1"/>
  <c r="Y14" i="18"/>
  <c r="Y17"/>
  <c r="Z17" s="1"/>
  <c r="D17" s="1"/>
  <c r="Y15"/>
  <c r="Z15" s="1"/>
  <c r="D15" s="1"/>
  <c r="Y18"/>
  <c r="Z18" s="1"/>
  <c r="D18" s="1"/>
  <c r="Y16"/>
  <c r="Z16" s="1"/>
  <c r="D16" s="1"/>
  <c r="G54" i="15"/>
  <c r="I57"/>
  <c r="E57" i="17"/>
  <c r="E724" i="16"/>
  <c r="P54" i="15" s="1"/>
  <c r="E601" i="16"/>
  <c r="F724"/>
  <c r="P28" i="15" s="1"/>
  <c r="F601" i="16"/>
  <c r="H724"/>
  <c r="P57" i="15" s="1"/>
  <c r="H605" i="16"/>
  <c r="H731" s="1"/>
  <c r="H600"/>
  <c r="H727" s="1"/>
  <c r="G723"/>
  <c r="G600"/>
  <c r="G727" s="1"/>
  <c r="S662"/>
  <c r="S400"/>
  <c r="O660"/>
  <c r="R34" i="14" s="1"/>
  <c r="O273" i="16"/>
  <c r="O587"/>
  <c r="O717" s="1"/>
  <c r="R660"/>
  <c r="R273"/>
  <c r="R587"/>
  <c r="R717" s="1"/>
  <c r="K587"/>
  <c r="K717" s="1"/>
  <c r="K660"/>
  <c r="R30" i="14" s="1"/>
  <c r="K273" i="16"/>
  <c r="S585"/>
  <c r="S658"/>
  <c r="S361"/>
  <c r="S363" s="1"/>
  <c r="S354"/>
  <c r="S626" s="1"/>
  <c r="V272"/>
  <c r="V343"/>
  <c r="V353" s="1"/>
  <c r="V391"/>
  <c r="V662" s="1"/>
  <c r="V659"/>
  <c r="V586"/>
  <c r="V716" s="1"/>
  <c r="E125" i="17" s="1"/>
  <c r="L672" i="16"/>
  <c r="L381"/>
  <c r="L383" s="1"/>
  <c r="L384" s="1"/>
  <c r="L374"/>
  <c r="H723"/>
  <c r="H708"/>
  <c r="F731"/>
  <c r="G596"/>
  <c r="G606"/>
  <c r="G732" s="1"/>
  <c r="T237"/>
  <c r="T245" s="1"/>
  <c r="I523"/>
  <c r="D526"/>
  <c r="D694" s="1"/>
  <c r="P50" i="11"/>
  <c r="M226" i="16"/>
  <c r="T264"/>
  <c r="T656" s="1"/>
  <c r="N260"/>
  <c r="N227"/>
  <c r="AJ33" i="14"/>
  <c r="AJ63"/>
  <c r="L46" i="11"/>
  <c r="U226" i="16" s="1"/>
  <c r="AE11" i="18" l="1"/>
  <c r="AF11" s="1"/>
  <c r="AG11" s="1"/>
  <c r="E11" s="1"/>
  <c r="AE13"/>
  <c r="AF13" s="1"/>
  <c r="AG13" s="1"/>
  <c r="E13" s="1"/>
  <c r="AE12"/>
  <c r="AF12" s="1"/>
  <c r="AG12" s="1"/>
  <c r="E12" s="1"/>
  <c r="H61" i="11"/>
  <c r="L18" s="1"/>
  <c r="M18" s="1"/>
  <c r="M46" s="1"/>
  <c r="U362" i="16" s="1"/>
  <c r="U396" s="1"/>
  <c r="V271"/>
  <c r="V653" s="1"/>
  <c r="N64" i="14" s="1"/>
  <c r="V270" i="16"/>
  <c r="V652" s="1"/>
  <c r="V269"/>
  <c r="V651" s="1"/>
  <c r="L64" i="14" s="1"/>
  <c r="V268" i="16"/>
  <c r="V650" s="1"/>
  <c r="K64" i="14" s="1"/>
  <c r="V267" i="16"/>
  <c r="V649" s="1"/>
  <c r="J64" i="14" s="1"/>
  <c r="AE23" i="18"/>
  <c r="AF23" s="1"/>
  <c r="AG23" s="1"/>
  <c r="E23" s="1"/>
  <c r="AE22"/>
  <c r="AF22" s="1"/>
  <c r="AG22" s="1"/>
  <c r="E22" s="1"/>
  <c r="AE19"/>
  <c r="AF19" s="1"/>
  <c r="AG19" s="1"/>
  <c r="E19" s="1"/>
  <c r="AE17"/>
  <c r="AE18"/>
  <c r="AE14"/>
  <c r="AE16"/>
  <c r="AE15"/>
  <c r="M61" i="14"/>
  <c r="AD17" i="18"/>
  <c r="AD15"/>
  <c r="AD16"/>
  <c r="AD14"/>
  <c r="AD18"/>
  <c r="P55" i="15"/>
  <c r="P30"/>
  <c r="P27"/>
  <c r="G57"/>
  <c r="I53"/>
  <c r="E53" i="17"/>
  <c r="I26" i="15"/>
  <c r="E19" i="17"/>
  <c r="I30" i="15"/>
  <c r="E23" i="17"/>
  <c r="H601" i="16"/>
  <c r="G724"/>
  <c r="P56" i="15" s="1"/>
  <c r="G601" i="16"/>
  <c r="H606"/>
  <c r="H732" s="1"/>
  <c r="L592"/>
  <c r="L721" s="1"/>
  <c r="L675"/>
  <c r="AA31" i="14" s="1"/>
  <c r="L409" i="16"/>
  <c r="V361"/>
  <c r="V354"/>
  <c r="V626" s="1"/>
  <c r="S371"/>
  <c r="S373" s="1"/>
  <c r="S364"/>
  <c r="S671"/>
  <c r="S401"/>
  <c r="P64" i="14"/>
  <c r="K343" i="16"/>
  <c r="K353" s="1"/>
  <c r="K586"/>
  <c r="K716" s="1"/>
  <c r="E87" i="17" s="1"/>
  <c r="K659" i="16"/>
  <c r="K391"/>
  <c r="K272"/>
  <c r="R659"/>
  <c r="R586"/>
  <c r="R716" s="1"/>
  <c r="E121" i="17" s="1"/>
  <c r="R343" i="16"/>
  <c r="R353" s="1"/>
  <c r="R391"/>
  <c r="R272"/>
  <c r="V585"/>
  <c r="V658"/>
  <c r="O64" i="14" s="1"/>
  <c r="S715" i="16"/>
  <c r="F54" i="15" s="1"/>
  <c r="S603" i="16"/>
  <c r="S729" s="1"/>
  <c r="R54" i="15" s="1"/>
  <c r="O391" i="16"/>
  <c r="O662" s="1"/>
  <c r="O343"/>
  <c r="O353" s="1"/>
  <c r="O659"/>
  <c r="O586"/>
  <c r="O716" s="1"/>
  <c r="E91" i="17" s="1"/>
  <c r="O272" i="16"/>
  <c r="T238"/>
  <c r="D525"/>
  <c r="D693" s="1"/>
  <c r="I526"/>
  <c r="I694" s="1"/>
  <c r="D534"/>
  <c r="U260"/>
  <c r="U227"/>
  <c r="W227" s="1"/>
  <c r="W226"/>
  <c r="N235"/>
  <c r="N237" s="1"/>
  <c r="N228"/>
  <c r="T265"/>
  <c r="T274" s="1"/>
  <c r="M260"/>
  <c r="P226"/>
  <c r="M227"/>
  <c r="P227" s="1"/>
  <c r="T247"/>
  <c r="N263"/>
  <c r="R60" i="14"/>
  <c r="L50" i="11"/>
  <c r="P61" i="15" l="1"/>
  <c r="P69" s="1"/>
  <c r="H64" i="11"/>
  <c r="M49" s="1"/>
  <c r="T362" i="16" s="1"/>
  <c r="T396" s="1"/>
  <c r="S410"/>
  <c r="S480" s="1"/>
  <c r="K267"/>
  <c r="K649" s="1"/>
  <c r="J30" i="14" s="1"/>
  <c r="J40" s="1"/>
  <c r="K268" i="16"/>
  <c r="K650" s="1"/>
  <c r="K30" i="14" s="1"/>
  <c r="K40" s="1"/>
  <c r="K269" i="16"/>
  <c r="K651" s="1"/>
  <c r="L30" i="14" s="1"/>
  <c r="L40" s="1"/>
  <c r="K270" i="16"/>
  <c r="K652" s="1"/>
  <c r="K271"/>
  <c r="K653" s="1"/>
  <c r="N30" i="14" s="1"/>
  <c r="N40" s="1"/>
  <c r="R269" i="16"/>
  <c r="R651" s="1"/>
  <c r="L60" i="14" s="1"/>
  <c r="L70" s="1"/>
  <c r="R268" i="16"/>
  <c r="R650" s="1"/>
  <c r="K60" i="14" s="1"/>
  <c r="K70" s="1"/>
  <c r="R267" i="16"/>
  <c r="R649" s="1"/>
  <c r="J60" i="14" s="1"/>
  <c r="J70" s="1"/>
  <c r="R271" i="16"/>
  <c r="R653" s="1"/>
  <c r="N60" i="14" s="1"/>
  <c r="N70" s="1"/>
  <c r="R270" i="16"/>
  <c r="R652" s="1"/>
  <c r="N655"/>
  <c r="O267"/>
  <c r="O649" s="1"/>
  <c r="J34" i="14" s="1"/>
  <c r="O271" i="16"/>
  <c r="O653" s="1"/>
  <c r="N34" i="14" s="1"/>
  <c r="O268" i="16"/>
  <c r="O650" s="1"/>
  <c r="K34" i="14" s="1"/>
  <c r="O269" i="16"/>
  <c r="O651" s="1"/>
  <c r="L34" i="14" s="1"/>
  <c r="O270" i="16"/>
  <c r="O652" s="1"/>
  <c r="T657"/>
  <c r="AE21" i="18"/>
  <c r="AF21" s="1"/>
  <c r="AG21" s="1"/>
  <c r="E21" s="1"/>
  <c r="AE20"/>
  <c r="AF20" s="1"/>
  <c r="AG20" s="1"/>
  <c r="E20" s="1"/>
  <c r="AF18"/>
  <c r="AG18" s="1"/>
  <c r="E18" s="1"/>
  <c r="AF16"/>
  <c r="AG16" s="1"/>
  <c r="E16" s="1"/>
  <c r="AF17"/>
  <c r="AG17" s="1"/>
  <c r="E17" s="1"/>
  <c r="AF14"/>
  <c r="AF15"/>
  <c r="AG15" s="1"/>
  <c r="E15" s="1"/>
  <c r="M64" i="14"/>
  <c r="G26" i="15"/>
  <c r="G36" s="1"/>
  <c r="I36" s="1"/>
  <c r="M27"/>
  <c r="F20" i="17"/>
  <c r="G53" i="15"/>
  <c r="G63" s="1"/>
  <c r="I63" s="1"/>
  <c r="G30"/>
  <c r="P29"/>
  <c r="P35" s="1"/>
  <c r="P43" s="1"/>
  <c r="R658" i="16"/>
  <c r="R585"/>
  <c r="S672"/>
  <c r="O658"/>
  <c r="O585"/>
  <c r="V715"/>
  <c r="F57" i="15" s="1"/>
  <c r="V603" i="16"/>
  <c r="V729" s="1"/>
  <c r="S381"/>
  <c r="S383" s="1"/>
  <c r="S384" s="1"/>
  <c r="S374"/>
  <c r="O354"/>
  <c r="O361"/>
  <c r="R354"/>
  <c r="R626" s="1"/>
  <c r="R361"/>
  <c r="R363" s="1"/>
  <c r="K662"/>
  <c r="K400"/>
  <c r="L408"/>
  <c r="L674"/>
  <c r="Y31" i="14" s="1"/>
  <c r="L591" i="16"/>
  <c r="L720" s="1"/>
  <c r="F88" i="17" s="1"/>
  <c r="L479" i="16"/>
  <c r="L562"/>
  <c r="P30" i="14"/>
  <c r="R400" i="16"/>
  <c r="R662"/>
  <c r="K585"/>
  <c r="K658"/>
  <c r="M30" i="14" s="1"/>
  <c r="M40" s="1"/>
  <c r="K354" i="16"/>
  <c r="K361"/>
  <c r="K363" s="1"/>
  <c r="P62" i="15"/>
  <c r="P70" s="1"/>
  <c r="U399" i="16"/>
  <c r="I534"/>
  <c r="D537"/>
  <c r="P228"/>
  <c r="I525"/>
  <c r="I693" s="1"/>
  <c r="D566"/>
  <c r="I566" s="1"/>
  <c r="N264"/>
  <c r="N656" s="1"/>
  <c r="U263"/>
  <c r="W260"/>
  <c r="M228"/>
  <c r="M235"/>
  <c r="U235"/>
  <c r="U228"/>
  <c r="W228"/>
  <c r="T248"/>
  <c r="P260"/>
  <c r="M263"/>
  <c r="N245"/>
  <c r="N247" s="1"/>
  <c r="N248" s="1"/>
  <c r="N238"/>
  <c r="P31" i="14"/>
  <c r="P60"/>
  <c r="R61"/>
  <c r="M60" l="1"/>
  <c r="M70" s="1"/>
  <c r="T399" i="16"/>
  <c r="T670" s="1"/>
  <c r="H60" i="11"/>
  <c r="O626" i="16"/>
  <c r="E64" i="11" s="1"/>
  <c r="Q49" s="1"/>
  <c r="M362" i="16" s="1"/>
  <c r="M396" s="1"/>
  <c r="K626"/>
  <c r="E60" i="11" s="1"/>
  <c r="L403" i="16"/>
  <c r="L664" s="1"/>
  <c r="S31" i="14" s="1"/>
  <c r="L404" i="16"/>
  <c r="L665" s="1"/>
  <c r="T31" i="14" s="1"/>
  <c r="L405" i="16"/>
  <c r="L666" s="1"/>
  <c r="U31" i="14" s="1"/>
  <c r="L406" i="16"/>
  <c r="L667" s="1"/>
  <c r="V31" i="14" s="1"/>
  <c r="L407" i="16"/>
  <c r="L668" s="1"/>
  <c r="W31" i="14" s="1"/>
  <c r="T660" i="16"/>
  <c r="T392"/>
  <c r="U655"/>
  <c r="M655"/>
  <c r="X20" i="18"/>
  <c r="Y20" s="1"/>
  <c r="Z20" s="1"/>
  <c r="D20" s="1"/>
  <c r="X21"/>
  <c r="Y21" s="1"/>
  <c r="Z21" s="1"/>
  <c r="D21" s="1"/>
  <c r="M34" i="14"/>
  <c r="K27" i="15"/>
  <c r="P34"/>
  <c r="P42" s="1"/>
  <c r="P40" i="14"/>
  <c r="R40" s="1"/>
  <c r="R671" i="16"/>
  <c r="R401"/>
  <c r="K671"/>
  <c r="K401"/>
  <c r="K410" s="1"/>
  <c r="K480" s="1"/>
  <c r="R57" i="15"/>
  <c r="AL64" i="14"/>
  <c r="R715" i="16"/>
  <c r="F53" i="15" s="1"/>
  <c r="F63" s="1"/>
  <c r="R63" s="1"/>
  <c r="R603" i="16"/>
  <c r="R729" s="1"/>
  <c r="R53" i="15" s="1"/>
  <c r="K364" i="16"/>
  <c r="K371"/>
  <c r="K373" s="1"/>
  <c r="L677"/>
  <c r="L482"/>
  <c r="L483" s="1"/>
  <c r="K715"/>
  <c r="F26" i="15" s="1"/>
  <c r="F36" s="1"/>
  <c r="R36" s="1"/>
  <c r="K603" i="16"/>
  <c r="K729" s="1"/>
  <c r="L673"/>
  <c r="L590"/>
  <c r="R364"/>
  <c r="R371"/>
  <c r="R373" s="1"/>
  <c r="O715"/>
  <c r="F30" i="15" s="1"/>
  <c r="O603" i="16"/>
  <c r="O729" s="1"/>
  <c r="S675"/>
  <c r="AA61" i="14" s="1"/>
  <c r="S409" i="16"/>
  <c r="S592"/>
  <c r="S721" s="1"/>
  <c r="U670"/>
  <c r="U237"/>
  <c r="W237" s="1"/>
  <c r="W238" s="1"/>
  <c r="W235"/>
  <c r="D540"/>
  <c r="D699" s="1"/>
  <c r="I537"/>
  <c r="T587"/>
  <c r="T717" s="1"/>
  <c r="T273"/>
  <c r="T659" s="1"/>
  <c r="N265"/>
  <c r="M264"/>
  <c r="M656" s="1"/>
  <c r="P263"/>
  <c r="P655" s="1"/>
  <c r="M237"/>
  <c r="P235"/>
  <c r="U264"/>
  <c r="U656" s="1"/>
  <c r="W263"/>
  <c r="W655" s="1"/>
  <c r="AL31" i="14"/>
  <c r="O31"/>
  <c r="O30"/>
  <c r="P34"/>
  <c r="P61"/>
  <c r="P70" s="1"/>
  <c r="R70" s="1"/>
  <c r="R26" i="15" l="1"/>
  <c r="D155" i="17"/>
  <c r="R30" i="15"/>
  <c r="D159" i="17"/>
  <c r="AD32" i="18"/>
  <c r="AD30"/>
  <c r="M399" i="16"/>
  <c r="M670" s="1"/>
  <c r="W30" i="18" s="1"/>
  <c r="AD33"/>
  <c r="R410" i="16"/>
  <c r="R480" s="1"/>
  <c r="L486"/>
  <c r="L485" s="1"/>
  <c r="L484" s="1"/>
  <c r="N274"/>
  <c r="N657"/>
  <c r="X29" i="18"/>
  <c r="Y29" s="1"/>
  <c r="Z29" s="1"/>
  <c r="D29" s="1"/>
  <c r="X34"/>
  <c r="Y34" s="1"/>
  <c r="Z34" s="1"/>
  <c r="D34" s="1"/>
  <c r="X31"/>
  <c r="Y31" s="1"/>
  <c r="Z31" s="1"/>
  <c r="D31" s="1"/>
  <c r="X28"/>
  <c r="Y28" s="1"/>
  <c r="X35"/>
  <c r="Y35" s="1"/>
  <c r="Z35" s="1"/>
  <c r="D35" s="1"/>
  <c r="E24"/>
  <c r="X31" i="14"/>
  <c r="M54" i="15"/>
  <c r="F54" i="17"/>
  <c r="I55" i="15"/>
  <c r="E55" i="17"/>
  <c r="AL30" i="14"/>
  <c r="L719" i="16"/>
  <c r="J27" i="15" s="1"/>
  <c r="L604" i="16"/>
  <c r="L730" s="1"/>
  <c r="E156" i="17" s="1"/>
  <c r="K672" i="16"/>
  <c r="S674"/>
  <c r="Y61" i="14" s="1"/>
  <c r="S408" i="16"/>
  <c r="S479"/>
  <c r="S562"/>
  <c r="S591"/>
  <c r="S720" s="1"/>
  <c r="F122" i="17" s="1"/>
  <c r="R374" i="16"/>
  <c r="R381"/>
  <c r="R383" s="1"/>
  <c r="R384" s="1"/>
  <c r="K381"/>
  <c r="K383" s="1"/>
  <c r="K384" s="1"/>
  <c r="K374"/>
  <c r="R672"/>
  <c r="U238"/>
  <c r="U245"/>
  <c r="W245" s="1"/>
  <c r="I540"/>
  <c r="I699" s="1"/>
  <c r="D548"/>
  <c r="D539"/>
  <c r="D698" s="1"/>
  <c r="T343"/>
  <c r="T353" s="1"/>
  <c r="T391"/>
  <c r="T662" s="1"/>
  <c r="T586"/>
  <c r="T716" s="1"/>
  <c r="E123" i="17" s="1"/>
  <c r="T272" i="16"/>
  <c r="M245"/>
  <c r="M238"/>
  <c r="P237"/>
  <c r="P238" s="1"/>
  <c r="U265"/>
  <c r="U274" s="1"/>
  <c r="W264"/>
  <c r="W656" s="1"/>
  <c r="M265"/>
  <c r="P264"/>
  <c r="P656" s="1"/>
  <c r="O40" i="14"/>
  <c r="AL40" s="1"/>
  <c r="AL34"/>
  <c r="O60"/>
  <c r="AL61"/>
  <c r="AL60"/>
  <c r="O34"/>
  <c r="O61"/>
  <c r="AJ31"/>
  <c r="AJ61"/>
  <c r="AJ62"/>
  <c r="AJ32"/>
  <c r="N392" i="16" l="1"/>
  <c r="W33" i="18"/>
  <c r="W32"/>
  <c r="N660" i="16"/>
  <c r="R33" i="14" s="1"/>
  <c r="L490" i="16"/>
  <c r="L492"/>
  <c r="L489"/>
  <c r="L491"/>
  <c r="S407"/>
  <c r="S668" s="1"/>
  <c r="W61" i="14" s="1"/>
  <c r="S403" i="16"/>
  <c r="S664" s="1"/>
  <c r="S61" i="14" s="1"/>
  <c r="S404" i="16"/>
  <c r="S665" s="1"/>
  <c r="T61" i="14" s="1"/>
  <c r="S405" i="16"/>
  <c r="S666" s="1"/>
  <c r="U61" i="14" s="1"/>
  <c r="S406" i="16"/>
  <c r="S667" s="1"/>
  <c r="V61" i="14" s="1"/>
  <c r="T658" i="16"/>
  <c r="T267"/>
  <c r="T649" s="1"/>
  <c r="J62" i="14" s="1"/>
  <c r="T271" i="16"/>
  <c r="T653" s="1"/>
  <c r="N62" i="14" s="1"/>
  <c r="T270" i="16"/>
  <c r="T652" s="1"/>
  <c r="T269"/>
  <c r="T651" s="1"/>
  <c r="L62" i="14" s="1"/>
  <c r="T268" i="16"/>
  <c r="T650" s="1"/>
  <c r="K62" i="14" s="1"/>
  <c r="U657" i="16"/>
  <c r="U392"/>
  <c r="M274"/>
  <c r="M657"/>
  <c r="K54" i="15"/>
  <c r="G55"/>
  <c r="S590" i="16"/>
  <c r="S673"/>
  <c r="S27" i="15"/>
  <c r="AM31" i="14"/>
  <c r="R675" i="16"/>
  <c r="AA60" i="14" s="1"/>
  <c r="R592" i="16"/>
  <c r="R721" s="1"/>
  <c r="R409"/>
  <c r="S677"/>
  <c r="S482"/>
  <c r="S483" s="1"/>
  <c r="S486" s="1"/>
  <c r="K675"/>
  <c r="AA30" i="14" s="1"/>
  <c r="K409" i="16"/>
  <c r="K592"/>
  <c r="K721" s="1"/>
  <c r="U247"/>
  <c r="W247" s="1"/>
  <c r="W248" s="1"/>
  <c r="I548"/>
  <c r="D551"/>
  <c r="D567"/>
  <c r="I539"/>
  <c r="I698" s="1"/>
  <c r="T400"/>
  <c r="T671" s="1"/>
  <c r="T354"/>
  <c r="T626" s="1"/>
  <c r="T361"/>
  <c r="N587"/>
  <c r="N717" s="1"/>
  <c r="N273"/>
  <c r="N659" s="1"/>
  <c r="M247"/>
  <c r="P245"/>
  <c r="T585"/>
  <c r="P265"/>
  <c r="P657" s="1"/>
  <c r="U660"/>
  <c r="W265"/>
  <c r="W657" s="1"/>
  <c r="O70" i="14"/>
  <c r="AL70" s="1"/>
  <c r="R62"/>
  <c r="AJ34"/>
  <c r="AJ39" s="1"/>
  <c r="AJ47" s="1"/>
  <c r="AJ64"/>
  <c r="AJ69" s="1"/>
  <c r="AJ77" s="1"/>
  <c r="M62" l="1"/>
  <c r="L493" i="16"/>
  <c r="H62" i="11"/>
  <c r="L16" s="1"/>
  <c r="M16" s="1"/>
  <c r="M35" s="1"/>
  <c r="L497" i="16"/>
  <c r="L683" s="1"/>
  <c r="L494"/>
  <c r="L496"/>
  <c r="L564" s="1"/>
  <c r="L495"/>
  <c r="L681" s="1"/>
  <c r="AB31" i="14" s="1"/>
  <c r="S485" i="16"/>
  <c r="S484" s="1"/>
  <c r="M660"/>
  <c r="R32" i="14" s="1"/>
  <c r="M392" i="16"/>
  <c r="AE28" i="18"/>
  <c r="AF28" s="1"/>
  <c r="AE31"/>
  <c r="AF31" s="1"/>
  <c r="AG31" s="1"/>
  <c r="E31" s="1"/>
  <c r="AE34"/>
  <c r="AF34" s="1"/>
  <c r="AG34" s="1"/>
  <c r="E34" s="1"/>
  <c r="AE29"/>
  <c r="AF29" s="1"/>
  <c r="AG29" s="1"/>
  <c r="E29" s="1"/>
  <c r="AE35"/>
  <c r="AF35" s="1"/>
  <c r="AG35" s="1"/>
  <c r="E35" s="1"/>
  <c r="X61" i="14"/>
  <c r="M53" i="15"/>
  <c r="F53" i="17"/>
  <c r="I29" i="15"/>
  <c r="E22" i="17"/>
  <c r="M26" i="15"/>
  <c r="F19" i="17"/>
  <c r="T715" i="16"/>
  <c r="F55" i="15" s="1"/>
  <c r="K674" i="16"/>
  <c r="Y30" i="14" s="1"/>
  <c r="Y40" s="1"/>
  <c r="AA40" s="1"/>
  <c r="K479" i="16"/>
  <c r="K591"/>
  <c r="K720" s="1"/>
  <c r="F87" i="17" s="1"/>
  <c r="K562" i="16"/>
  <c r="K408"/>
  <c r="S719"/>
  <c r="J54" i="15" s="1"/>
  <c r="S604" i="16"/>
  <c r="S730" s="1"/>
  <c r="R408"/>
  <c r="R591"/>
  <c r="R720" s="1"/>
  <c r="F121" i="17" s="1"/>
  <c r="R562" i="16"/>
  <c r="R674"/>
  <c r="Y60" i="14" s="1"/>
  <c r="Y70" s="1"/>
  <c r="AA70" s="1"/>
  <c r="R479" i="16"/>
  <c r="U248"/>
  <c r="T603"/>
  <c r="T729" s="1"/>
  <c r="R55" i="15" s="1"/>
  <c r="D554" i="16"/>
  <c r="D704" s="1"/>
  <c r="I551"/>
  <c r="D569"/>
  <c r="D595" s="1"/>
  <c r="D600" s="1"/>
  <c r="I567"/>
  <c r="T401"/>
  <c r="N343"/>
  <c r="N353" s="1"/>
  <c r="N354" s="1"/>
  <c r="N391"/>
  <c r="T363"/>
  <c r="M248"/>
  <c r="P247"/>
  <c r="P248" s="1"/>
  <c r="M587"/>
  <c r="M717" s="1"/>
  <c r="M273"/>
  <c r="M659" s="1"/>
  <c r="U587"/>
  <c r="U717" s="1"/>
  <c r="U273"/>
  <c r="U659" s="1"/>
  <c r="N586"/>
  <c r="N716" s="1"/>
  <c r="E90" i="17" s="1"/>
  <c r="N272" i="16"/>
  <c r="P33" i="14"/>
  <c r="P62"/>
  <c r="AJ68"/>
  <c r="AJ76" s="1"/>
  <c r="AJ38"/>
  <c r="AJ46" s="1"/>
  <c r="L682" i="16" l="1"/>
  <c r="AC31" i="14" s="1"/>
  <c r="L563" i="16"/>
  <c r="N626"/>
  <c r="E63" i="11" s="1"/>
  <c r="L498" i="16"/>
  <c r="L500" s="1"/>
  <c r="T410"/>
  <c r="T480" s="1"/>
  <c r="S490"/>
  <c r="S492"/>
  <c r="S489"/>
  <c r="S491"/>
  <c r="R405"/>
  <c r="R666" s="1"/>
  <c r="U60" i="14" s="1"/>
  <c r="U70" s="1"/>
  <c r="R406" i="16"/>
  <c r="R667" s="1"/>
  <c r="V60" i="14" s="1"/>
  <c r="V70" s="1"/>
  <c r="R407" i="16"/>
  <c r="R668" s="1"/>
  <c r="W60" i="14" s="1"/>
  <c r="W70" s="1"/>
  <c r="R403" i="16"/>
  <c r="R664" s="1"/>
  <c r="S60" i="14" s="1"/>
  <c r="S70" s="1"/>
  <c r="R404" i="16"/>
  <c r="R665" s="1"/>
  <c r="T60" i="14" s="1"/>
  <c r="T70" s="1"/>
  <c r="K403" i="16"/>
  <c r="K664" s="1"/>
  <c r="S30" i="14" s="1"/>
  <c r="S40" s="1"/>
  <c r="K404" i="16"/>
  <c r="K665" s="1"/>
  <c r="T30" i="14" s="1"/>
  <c r="T40" s="1"/>
  <c r="K405" i="16"/>
  <c r="K666" s="1"/>
  <c r="U30" i="14" s="1"/>
  <c r="U40" s="1"/>
  <c r="K406" i="16"/>
  <c r="K667" s="1"/>
  <c r="V30" i="14" s="1"/>
  <c r="V40" s="1"/>
  <c r="K407" i="16"/>
  <c r="K668" s="1"/>
  <c r="W30" i="14" s="1"/>
  <c r="W40" s="1"/>
  <c r="N658" i="16"/>
  <c r="N271"/>
  <c r="N653" s="1"/>
  <c r="N33" i="14" s="1"/>
  <c r="N268" i="16"/>
  <c r="N650" s="1"/>
  <c r="K33" i="14" s="1"/>
  <c r="N269" i="16"/>
  <c r="N651" s="1"/>
  <c r="L33" i="14" s="1"/>
  <c r="N270" i="16"/>
  <c r="N652" s="1"/>
  <c r="N267"/>
  <c r="N649" s="1"/>
  <c r="J33" i="14" s="1"/>
  <c r="I28" i="15"/>
  <c r="E21" i="17"/>
  <c r="K26" i="15"/>
  <c r="K36" s="1"/>
  <c r="M36" s="1"/>
  <c r="G29"/>
  <c r="I56"/>
  <c r="E56" i="17"/>
  <c r="K53" i="15"/>
  <c r="K63" s="1"/>
  <c r="M63" s="1"/>
  <c r="I600" i="16"/>
  <c r="I727" s="1"/>
  <c r="D727"/>
  <c r="K673"/>
  <c r="X30" i="14" s="1"/>
  <c r="X40" s="1"/>
  <c r="AM40" s="1"/>
  <c r="K590" i="16"/>
  <c r="K677"/>
  <c r="K482"/>
  <c r="K483" s="1"/>
  <c r="S54" i="15"/>
  <c r="AM61" i="14"/>
  <c r="R677" i="16"/>
  <c r="R482"/>
  <c r="R483" s="1"/>
  <c r="R486" s="1"/>
  <c r="R673"/>
  <c r="X60" i="14" s="1"/>
  <c r="X70" s="1"/>
  <c r="AM70" s="1"/>
  <c r="R590" i="16"/>
  <c r="P32" i="14"/>
  <c r="P38" s="1"/>
  <c r="P46" s="1"/>
  <c r="R46" s="1"/>
  <c r="D605" i="16"/>
  <c r="D731" s="1"/>
  <c r="D723"/>
  <c r="N400"/>
  <c r="N662"/>
  <c r="T672"/>
  <c r="I554"/>
  <c r="I704" s="1"/>
  <c r="D570"/>
  <c r="D596" s="1"/>
  <c r="I569"/>
  <c r="I595" s="1"/>
  <c r="D707"/>
  <c r="N361"/>
  <c r="N363" s="1"/>
  <c r="N371" s="1"/>
  <c r="N373" s="1"/>
  <c r="U343"/>
  <c r="W343" s="1"/>
  <c r="U391"/>
  <c r="U662" s="1"/>
  <c r="M343"/>
  <c r="P343" s="1"/>
  <c r="M391"/>
  <c r="M662" s="1"/>
  <c r="T371"/>
  <c r="T364"/>
  <c r="M586"/>
  <c r="M716" s="1"/>
  <c r="E89" i="17" s="1"/>
  <c r="M272" i="16"/>
  <c r="P272" s="1"/>
  <c r="P273"/>
  <c r="P659" s="1"/>
  <c r="N585"/>
  <c r="U586"/>
  <c r="U716" s="1"/>
  <c r="E124" i="17" s="1"/>
  <c r="U272" i="16"/>
  <c r="W272" s="1"/>
  <c r="W273"/>
  <c r="W659" s="1"/>
  <c r="O62" i="14"/>
  <c r="M33" l="1"/>
  <c r="S493" i="16"/>
  <c r="T675"/>
  <c r="AA62" i="14" s="1"/>
  <c r="L506" i="16"/>
  <c r="L684"/>
  <c r="L499"/>
  <c r="L507" s="1"/>
  <c r="S496"/>
  <c r="S682" s="1"/>
  <c r="AC61" i="14" s="1"/>
  <c r="S494" i="16"/>
  <c r="S495"/>
  <c r="S681" s="1"/>
  <c r="AB61" i="14" s="1"/>
  <c r="R485" i="16"/>
  <c r="R484" s="1"/>
  <c r="S497"/>
  <c r="S498" s="1"/>
  <c r="S500" s="1"/>
  <c r="K486"/>
  <c r="K485" s="1"/>
  <c r="K484" s="1"/>
  <c r="O33" i="14"/>
  <c r="U658" i="16"/>
  <c r="U271"/>
  <c r="U270"/>
  <c r="U269"/>
  <c r="U268"/>
  <c r="U267"/>
  <c r="M658"/>
  <c r="M270"/>
  <c r="M267"/>
  <c r="M271"/>
  <c r="M268"/>
  <c r="M269"/>
  <c r="K201" i="17"/>
  <c r="K211"/>
  <c r="H211"/>
  <c r="H201"/>
  <c r="G56" i="15"/>
  <c r="G61" s="1"/>
  <c r="G28"/>
  <c r="G35" s="1"/>
  <c r="D724" i="16"/>
  <c r="P26" i="15" s="1"/>
  <c r="P36" s="1"/>
  <c r="D601" i="16"/>
  <c r="N715"/>
  <c r="F29" i="15" s="1"/>
  <c r="K604" i="16"/>
  <c r="K730" s="1"/>
  <c r="E155" i="17" s="1"/>
  <c r="K719" i="16"/>
  <c r="J26" i="15" s="1"/>
  <c r="J36" s="1"/>
  <c r="S36" s="1"/>
  <c r="R604" i="16"/>
  <c r="R730" s="1"/>
  <c r="R719"/>
  <c r="J53" i="15" s="1"/>
  <c r="J63" s="1"/>
  <c r="S63" s="1"/>
  <c r="P39" i="14"/>
  <c r="R39" s="1"/>
  <c r="D606" i="16"/>
  <c r="D732" s="1"/>
  <c r="I605"/>
  <c r="I606" s="1"/>
  <c r="I732" s="1"/>
  <c r="I723"/>
  <c r="T592"/>
  <c r="T721" s="1"/>
  <c r="T409"/>
  <c r="T562" s="1"/>
  <c r="N401"/>
  <c r="N410" s="1"/>
  <c r="N480" s="1"/>
  <c r="N671"/>
  <c r="U353"/>
  <c r="W353" s="1"/>
  <c r="W354" s="1"/>
  <c r="N603"/>
  <c r="N729" s="1"/>
  <c r="D158" i="17" s="1"/>
  <c r="N364" i="16"/>
  <c r="P658"/>
  <c r="W658"/>
  <c r="M353"/>
  <c r="P353" s="1"/>
  <c r="P354" s="1"/>
  <c r="I707"/>
  <c r="T373"/>
  <c r="T374" s="1"/>
  <c r="I570"/>
  <c r="I596" s="1"/>
  <c r="D708"/>
  <c r="M400"/>
  <c r="M671" s="1"/>
  <c r="P391"/>
  <c r="P662" s="1"/>
  <c r="U400"/>
  <c r="U671" s="1"/>
  <c r="W391"/>
  <c r="W662" s="1"/>
  <c r="N381"/>
  <c r="N383" s="1"/>
  <c r="N384" s="1"/>
  <c r="N374"/>
  <c r="U585"/>
  <c r="W586"/>
  <c r="W716" s="1"/>
  <c r="E126" i="17" s="1"/>
  <c r="W274" i="16"/>
  <c r="M585"/>
  <c r="P586"/>
  <c r="P716" s="1"/>
  <c r="J257" i="17" s="1"/>
  <c r="P274" i="16"/>
  <c r="R38" i="14"/>
  <c r="AL62"/>
  <c r="P35"/>
  <c r="P45" s="1"/>
  <c r="R45" s="1"/>
  <c r="R63"/>
  <c r="L627" i="16" l="1"/>
  <c r="F61" i="11" s="1"/>
  <c r="N29" s="1"/>
  <c r="O29" s="1"/>
  <c r="S563" i="16"/>
  <c r="E287" i="17"/>
  <c r="E92"/>
  <c r="J267"/>
  <c r="L685" i="16"/>
  <c r="P626"/>
  <c r="E65" i="11" s="1"/>
  <c r="P269" i="16"/>
  <c r="P651" s="1"/>
  <c r="M651"/>
  <c r="L32" i="14" s="1"/>
  <c r="P270" i="16"/>
  <c r="P652" s="1"/>
  <c r="H197" i="17" s="1"/>
  <c r="M652" i="16"/>
  <c r="M32" i="14" s="1"/>
  <c r="M39" s="1"/>
  <c r="W269" i="16"/>
  <c r="W651" s="1"/>
  <c r="U651"/>
  <c r="L63" i="14" s="1"/>
  <c r="P267" i="16"/>
  <c r="P649" s="1"/>
  <c r="M649"/>
  <c r="J32" i="14" s="1"/>
  <c r="W268" i="16"/>
  <c r="W650" s="1"/>
  <c r="U650"/>
  <c r="K63" i="14" s="1"/>
  <c r="P271" i="16"/>
  <c r="P653" s="1"/>
  <c r="M653"/>
  <c r="N32" i="14" s="1"/>
  <c r="W267" i="16"/>
  <c r="W649" s="1"/>
  <c r="U649"/>
  <c r="J63" i="14" s="1"/>
  <c r="W271" i="16"/>
  <c r="W653" s="1"/>
  <c r="U653"/>
  <c r="N63" i="14" s="1"/>
  <c r="P268" i="16"/>
  <c r="P650" s="1"/>
  <c r="M650"/>
  <c r="K32" i="14" s="1"/>
  <c r="W270" i="16"/>
  <c r="W652" s="1"/>
  <c r="K197" i="17" s="1"/>
  <c r="U652" i="16"/>
  <c r="M63" i="14" s="1"/>
  <c r="W626" i="16"/>
  <c r="H65" i="11" s="1"/>
  <c r="S683" i="16"/>
  <c r="S564"/>
  <c r="O32" i="14"/>
  <c r="O39" s="1"/>
  <c r="AL39" s="1"/>
  <c r="R491" i="16"/>
  <c r="R492"/>
  <c r="R490"/>
  <c r="R489"/>
  <c r="K491"/>
  <c r="K492"/>
  <c r="K489"/>
  <c r="K490"/>
  <c r="P660"/>
  <c r="P392"/>
  <c r="W660"/>
  <c r="K202" i="17" s="1"/>
  <c r="W392" i="16"/>
  <c r="G62" i="15"/>
  <c r="I62" s="1"/>
  <c r="P53"/>
  <c r="P63" s="1"/>
  <c r="G34"/>
  <c r="G42" s="1"/>
  <c r="I42" s="1"/>
  <c r="H199" i="17"/>
  <c r="G31" i="15"/>
  <c r="G41" s="1"/>
  <c r="I41" s="1"/>
  <c r="K199" i="17"/>
  <c r="M55" i="15"/>
  <c r="F55" i="17"/>
  <c r="G58" i="15"/>
  <c r="G68" s="1"/>
  <c r="I68" s="1"/>
  <c r="I724" i="16"/>
  <c r="P58" i="15" s="1"/>
  <c r="P68" s="1"/>
  <c r="I601" i="16"/>
  <c r="M715"/>
  <c r="F28" i="15" s="1"/>
  <c r="F34" s="1"/>
  <c r="U715" i="16"/>
  <c r="F56" i="15" s="1"/>
  <c r="F62" s="1"/>
  <c r="S53"/>
  <c r="AM60" i="14"/>
  <c r="S26" i="15"/>
  <c r="AM30" i="14"/>
  <c r="S684" i="16"/>
  <c r="S499"/>
  <c r="S507" s="1"/>
  <c r="S506"/>
  <c r="G43" i="15"/>
  <c r="I43" s="1"/>
  <c r="I35"/>
  <c r="I61"/>
  <c r="G69"/>
  <c r="I69" s="1"/>
  <c r="AL33" i="14"/>
  <c r="R29" i="15"/>
  <c r="P47" i="14"/>
  <c r="R47" s="1"/>
  <c r="N25" i="11"/>
  <c r="O35" i="14"/>
  <c r="O45" s="1"/>
  <c r="AL45" s="1"/>
  <c r="U354" i="16"/>
  <c r="U626" s="1"/>
  <c r="T381"/>
  <c r="T383" s="1"/>
  <c r="I731"/>
  <c r="U361"/>
  <c r="U363" s="1"/>
  <c r="M361"/>
  <c r="M363" s="1"/>
  <c r="T408"/>
  <c r="T479"/>
  <c r="T674"/>
  <c r="Y62" i="14" s="1"/>
  <c r="T591" i="16"/>
  <c r="T720" s="1"/>
  <c r="F123" i="17" s="1"/>
  <c r="N672" i="16"/>
  <c r="M603"/>
  <c r="M729" s="1"/>
  <c r="D157" i="17" s="1"/>
  <c r="U603" i="16"/>
  <c r="U729" s="1"/>
  <c r="R56" i="15" s="1"/>
  <c r="M354" i="16"/>
  <c r="I708"/>
  <c r="M401"/>
  <c r="M410" s="1"/>
  <c r="M480" s="1"/>
  <c r="U401"/>
  <c r="P585"/>
  <c r="P715" s="1"/>
  <c r="F31" i="15" s="1"/>
  <c r="F41" s="1"/>
  <c r="R41" s="1"/>
  <c r="W585" i="16"/>
  <c r="W715" s="1"/>
  <c r="F58" i="15" s="1"/>
  <c r="F68" s="1"/>
  <c r="R68" s="1"/>
  <c r="P587" i="16"/>
  <c r="P717" s="1"/>
  <c r="E280" i="17" s="1"/>
  <c r="W587" i="16"/>
  <c r="W717" s="1"/>
  <c r="P63" i="14"/>
  <c r="P69" s="1"/>
  <c r="N26" i="11" l="1"/>
  <c r="M35" i="14"/>
  <c r="H267" i="17"/>
  <c r="N257"/>
  <c r="H257"/>
  <c r="K494" i="16"/>
  <c r="O38" i="14"/>
  <c r="AL38" s="1"/>
  <c r="M65"/>
  <c r="K493" i="16"/>
  <c r="M69" i="14"/>
  <c r="M68"/>
  <c r="N69"/>
  <c r="N68"/>
  <c r="N38"/>
  <c r="N39"/>
  <c r="K65"/>
  <c r="K195" i="17"/>
  <c r="K196"/>
  <c r="L65" i="14"/>
  <c r="H196" i="17"/>
  <c r="L35" i="14"/>
  <c r="H195" i="17"/>
  <c r="K35" i="14"/>
  <c r="K194" i="17"/>
  <c r="J65" i="14"/>
  <c r="K68"/>
  <c r="K69"/>
  <c r="L68"/>
  <c r="L69"/>
  <c r="L38"/>
  <c r="L39"/>
  <c r="K39"/>
  <c r="K38"/>
  <c r="J68"/>
  <c r="J69"/>
  <c r="H194" i="17"/>
  <c r="J35" i="14"/>
  <c r="M38"/>
  <c r="K198" i="17"/>
  <c r="N65" i="14"/>
  <c r="H198" i="17"/>
  <c r="N35" i="14"/>
  <c r="J38"/>
  <c r="J39"/>
  <c r="K496" i="16"/>
  <c r="K564" s="1"/>
  <c r="M626"/>
  <c r="E62" i="11" s="1"/>
  <c r="N16" s="1"/>
  <c r="O16" s="1"/>
  <c r="O35" s="1"/>
  <c r="H63"/>
  <c r="R495" i="16"/>
  <c r="R563" s="1"/>
  <c r="R496"/>
  <c r="R564" s="1"/>
  <c r="H202" i="17"/>
  <c r="H212"/>
  <c r="K212"/>
  <c r="R682" i="16"/>
  <c r="AC60" i="14" s="1"/>
  <c r="AC70" s="1"/>
  <c r="N267" i="17"/>
  <c r="R494" i="16"/>
  <c r="R493"/>
  <c r="F35" i="15"/>
  <c r="R35" s="1"/>
  <c r="T677" i="16"/>
  <c r="U410"/>
  <c r="U480" s="1"/>
  <c r="K495"/>
  <c r="K681" s="1"/>
  <c r="AB30" i="14" s="1"/>
  <c r="AB40" s="1"/>
  <c r="K497" i="16"/>
  <c r="K683" s="1"/>
  <c r="R497"/>
  <c r="R498" s="1"/>
  <c r="R500" s="1"/>
  <c r="R35" i="14"/>
  <c r="T673" i="16"/>
  <c r="AE30" i="18" s="1"/>
  <c r="AF30" s="1"/>
  <c r="AG30" s="1"/>
  <c r="E30" s="1"/>
  <c r="T406" i="16"/>
  <c r="T667" s="1"/>
  <c r="V62" i="14" s="1"/>
  <c r="T407" i="16"/>
  <c r="T668" s="1"/>
  <c r="W62" i="14" s="1"/>
  <c r="T403" i="16"/>
  <c r="T664" s="1"/>
  <c r="S62" i="14" s="1"/>
  <c r="T404" i="16"/>
  <c r="T665" s="1"/>
  <c r="T62" i="14" s="1"/>
  <c r="T405" i="16"/>
  <c r="T666" s="1"/>
  <c r="U62" i="14" s="1"/>
  <c r="I34" i="15"/>
  <c r="O47" i="14"/>
  <c r="AL47" s="1"/>
  <c r="G70" i="15"/>
  <c r="I70" s="1"/>
  <c r="P31"/>
  <c r="P41" s="1"/>
  <c r="F61"/>
  <c r="R61" s="1"/>
  <c r="I31"/>
  <c r="E24" i="17"/>
  <c r="K55" i="15"/>
  <c r="I58"/>
  <c r="E58" i="17"/>
  <c r="S685" i="16"/>
  <c r="S627"/>
  <c r="I61" i="11" s="1"/>
  <c r="AL32" i="14"/>
  <c r="R28" i="15"/>
  <c r="R34"/>
  <c r="F42"/>
  <c r="R42" s="1"/>
  <c r="R62"/>
  <c r="F70"/>
  <c r="R70" s="1"/>
  <c r="R46" i="11"/>
  <c r="W361" i="16"/>
  <c r="P361"/>
  <c r="T590"/>
  <c r="T482"/>
  <c r="T483" s="1"/>
  <c r="T486" s="1"/>
  <c r="N675"/>
  <c r="AA33" i="14" s="1"/>
  <c r="N592" i="16"/>
  <c r="N721" s="1"/>
  <c r="N409"/>
  <c r="M675"/>
  <c r="AA32" i="14" s="1"/>
  <c r="M672" i="16"/>
  <c r="U672"/>
  <c r="W603"/>
  <c r="W729" s="1"/>
  <c r="P603"/>
  <c r="P729" s="1"/>
  <c r="D730"/>
  <c r="U371"/>
  <c r="U364"/>
  <c r="M371"/>
  <c r="M364"/>
  <c r="T384"/>
  <c r="P65" i="14"/>
  <c r="P75" s="1"/>
  <c r="R75" s="1"/>
  <c r="P68"/>
  <c r="R68" s="1"/>
  <c r="O63"/>
  <c r="O69" s="1"/>
  <c r="AL69" s="1"/>
  <c r="R69"/>
  <c r="P77"/>
  <c r="R77" s="1"/>
  <c r="K682" i="16" l="1"/>
  <c r="AC30" i="14" s="1"/>
  <c r="AC40" s="1"/>
  <c r="U675" i="16"/>
  <c r="AA63" i="14" s="1"/>
  <c r="O46"/>
  <c r="AL46" s="1"/>
  <c r="L257" i="17"/>
  <c r="D160"/>
  <c r="D315"/>
  <c r="K563" i="16"/>
  <c r="R681"/>
  <c r="AB60" i="14" s="1"/>
  <c r="AB70" s="1"/>
  <c r="R683" i="16"/>
  <c r="X62" i="14"/>
  <c r="F43" i="15"/>
  <c r="R43" s="1"/>
  <c r="K498" i="16"/>
  <c r="K500" s="1"/>
  <c r="AE33" i="18"/>
  <c r="AF33" s="1"/>
  <c r="AG33" s="1"/>
  <c r="E33" s="1"/>
  <c r="AE32"/>
  <c r="AF32" s="1"/>
  <c r="AG32" s="1"/>
  <c r="E32" s="1"/>
  <c r="T485" i="16"/>
  <c r="T484" s="1"/>
  <c r="F69" i="15"/>
  <c r="R69" s="1"/>
  <c r="R58"/>
  <c r="L267" i="17"/>
  <c r="M29" i="15"/>
  <c r="F22" i="17"/>
  <c r="T719" i="16"/>
  <c r="J55" i="15" s="1"/>
  <c r="R684" i="16"/>
  <c r="R506"/>
  <c r="R499"/>
  <c r="R507" s="1"/>
  <c r="L29" i="11"/>
  <c r="M29" s="1"/>
  <c r="N46" s="1"/>
  <c r="L26"/>
  <c r="L25"/>
  <c r="AL35" i="14"/>
  <c r="R31" i="15"/>
  <c r="S46" i="11"/>
  <c r="N508" i="16"/>
  <c r="N687" s="1"/>
  <c r="Q47" i="11"/>
  <c r="M47"/>
  <c r="T604" i="16"/>
  <c r="T730" s="1"/>
  <c r="M592"/>
  <c r="M721" s="1"/>
  <c r="U592"/>
  <c r="U721" s="1"/>
  <c r="M409"/>
  <c r="N674"/>
  <c r="Y33" i="14" s="1"/>
  <c r="N408" i="16"/>
  <c r="N591"/>
  <c r="N720" s="1"/>
  <c r="F90" i="17" s="1"/>
  <c r="N562" i="16"/>
  <c r="N479"/>
  <c r="U409"/>
  <c r="U373"/>
  <c r="U381" s="1"/>
  <c r="M373"/>
  <c r="P76" i="14"/>
  <c r="R76" s="1"/>
  <c r="O68"/>
  <c r="R65"/>
  <c r="O65"/>
  <c r="O75" s="1"/>
  <c r="AL75" s="1"/>
  <c r="AL63"/>
  <c r="O77"/>
  <c r="AL77" s="1"/>
  <c r="K506" i="16" l="1"/>
  <c r="K509" s="1"/>
  <c r="K510" s="1"/>
  <c r="K684"/>
  <c r="K499"/>
  <c r="K627" s="1"/>
  <c r="F60" i="11" s="1"/>
  <c r="N677" i="16"/>
  <c r="T492"/>
  <c r="T490"/>
  <c r="T491"/>
  <c r="T489"/>
  <c r="N406"/>
  <c r="N667" s="1"/>
  <c r="V33" i="14" s="1"/>
  <c r="N407" i="16"/>
  <c r="N668" s="1"/>
  <c r="W33" i="14" s="1"/>
  <c r="N403" i="16"/>
  <c r="N664" s="1"/>
  <c r="S33" i="14" s="1"/>
  <c r="N404" i="16"/>
  <c r="N665" s="1"/>
  <c r="T33" i="14" s="1"/>
  <c r="N405" i="16"/>
  <c r="N666" s="1"/>
  <c r="U33" i="14" s="1"/>
  <c r="E36" i="18"/>
  <c r="M28" i="15"/>
  <c r="F21" i="17"/>
  <c r="K29" i="15"/>
  <c r="M56"/>
  <c r="F56" i="17"/>
  <c r="R509" i="16"/>
  <c r="R510" s="1"/>
  <c r="R513" s="1"/>
  <c r="R521" s="1"/>
  <c r="R627"/>
  <c r="I60" i="11" s="1"/>
  <c r="R685" i="16"/>
  <c r="O46" i="11"/>
  <c r="U508" i="16"/>
  <c r="U687" s="1"/>
  <c r="AM62" i="14"/>
  <c r="S55" i="15"/>
  <c r="O362" i="16"/>
  <c r="O363" s="1"/>
  <c r="Q50" i="11"/>
  <c r="V362" i="16"/>
  <c r="M50" i="11"/>
  <c r="O76" i="14"/>
  <c r="AL76" s="1"/>
  <c r="AL68"/>
  <c r="M479" i="16"/>
  <c r="M408"/>
  <c r="U408"/>
  <c r="U591"/>
  <c r="U720" s="1"/>
  <c r="F124" i="17" s="1"/>
  <c r="M591" i="16"/>
  <c r="M720" s="1"/>
  <c r="F89" i="17" s="1"/>
  <c r="U479" i="16"/>
  <c r="U674"/>
  <c r="Y63" i="14" s="1"/>
  <c r="U562" i="16"/>
  <c r="N673"/>
  <c r="N590"/>
  <c r="M562"/>
  <c r="M674"/>
  <c r="Y32" i="14" s="1"/>
  <c r="N482" i="16"/>
  <c r="N483" s="1"/>
  <c r="N486" s="1"/>
  <c r="U374"/>
  <c r="U383"/>
  <c r="M381"/>
  <c r="M374"/>
  <c r="AL65" i="14"/>
  <c r="K685" i="16" l="1"/>
  <c r="K507"/>
  <c r="K513" s="1"/>
  <c r="K521" s="1"/>
  <c r="T497"/>
  <c r="T683" s="1"/>
  <c r="M677"/>
  <c r="U677"/>
  <c r="T493"/>
  <c r="T495"/>
  <c r="T681" s="1"/>
  <c r="AB62" i="14" s="1"/>
  <c r="T496" i="16"/>
  <c r="T682" s="1"/>
  <c r="AC62" i="14" s="1"/>
  <c r="T494" i="16"/>
  <c r="M673"/>
  <c r="X32" i="18" s="1"/>
  <c r="Y32" s="1"/>
  <c r="Z32" s="1"/>
  <c r="D32" s="1"/>
  <c r="M407" i="16"/>
  <c r="M668" s="1"/>
  <c r="W32" i="14" s="1"/>
  <c r="M403" i="16"/>
  <c r="M664" s="1"/>
  <c r="S32" i="14" s="1"/>
  <c r="M404" i="16"/>
  <c r="M665" s="1"/>
  <c r="T32" i="14" s="1"/>
  <c r="M405" i="16"/>
  <c r="M666" s="1"/>
  <c r="U32" i="14" s="1"/>
  <c r="M406" i="16"/>
  <c r="M667" s="1"/>
  <c r="V32" i="14" s="1"/>
  <c r="U673" i="16"/>
  <c r="AE39" i="18" s="1"/>
  <c r="U406" i="16"/>
  <c r="U667" s="1"/>
  <c r="V63" i="14" s="1"/>
  <c r="U407" i="16"/>
  <c r="U668" s="1"/>
  <c r="W63" i="14" s="1"/>
  <c r="U403" i="16"/>
  <c r="U664" s="1"/>
  <c r="S63" i="14" s="1"/>
  <c r="U404" i="16"/>
  <c r="U665" s="1"/>
  <c r="T63" i="14" s="1"/>
  <c r="U405" i="16"/>
  <c r="U666" s="1"/>
  <c r="U63" i="14" s="1"/>
  <c r="X30" i="18"/>
  <c r="Y30" s="1"/>
  <c r="Z30" s="1"/>
  <c r="D30" s="1"/>
  <c r="W39"/>
  <c r="X39"/>
  <c r="AD39"/>
  <c r="X33" i="14"/>
  <c r="K56" i="15"/>
  <c r="K28"/>
  <c r="R512" i="16"/>
  <c r="R690"/>
  <c r="P362"/>
  <c r="O396"/>
  <c r="P396" s="1"/>
  <c r="P363"/>
  <c r="P364" s="1"/>
  <c r="O364"/>
  <c r="O371"/>
  <c r="V363"/>
  <c r="V396"/>
  <c r="W362"/>
  <c r="M482"/>
  <c r="M483" s="1"/>
  <c r="M486" s="1"/>
  <c r="U590"/>
  <c r="M590"/>
  <c r="N604"/>
  <c r="N730" s="1"/>
  <c r="E158" i="17" s="1"/>
  <c r="N719" i="16"/>
  <c r="J29" i="15" s="1"/>
  <c r="N485" i="16"/>
  <c r="U482"/>
  <c r="U384"/>
  <c r="M383"/>
  <c r="T498" l="1"/>
  <c r="T684" s="1"/>
  <c r="K512"/>
  <c r="K520" s="1"/>
  <c r="K690"/>
  <c r="X32" i="14"/>
  <c r="T564" i="16"/>
  <c r="T563"/>
  <c r="X63" i="14"/>
  <c r="X33" i="18"/>
  <c r="Y33" s="1"/>
  <c r="Z33" s="1"/>
  <c r="D33" s="1"/>
  <c r="Y39"/>
  <c r="Z39" s="1"/>
  <c r="D39" s="1"/>
  <c r="AF39"/>
  <c r="AG39" s="1"/>
  <c r="U719" i="16"/>
  <c r="J56" i="15" s="1"/>
  <c r="M719" i="16"/>
  <c r="J28" i="15" s="1"/>
  <c r="R689" i="16"/>
  <c r="R520"/>
  <c r="R511"/>
  <c r="AM33" i="14"/>
  <c r="S29" i="15"/>
  <c r="O399" i="16"/>
  <c r="O373"/>
  <c r="P371"/>
  <c r="V371"/>
  <c r="V364"/>
  <c r="W363"/>
  <c r="W364" s="1"/>
  <c r="V399"/>
  <c r="W396"/>
  <c r="U604"/>
  <c r="U730" s="1"/>
  <c r="M604"/>
  <c r="M730" s="1"/>
  <c r="E157" i="17" s="1"/>
  <c r="U483" i="16"/>
  <c r="U486" s="1"/>
  <c r="N484"/>
  <c r="M485"/>
  <c r="M384"/>
  <c r="AJ30" i="14"/>
  <c r="AJ40" s="1"/>
  <c r="AJ60"/>
  <c r="AJ70" s="1"/>
  <c r="T506" i="16" l="1"/>
  <c r="T500"/>
  <c r="K511"/>
  <c r="K565" s="1"/>
  <c r="T499"/>
  <c r="T507" s="1"/>
  <c r="K689"/>
  <c r="P399"/>
  <c r="P670" s="1"/>
  <c r="E39" i="18"/>
  <c r="E41" s="1"/>
  <c r="D36"/>
  <c r="D41"/>
  <c r="K523" i="16"/>
  <c r="K524" s="1"/>
  <c r="K688"/>
  <c r="AD30" i="14" s="1"/>
  <c r="R523" i="16"/>
  <c r="R524" s="1"/>
  <c r="R688"/>
  <c r="AD60" i="14" s="1"/>
  <c r="R565" i="16"/>
  <c r="AM63" i="14"/>
  <c r="S56" i="15"/>
  <c r="AM32" i="14"/>
  <c r="S28" i="15"/>
  <c r="O670" i="16"/>
  <c r="O400"/>
  <c r="O671" s="1"/>
  <c r="O374"/>
  <c r="O381"/>
  <c r="P373"/>
  <c r="P374" s="1"/>
  <c r="V670"/>
  <c r="V400"/>
  <c r="W399"/>
  <c r="W670" s="1"/>
  <c r="V373"/>
  <c r="W371"/>
  <c r="U485"/>
  <c r="N492"/>
  <c r="N489"/>
  <c r="N490"/>
  <c r="N491"/>
  <c r="M484"/>
  <c r="AJ35" i="14"/>
  <c r="AJ45" s="1"/>
  <c r="AJ65"/>
  <c r="AJ75" s="1"/>
  <c r="T685" i="16" l="1"/>
  <c r="T627"/>
  <c r="I62" i="11" s="1"/>
  <c r="L32" s="1"/>
  <c r="M32" s="1"/>
  <c r="N47" s="1"/>
  <c r="O47" s="1"/>
  <c r="R527" i="16"/>
  <c r="R535" s="1"/>
  <c r="K527"/>
  <c r="K535" s="1"/>
  <c r="O401"/>
  <c r="O410" s="1"/>
  <c r="O480" s="1"/>
  <c r="P400"/>
  <c r="P401" s="1"/>
  <c r="O383"/>
  <c r="P381"/>
  <c r="V671"/>
  <c r="V401"/>
  <c r="W400"/>
  <c r="V381"/>
  <c r="V374"/>
  <c r="W373"/>
  <c r="W374" s="1"/>
  <c r="N494"/>
  <c r="N495"/>
  <c r="N497"/>
  <c r="N493"/>
  <c r="N496"/>
  <c r="U484"/>
  <c r="M489"/>
  <c r="M490"/>
  <c r="M491"/>
  <c r="M492"/>
  <c r="V508" l="1"/>
  <c r="V687" s="1"/>
  <c r="R526"/>
  <c r="R694" s="1"/>
  <c r="K695"/>
  <c r="K526"/>
  <c r="K525" s="1"/>
  <c r="R695"/>
  <c r="V410"/>
  <c r="V480" s="1"/>
  <c r="P672"/>
  <c r="O672"/>
  <c r="P671"/>
  <c r="O675"/>
  <c r="AA34" i="14" s="1"/>
  <c r="O592" i="16"/>
  <c r="O721" s="1"/>
  <c r="O409"/>
  <c r="O384"/>
  <c r="P383"/>
  <c r="P384" s="1"/>
  <c r="V672"/>
  <c r="W671"/>
  <c r="W401"/>
  <c r="V383"/>
  <c r="W381"/>
  <c r="N564"/>
  <c r="N682"/>
  <c r="N563"/>
  <c r="N681"/>
  <c r="AB33" i="14" s="1"/>
  <c r="N498" i="16"/>
  <c r="N683"/>
  <c r="U491"/>
  <c r="U489"/>
  <c r="U490"/>
  <c r="U492"/>
  <c r="M497"/>
  <c r="M683" s="1"/>
  <c r="M495"/>
  <c r="M681" s="1"/>
  <c r="AB32" i="14" s="1"/>
  <c r="M493" i="16"/>
  <c r="M496"/>
  <c r="M682" s="1"/>
  <c r="M494"/>
  <c r="R525" l="1"/>
  <c r="R693" s="1"/>
  <c r="AE54" i="18" s="1"/>
  <c r="AF54" s="1"/>
  <c r="AG54" s="1"/>
  <c r="E54" s="1"/>
  <c r="R534" i="16"/>
  <c r="R537" s="1"/>
  <c r="R538" s="1"/>
  <c r="K534"/>
  <c r="K537" s="1"/>
  <c r="K538" s="1"/>
  <c r="K694"/>
  <c r="N684"/>
  <c r="N500"/>
  <c r="W672"/>
  <c r="M30" i="15"/>
  <c r="F23" i="17"/>
  <c r="K693" i="16"/>
  <c r="X54" i="18" s="1"/>
  <c r="Y54" s="1"/>
  <c r="Z54" s="1"/>
  <c r="D54" s="1"/>
  <c r="K566" i="16"/>
  <c r="O591"/>
  <c r="O720" s="1"/>
  <c r="F91" i="17" s="1"/>
  <c r="O562" i="16"/>
  <c r="P562" s="1"/>
  <c r="P409"/>
  <c r="P410" s="1"/>
  <c r="P480" s="1"/>
  <c r="O408"/>
  <c r="O674"/>
  <c r="Y34" i="14" s="1"/>
  <c r="O479" i="16"/>
  <c r="V384"/>
  <c r="W383"/>
  <c r="W384" s="1"/>
  <c r="V409"/>
  <c r="V592"/>
  <c r="V721" s="1"/>
  <c r="V675"/>
  <c r="AA64" i="14" s="1"/>
  <c r="AC33"/>
  <c r="AC32"/>
  <c r="N506" i="16"/>
  <c r="N509" s="1"/>
  <c r="N510" s="1"/>
  <c r="N499"/>
  <c r="N507" s="1"/>
  <c r="U496"/>
  <c r="U682" s="1"/>
  <c r="AC63" i="14" s="1"/>
  <c r="U494" i="16"/>
  <c r="U493"/>
  <c r="U495"/>
  <c r="U681" s="1"/>
  <c r="AB63" i="14" s="1"/>
  <c r="U497" i="16"/>
  <c r="U683" s="1"/>
  <c r="M564"/>
  <c r="M498"/>
  <c r="M563"/>
  <c r="R566" l="1"/>
  <c r="N513"/>
  <c r="N521" s="1"/>
  <c r="K541"/>
  <c r="K700" s="1"/>
  <c r="R541"/>
  <c r="R549" s="1"/>
  <c r="M684"/>
  <c r="M500"/>
  <c r="O405"/>
  <c r="O406"/>
  <c r="O407"/>
  <c r="O403"/>
  <c r="O404"/>
  <c r="X51" i="18"/>
  <c r="X53"/>
  <c r="Y53" s="1"/>
  <c r="Z53" s="1"/>
  <c r="D53" s="1"/>
  <c r="AE60" i="14"/>
  <c r="AE53" i="18"/>
  <c r="AE51"/>
  <c r="AE30" i="14"/>
  <c r="K30" i="15"/>
  <c r="K35" s="1"/>
  <c r="M57"/>
  <c r="F57" i="17"/>
  <c r="Y38" i="14"/>
  <c r="Y39"/>
  <c r="O677" i="16"/>
  <c r="P479"/>
  <c r="O482"/>
  <c r="P591"/>
  <c r="P720" s="1"/>
  <c r="P674"/>
  <c r="P408"/>
  <c r="O673"/>
  <c r="X34" i="14" s="1"/>
  <c r="O590" i="16"/>
  <c r="V674"/>
  <c r="Y64" i="14" s="1"/>
  <c r="V479" i="16"/>
  <c r="V591"/>
  <c r="V720" s="1"/>
  <c r="F125" i="17" s="1"/>
  <c r="V408" i="16"/>
  <c r="V562"/>
  <c r="W562" s="1"/>
  <c r="W409"/>
  <c r="W410" s="1"/>
  <c r="W480" s="1"/>
  <c r="N685"/>
  <c r="N627"/>
  <c r="F63" i="11" s="1"/>
  <c r="N23" s="1"/>
  <c r="O23" s="1"/>
  <c r="U498" i="16"/>
  <c r="U564"/>
  <c r="U563"/>
  <c r="M506"/>
  <c r="M499"/>
  <c r="M507" s="1"/>
  <c r="F287" i="17" l="1"/>
  <c r="F92"/>
  <c r="P403" i="16"/>
  <c r="P664" s="1"/>
  <c r="O664"/>
  <c r="S34" i="14" s="1"/>
  <c r="P404" i="16"/>
  <c r="P665" s="1"/>
  <c r="O665"/>
  <c r="T34" i="14" s="1"/>
  <c r="P405" i="16"/>
  <c r="P666" s="1"/>
  <c r="O666"/>
  <c r="U34" i="14" s="1"/>
  <c r="P406" i="16"/>
  <c r="P667" s="1"/>
  <c r="O667"/>
  <c r="V34" i="14" s="1"/>
  <c r="P407" i="16"/>
  <c r="P668" s="1"/>
  <c r="O668"/>
  <c r="W34" i="14" s="1"/>
  <c r="R540" i="16"/>
  <c r="R548" s="1"/>
  <c r="R700"/>
  <c r="N512"/>
  <c r="N689" s="1"/>
  <c r="K540"/>
  <c r="K539" s="1"/>
  <c r="N690"/>
  <c r="K549"/>
  <c r="U684"/>
  <c r="U500"/>
  <c r="P677"/>
  <c r="V407"/>
  <c r="V403"/>
  <c r="V404"/>
  <c r="V405"/>
  <c r="V406"/>
  <c r="AF53" i="18"/>
  <c r="AG53" s="1"/>
  <c r="E53" s="1"/>
  <c r="AF51"/>
  <c r="AG51" s="1"/>
  <c r="E51" s="1"/>
  <c r="Y51"/>
  <c r="Z51" s="1"/>
  <c r="D51" s="1"/>
  <c r="K34" i="15"/>
  <c r="K42" s="1"/>
  <c r="M42" s="1"/>
  <c r="Y35" i="14"/>
  <c r="Y45" s="1"/>
  <c r="AA45" s="1"/>
  <c r="H222" i="17"/>
  <c r="H232"/>
  <c r="J258"/>
  <c r="K57" i="15"/>
  <c r="K61" s="1"/>
  <c r="K31"/>
  <c r="K41" s="1"/>
  <c r="M41" s="1"/>
  <c r="K43"/>
  <c r="M43" s="1"/>
  <c r="M35"/>
  <c r="P590" i="16"/>
  <c r="P673"/>
  <c r="P482"/>
  <c r="P483" s="1"/>
  <c r="O483"/>
  <c r="AA38" i="14"/>
  <c r="Y46"/>
  <c r="AA46" s="1"/>
  <c r="X38"/>
  <c r="X39"/>
  <c r="Y47"/>
  <c r="AA47" s="1"/>
  <c r="AA39"/>
  <c r="O719" i="16"/>
  <c r="J30" i="15" s="1"/>
  <c r="O604" i="16"/>
  <c r="O730" s="1"/>
  <c r="E159" i="17" s="1"/>
  <c r="P675" i="16"/>
  <c r="P592"/>
  <c r="P721" s="1"/>
  <c r="F280" i="17" s="1"/>
  <c r="V673" i="16"/>
  <c r="X64" i="14" s="1"/>
  <c r="V590" i="16"/>
  <c r="W408"/>
  <c r="Y69" i="14"/>
  <c r="Y68"/>
  <c r="W674" i="16"/>
  <c r="W591"/>
  <c r="W720" s="1"/>
  <c r="F126" i="17" s="1"/>
  <c r="V677" i="16"/>
  <c r="V482"/>
  <c r="W479"/>
  <c r="M685"/>
  <c r="M627"/>
  <c r="F62" i="11" s="1"/>
  <c r="N32" s="1"/>
  <c r="U506" i="16"/>
  <c r="U499"/>
  <c r="U507" s="1"/>
  <c r="N520"/>
  <c r="K548" l="1"/>
  <c r="K551" s="1"/>
  <c r="K552" s="1"/>
  <c r="K555" s="1"/>
  <c r="K699"/>
  <c r="W403"/>
  <c r="W664" s="1"/>
  <c r="V664"/>
  <c r="S64" i="14" s="1"/>
  <c r="W35"/>
  <c r="H219" i="17"/>
  <c r="U35" i="14"/>
  <c r="H217" i="17"/>
  <c r="H215"/>
  <c r="S35" i="14"/>
  <c r="W404" i="16"/>
  <c r="W665" s="1"/>
  <c r="V665"/>
  <c r="T64" i="14" s="1"/>
  <c r="W38"/>
  <c r="W39"/>
  <c r="U38"/>
  <c r="U39"/>
  <c r="S38"/>
  <c r="S39"/>
  <c r="W405" i="16"/>
  <c r="W666" s="1"/>
  <c r="V666"/>
  <c r="U64" i="14" s="1"/>
  <c r="H218" i="17"/>
  <c r="V35" i="14"/>
  <c r="H216" i="17"/>
  <c r="T35" i="14"/>
  <c r="W406" i="16"/>
  <c r="W667" s="1"/>
  <c r="V667"/>
  <c r="V64" i="14" s="1"/>
  <c r="W407" i="16"/>
  <c r="W668" s="1"/>
  <c r="V668"/>
  <c r="W64" i="14" s="1"/>
  <c r="V38"/>
  <c r="V39"/>
  <c r="T38"/>
  <c r="T39"/>
  <c r="R699" i="16"/>
  <c r="R539"/>
  <c r="R567" s="1"/>
  <c r="N511"/>
  <c r="N688" s="1"/>
  <c r="AD33" i="14" s="1"/>
  <c r="O486" i="16"/>
  <c r="O485" s="1"/>
  <c r="M34" i="15"/>
  <c r="K62"/>
  <c r="K70" s="1"/>
  <c r="M70" s="1"/>
  <c r="K58"/>
  <c r="K68" s="1"/>
  <c r="M68" s="1"/>
  <c r="AA35" i="14"/>
  <c r="N258" i="17"/>
  <c r="H233"/>
  <c r="H223"/>
  <c r="M31" i="15"/>
  <c r="F24" i="17"/>
  <c r="X35" i="14"/>
  <c r="X45" s="1"/>
  <c r="AM45" s="1"/>
  <c r="H220" i="17"/>
  <c r="Y65" i="14"/>
  <c r="Y75" s="1"/>
  <c r="AA75" s="1"/>
  <c r="K222" i="17"/>
  <c r="J268"/>
  <c r="K232"/>
  <c r="K698" i="16"/>
  <c r="AF30" i="14" s="1"/>
  <c r="K567" i="16"/>
  <c r="R551"/>
  <c r="R552" s="1"/>
  <c r="R555" s="1"/>
  <c r="J34" i="15"/>
  <c r="J35"/>
  <c r="AM34" i="14"/>
  <c r="S30" i="15"/>
  <c r="M61"/>
  <c r="K69"/>
  <c r="M69" s="1"/>
  <c r="O32" i="11"/>
  <c r="R47" s="1"/>
  <c r="R48"/>
  <c r="S48" s="1"/>
  <c r="P604" i="16"/>
  <c r="P730" s="1"/>
  <c r="P719"/>
  <c r="J31" i="15" s="1"/>
  <c r="J41" s="1"/>
  <c r="S41" s="1"/>
  <c r="AM38" i="14"/>
  <c r="X46"/>
  <c r="AM46" s="1"/>
  <c r="AM39"/>
  <c r="X47"/>
  <c r="AM47" s="1"/>
  <c r="W675" i="16"/>
  <c r="W592"/>
  <c r="W721" s="1"/>
  <c r="Y77" i="14"/>
  <c r="AA77" s="1"/>
  <c r="AA69"/>
  <c r="X69"/>
  <c r="X68"/>
  <c r="W677" i="16"/>
  <c r="AA68" i="14"/>
  <c r="Y76"/>
  <c r="AA76" s="1"/>
  <c r="V719" i="16"/>
  <c r="J57" i="15" s="1"/>
  <c r="V604" i="16"/>
  <c r="V730" s="1"/>
  <c r="V483"/>
  <c r="V486" s="1"/>
  <c r="W482"/>
  <c r="W483" s="1"/>
  <c r="W673"/>
  <c r="W590"/>
  <c r="U685"/>
  <c r="U627"/>
  <c r="I63" i="11" s="1"/>
  <c r="L23" s="1"/>
  <c r="M23" s="1"/>
  <c r="N523" i="16"/>
  <c r="N524" s="1"/>
  <c r="N527" s="1"/>
  <c r="U509"/>
  <c r="R698" l="1"/>
  <c r="AF60" i="14" s="1"/>
  <c r="L258" i="17"/>
  <c r="E315"/>
  <c r="E160"/>
  <c r="H258"/>
  <c r="K219"/>
  <c r="W65" i="14"/>
  <c r="K217" i="17"/>
  <c r="U65" i="14"/>
  <c r="K216" i="17"/>
  <c r="T65" i="14"/>
  <c r="K215" i="17"/>
  <c r="S65" i="14"/>
  <c r="W69"/>
  <c r="W68"/>
  <c r="U69"/>
  <c r="U68"/>
  <c r="T69"/>
  <c r="T68"/>
  <c r="S69"/>
  <c r="S68"/>
  <c r="V65"/>
  <c r="K218" i="17"/>
  <c r="V69" i="14"/>
  <c r="V68"/>
  <c r="M62" i="15"/>
  <c r="N565" i="16"/>
  <c r="N695"/>
  <c r="N535"/>
  <c r="V485"/>
  <c r="P485"/>
  <c r="P484" s="1"/>
  <c r="O484"/>
  <c r="O492" s="1"/>
  <c r="P492" s="1"/>
  <c r="X65" i="14"/>
  <c r="X75" s="1"/>
  <c r="AM75" s="1"/>
  <c r="K220" i="17"/>
  <c r="M58" i="15"/>
  <c r="F58" i="17"/>
  <c r="AA65" i="14"/>
  <c r="N268" i="17"/>
  <c r="K233"/>
  <c r="K223"/>
  <c r="R705" i="16"/>
  <c r="R554"/>
  <c r="K705"/>
  <c r="K554"/>
  <c r="J61" i="15"/>
  <c r="J62"/>
  <c r="AM64" i="14"/>
  <c r="S57" i="15"/>
  <c r="J42"/>
  <c r="S42" s="1"/>
  <c r="S34"/>
  <c r="J43"/>
  <c r="S43" s="1"/>
  <c r="S35"/>
  <c r="AM35" i="14"/>
  <c r="S31" i="15"/>
  <c r="S47" i="11"/>
  <c r="O508" i="16"/>
  <c r="O687" s="1"/>
  <c r="L508"/>
  <c r="AM69" i="14"/>
  <c r="X77"/>
  <c r="AM77" s="1"/>
  <c r="AM68"/>
  <c r="X76"/>
  <c r="AM76" s="1"/>
  <c r="W719" i="16"/>
  <c r="J58" i="15" s="1"/>
  <c r="J68" s="1"/>
  <c r="S68" s="1"/>
  <c r="W604" i="16"/>
  <c r="W730" s="1"/>
  <c r="L268" i="17" s="1"/>
  <c r="U510" i="16"/>
  <c r="N526"/>
  <c r="N694" s="1"/>
  <c r="O489" l="1"/>
  <c r="H268" i="17"/>
  <c r="P486" i="16"/>
  <c r="O491"/>
  <c r="P491" s="1"/>
  <c r="O490"/>
  <c r="O496" s="1"/>
  <c r="U513"/>
  <c r="U521" s="1"/>
  <c r="V484"/>
  <c r="V492" s="1"/>
  <c r="W492" s="1"/>
  <c r="W485"/>
  <c r="W486" s="1"/>
  <c r="L509"/>
  <c r="L510" s="1"/>
  <c r="L687"/>
  <c r="R704"/>
  <c r="R553"/>
  <c r="K704"/>
  <c r="K553"/>
  <c r="J69" i="15"/>
  <c r="S69" s="1"/>
  <c r="S61"/>
  <c r="J70"/>
  <c r="S70" s="1"/>
  <c r="S62"/>
  <c r="AM65" i="14"/>
  <c r="S58" i="15"/>
  <c r="P489" i="16"/>
  <c r="N48" i="11"/>
  <c r="S508" i="16" s="1"/>
  <c r="S687" s="1"/>
  <c r="N534"/>
  <c r="N525"/>
  <c r="N693" s="1"/>
  <c r="AE33" i="14" s="1"/>
  <c r="P490" i="16" l="1"/>
  <c r="O495"/>
  <c r="P495" s="1"/>
  <c r="P681" s="1"/>
  <c r="O494"/>
  <c r="P494" s="1"/>
  <c r="O493"/>
  <c r="P493" s="1"/>
  <c r="O497"/>
  <c r="O498" s="1"/>
  <c r="O500" s="1"/>
  <c r="U512"/>
  <c r="U689" s="1"/>
  <c r="U690"/>
  <c r="L513"/>
  <c r="L521" s="1"/>
  <c r="V491"/>
  <c r="V494" s="1"/>
  <c r="W494" s="1"/>
  <c r="V490"/>
  <c r="V496" s="1"/>
  <c r="V489"/>
  <c r="W489" s="1"/>
  <c r="W484"/>
  <c r="K703"/>
  <c r="AG30" i="14" s="1"/>
  <c r="K568" i="16"/>
  <c r="K569" s="1"/>
  <c r="R703"/>
  <c r="AG60" i="14" s="1"/>
  <c r="R568" i="16"/>
  <c r="R569" s="1"/>
  <c r="P496"/>
  <c r="P682" s="1"/>
  <c r="O564"/>
  <c r="P564" s="1"/>
  <c r="O682"/>
  <c r="AC34" i="14" s="1"/>
  <c r="O48" i="11"/>
  <c r="S509" i="16"/>
  <c r="S510" s="1"/>
  <c r="S513" s="1"/>
  <c r="S521" s="1"/>
  <c r="N537"/>
  <c r="N538" s="1"/>
  <c r="N541" s="1"/>
  <c r="N566"/>
  <c r="O563" l="1"/>
  <c r="P563" s="1"/>
  <c r="O681"/>
  <c r="AB34" i="14" s="1"/>
  <c r="AB38" s="1"/>
  <c r="U520" i="16"/>
  <c r="U523" s="1"/>
  <c r="P497"/>
  <c r="P683" s="1"/>
  <c r="U511"/>
  <c r="U688" s="1"/>
  <c r="AD63" i="14" s="1"/>
  <c r="W490" i="16"/>
  <c r="O683"/>
  <c r="V493"/>
  <c r="W493" s="1"/>
  <c r="L512"/>
  <c r="L690"/>
  <c r="N700"/>
  <c r="N549"/>
  <c r="V495"/>
  <c r="V681" s="1"/>
  <c r="AB64" i="14" s="1"/>
  <c r="W491" i="16"/>
  <c r="V497"/>
  <c r="V498" s="1"/>
  <c r="V500" s="1"/>
  <c r="AB35" i="14"/>
  <c r="H236" i="17"/>
  <c r="AC35" i="14"/>
  <c r="H237" i="17"/>
  <c r="K595" i="16"/>
  <c r="K600" s="1"/>
  <c r="K727" s="1"/>
  <c r="K570"/>
  <c r="K707"/>
  <c r="AH30" i="14" s="1"/>
  <c r="R595" i="16"/>
  <c r="R600" s="1"/>
  <c r="R727" s="1"/>
  <c r="R707"/>
  <c r="AH60" i="14" s="1"/>
  <c r="R570" i="16"/>
  <c r="AC38" i="14"/>
  <c r="AC39"/>
  <c r="O684" i="16"/>
  <c r="P498"/>
  <c r="O499"/>
  <c r="O507" s="1"/>
  <c r="O506"/>
  <c r="S690"/>
  <c r="S512"/>
  <c r="V682"/>
  <c r="AC64" i="14" s="1"/>
  <c r="V564" i="16"/>
  <c r="W564" s="1"/>
  <c r="W496"/>
  <c r="W682" s="1"/>
  <c r="N540"/>
  <c r="N699" s="1"/>
  <c r="AB39" i="14" l="1"/>
  <c r="U565" i="16"/>
  <c r="P500"/>
  <c r="V683"/>
  <c r="W495"/>
  <c r="W681" s="1"/>
  <c r="K236" i="17" s="1"/>
  <c r="V563" i="16"/>
  <c r="W563" s="1"/>
  <c r="L511"/>
  <c r="L520"/>
  <c r="L523" s="1"/>
  <c r="L524" s="1"/>
  <c r="L689"/>
  <c r="W497"/>
  <c r="W683" s="1"/>
  <c r="AC65" i="14"/>
  <c r="K237" i="17"/>
  <c r="AB65" i="14"/>
  <c r="AP30"/>
  <c r="V26" i="15"/>
  <c r="V53"/>
  <c r="AP60" i="14"/>
  <c r="K605" i="16"/>
  <c r="K723"/>
  <c r="N26" i="15" s="1"/>
  <c r="R708" i="16"/>
  <c r="AI60" i="14" s="1"/>
  <c r="R596" i="16"/>
  <c r="R571"/>
  <c r="R572"/>
  <c r="K571"/>
  <c r="K596"/>
  <c r="K708"/>
  <c r="AI30" i="14" s="1"/>
  <c r="K572" i="16"/>
  <c r="R723"/>
  <c r="N53" i="15" s="1"/>
  <c r="R605" i="16"/>
  <c r="P506"/>
  <c r="O509"/>
  <c r="O627"/>
  <c r="F64" i="11" s="1"/>
  <c r="O685" i="16"/>
  <c r="P499"/>
  <c r="P507" s="1"/>
  <c r="P684"/>
  <c r="S689"/>
  <c r="S520"/>
  <c r="S511"/>
  <c r="AB69" i="14"/>
  <c r="AB68"/>
  <c r="V684" i="16"/>
  <c r="V506"/>
  <c r="V499"/>
  <c r="V507" s="1"/>
  <c r="W498"/>
  <c r="AC68" i="14"/>
  <c r="AC69"/>
  <c r="N548" i="16"/>
  <c r="N539"/>
  <c r="N698" s="1"/>
  <c r="U524"/>
  <c r="U527" s="1"/>
  <c r="L565" l="1"/>
  <c r="L688"/>
  <c r="AD31" i="14" s="1"/>
  <c r="AD40" s="1"/>
  <c r="L527" i="16"/>
  <c r="L535" s="1"/>
  <c r="U695"/>
  <c r="U535"/>
  <c r="W500"/>
  <c r="X72" i="18"/>
  <c r="Y72" s="1"/>
  <c r="Z72" s="1"/>
  <c r="D72" s="1"/>
  <c r="X68"/>
  <c r="Y68" s="1"/>
  <c r="Z68" s="1"/>
  <c r="D68" s="1"/>
  <c r="X70"/>
  <c r="Y70" s="1"/>
  <c r="Z70" s="1"/>
  <c r="D70" s="1"/>
  <c r="X69"/>
  <c r="Y69" s="1"/>
  <c r="Z69" s="1"/>
  <c r="D69" s="1"/>
  <c r="X71"/>
  <c r="Y71" s="1"/>
  <c r="Z71" s="1"/>
  <c r="D71" s="1"/>
  <c r="X82"/>
  <c r="Y82" s="1"/>
  <c r="Z82" s="1"/>
  <c r="D82" s="1"/>
  <c r="X78"/>
  <c r="Y78" s="1"/>
  <c r="X77"/>
  <c r="Y77" s="1"/>
  <c r="Z77" s="1"/>
  <c r="D77" s="1"/>
  <c r="X83"/>
  <c r="X76"/>
  <c r="Y76" s="1"/>
  <c r="Z76" s="1"/>
  <c r="D76" s="1"/>
  <c r="AF33" i="14"/>
  <c r="K724" i="16"/>
  <c r="G87" i="17" s="1"/>
  <c r="K601" i="16"/>
  <c r="R724"/>
  <c r="G121" i="17" s="1"/>
  <c r="R601" i="16"/>
  <c r="R709"/>
  <c r="AK60" i="14" s="1"/>
  <c r="R597" i="16"/>
  <c r="R725" s="1"/>
  <c r="K731"/>
  <c r="F155" i="17" s="1"/>
  <c r="K606" i="16"/>
  <c r="K732" s="1"/>
  <c r="K597"/>
  <c r="K725" s="1"/>
  <c r="K709"/>
  <c r="AK30" i="14" s="1"/>
  <c r="R606" i="16"/>
  <c r="R732" s="1"/>
  <c r="U53" i="15" s="1"/>
  <c r="R731" i="16"/>
  <c r="N30" i="11"/>
  <c r="O30" s="1"/>
  <c r="N31"/>
  <c r="O31" s="1"/>
  <c r="N27"/>
  <c r="P685" i="16"/>
  <c r="P627"/>
  <c r="F65" i="11" s="1"/>
  <c r="O510" i="16"/>
  <c r="O513" s="1"/>
  <c r="O521" s="1"/>
  <c r="S523"/>
  <c r="S524" s="1"/>
  <c r="S688"/>
  <c r="AD61" i="14" s="1"/>
  <c r="AD70" s="1"/>
  <c r="S565" i="16"/>
  <c r="V627"/>
  <c r="I64" i="11" s="1"/>
  <c r="V685" i="16"/>
  <c r="W684"/>
  <c r="W499"/>
  <c r="W507" s="1"/>
  <c r="V509"/>
  <c r="W506"/>
  <c r="N567"/>
  <c r="N551"/>
  <c r="N552" s="1"/>
  <c r="U526"/>
  <c r="U694" s="1"/>
  <c r="U26" i="15" l="1"/>
  <c r="G155" i="17"/>
  <c r="N555" i="16"/>
  <c r="N705" s="1"/>
  <c r="S527"/>
  <c r="S535" s="1"/>
  <c r="L526"/>
  <c r="L695"/>
  <c r="Y83" i="18"/>
  <c r="Z83" s="1"/>
  <c r="D83" s="1"/>
  <c r="Q26" i="15"/>
  <c r="G19" i="17"/>
  <c r="O26" i="15"/>
  <c r="Q53"/>
  <c r="G53" i="17"/>
  <c r="O53" i="15"/>
  <c r="AO60" i="14"/>
  <c r="T26" i="15"/>
  <c r="AN30" i="14"/>
  <c r="T53" i="15"/>
  <c r="AN60" i="14"/>
  <c r="AO30"/>
  <c r="O36" i="11"/>
  <c r="R49"/>
  <c r="O37"/>
  <c r="O512" i="16"/>
  <c r="O690"/>
  <c r="L30" i="11"/>
  <c r="M30" s="1"/>
  <c r="L31"/>
  <c r="M31" s="1"/>
  <c r="L27"/>
  <c r="V510" i="16"/>
  <c r="V513" s="1"/>
  <c r="V521" s="1"/>
  <c r="W627"/>
  <c r="I65" i="11" s="1"/>
  <c r="W685" i="16"/>
  <c r="N554"/>
  <c r="N704" s="1"/>
  <c r="U525"/>
  <c r="U693" s="1"/>
  <c r="AE63" i="14" s="1"/>
  <c r="U534" i="16"/>
  <c r="S695" l="1"/>
  <c r="S526"/>
  <c r="S534" s="1"/>
  <c r="L694"/>
  <c r="L525"/>
  <c r="L534"/>
  <c r="L537" s="1"/>
  <c r="L538" s="1"/>
  <c r="M36" i="11"/>
  <c r="M508" i="16"/>
  <c r="M687" s="1"/>
  <c r="S49" i="11"/>
  <c r="S50" s="1"/>
  <c r="R50"/>
  <c r="O689" i="16"/>
  <c r="O520"/>
  <c r="O511"/>
  <c r="N49" i="11"/>
  <c r="M37"/>
  <c r="V690" i="16"/>
  <c r="V512"/>
  <c r="U537"/>
  <c r="N553"/>
  <c r="N703" s="1"/>
  <c r="U566"/>
  <c r="S694" l="1"/>
  <c r="S525"/>
  <c r="S566" s="1"/>
  <c r="L693"/>
  <c r="L566"/>
  <c r="L541"/>
  <c r="L549" s="1"/>
  <c r="M509"/>
  <c r="P508"/>
  <c r="P687" s="1"/>
  <c r="O523"/>
  <c r="O565"/>
  <c r="O688"/>
  <c r="AD34" i="14" s="1"/>
  <c r="T508" i="16"/>
  <c r="T687" s="1"/>
  <c r="O49" i="11"/>
  <c r="O50" s="1"/>
  <c r="N50"/>
  <c r="S537" i="16"/>
  <c r="S538" s="1"/>
  <c r="V689"/>
  <c r="V520"/>
  <c r="V511"/>
  <c r="AG33" i="14"/>
  <c r="N568" i="16"/>
  <c r="N569" s="1"/>
  <c r="N707" s="1"/>
  <c r="AH33" i="14" s="1"/>
  <c r="U538" i="16"/>
  <c r="U541" s="1"/>
  <c r="S693" l="1"/>
  <c r="AE57" i="18" s="1"/>
  <c r="AF57" s="1"/>
  <c r="AG57" s="1"/>
  <c r="E57" s="1"/>
  <c r="S541" i="16"/>
  <c r="S549" s="1"/>
  <c r="X59" i="18"/>
  <c r="Y59" s="1"/>
  <c r="Z59" s="1"/>
  <c r="D59" s="1"/>
  <c r="X63"/>
  <c r="Y63" s="1"/>
  <c r="X52"/>
  <c r="Y52" s="1"/>
  <c r="Z52" s="1"/>
  <c r="D52" s="1"/>
  <c r="X50"/>
  <c r="Y50" s="1"/>
  <c r="Z50" s="1"/>
  <c r="D50" s="1"/>
  <c r="X62"/>
  <c r="Y62" s="1"/>
  <c r="Z62" s="1"/>
  <c r="D62" s="1"/>
  <c r="X58"/>
  <c r="Y58" s="1"/>
  <c r="Z58" s="1"/>
  <c r="D58" s="1"/>
  <c r="X56"/>
  <c r="Y56" s="1"/>
  <c r="Z56" s="1"/>
  <c r="D56" s="1"/>
  <c r="X60"/>
  <c r="Y60" s="1"/>
  <c r="Z60" s="1"/>
  <c r="D60" s="1"/>
  <c r="X49"/>
  <c r="Y49" s="1"/>
  <c r="Z49" s="1"/>
  <c r="D49" s="1"/>
  <c r="X57"/>
  <c r="Y57" s="1"/>
  <c r="Z57" s="1"/>
  <c r="D57" s="1"/>
  <c r="X47"/>
  <c r="Y47" s="1"/>
  <c r="AE31" i="14"/>
  <c r="AE40" s="1"/>
  <c r="L700" i="16"/>
  <c r="L540"/>
  <c r="U700"/>
  <c r="U549"/>
  <c r="AE59" i="18"/>
  <c r="AF59" s="1"/>
  <c r="AG59" s="1"/>
  <c r="E59" s="1"/>
  <c r="AE58"/>
  <c r="AF58" s="1"/>
  <c r="AG58" s="1"/>
  <c r="E58" s="1"/>
  <c r="AE52"/>
  <c r="AE47"/>
  <c r="AF47" s="1"/>
  <c r="M510" i="16"/>
  <c r="M513" s="1"/>
  <c r="M521" s="1"/>
  <c r="P509"/>
  <c r="P510" s="1"/>
  <c r="O524"/>
  <c r="T509"/>
  <c r="W508"/>
  <c r="W687" s="1"/>
  <c r="V688"/>
  <c r="AD64" i="14" s="1"/>
  <c r="V565" i="16"/>
  <c r="V523"/>
  <c r="U540"/>
  <c r="U699" s="1"/>
  <c r="N595"/>
  <c r="N600" s="1"/>
  <c r="N727" s="1"/>
  <c r="N570"/>
  <c r="N708" s="1"/>
  <c r="AI33" i="14" s="1"/>
  <c r="AE50" i="18" l="1"/>
  <c r="AF50" s="1"/>
  <c r="AG50" s="1"/>
  <c r="E50" s="1"/>
  <c r="AE60"/>
  <c r="AF60" s="1"/>
  <c r="AG60" s="1"/>
  <c r="E60" s="1"/>
  <c r="AE63"/>
  <c r="AF63" s="1"/>
  <c r="AE56"/>
  <c r="AF56" s="1"/>
  <c r="AG56" s="1"/>
  <c r="E56" s="1"/>
  <c r="AE62"/>
  <c r="AF62" s="1"/>
  <c r="AG62" s="1"/>
  <c r="E62" s="1"/>
  <c r="AE49"/>
  <c r="AF49" s="1"/>
  <c r="AG49" s="1"/>
  <c r="E49" s="1"/>
  <c r="AE61" i="14"/>
  <c r="AE70" s="1"/>
  <c r="S700" i="16"/>
  <c r="S540"/>
  <c r="S699" s="1"/>
  <c r="O527"/>
  <c r="O526" s="1"/>
  <c r="L539"/>
  <c r="L548"/>
  <c r="L551" s="1"/>
  <c r="L552" s="1"/>
  <c r="L555" s="1"/>
  <c r="L705" s="1"/>
  <c r="L699"/>
  <c r="AF52" i="18"/>
  <c r="AG52" s="1"/>
  <c r="E52" s="1"/>
  <c r="AP33" i="14"/>
  <c r="V29" i="15"/>
  <c r="M690" i="16"/>
  <c r="M512"/>
  <c r="T510"/>
  <c r="T513" s="1"/>
  <c r="T521" s="1"/>
  <c r="W509"/>
  <c r="W510" s="1"/>
  <c r="V524"/>
  <c r="N605"/>
  <c r="N731" s="1"/>
  <c r="F158" i="17" s="1"/>
  <c r="N723" i="16"/>
  <c r="N29" i="15" s="1"/>
  <c r="N571" i="16"/>
  <c r="N709" s="1"/>
  <c r="AK33" i="14" s="1"/>
  <c r="N596" i="16"/>
  <c r="N572"/>
  <c r="U539"/>
  <c r="U698" s="1"/>
  <c r="U548"/>
  <c r="S539" l="1"/>
  <c r="S567" s="1"/>
  <c r="S548"/>
  <c r="S551" s="1"/>
  <c r="S552" s="1"/>
  <c r="S555" s="1"/>
  <c r="L554"/>
  <c r="L553" s="1"/>
  <c r="O695"/>
  <c r="O535"/>
  <c r="V527"/>
  <c r="V535" s="1"/>
  <c r="L567"/>
  <c r="L698"/>
  <c r="AE70" i="18"/>
  <c r="AF70" s="1"/>
  <c r="AG70" s="1"/>
  <c r="E70" s="1"/>
  <c r="AE72"/>
  <c r="AF72" s="1"/>
  <c r="AG72" s="1"/>
  <c r="E72" s="1"/>
  <c r="AE68"/>
  <c r="AF68" s="1"/>
  <c r="AG68" s="1"/>
  <c r="E68" s="1"/>
  <c r="AE69"/>
  <c r="AF69" s="1"/>
  <c r="AG69" s="1"/>
  <c r="E69" s="1"/>
  <c r="AE71"/>
  <c r="AF71" s="1"/>
  <c r="AG71" s="1"/>
  <c r="E71" s="1"/>
  <c r="AF63" i="14"/>
  <c r="AE83" i="18"/>
  <c r="AE78"/>
  <c r="AF78" s="1"/>
  <c r="AE82"/>
  <c r="AE77"/>
  <c r="AE76"/>
  <c r="N724" i="16"/>
  <c r="G90" i="17" s="1"/>
  <c r="N601" i="16"/>
  <c r="AN33" i="14"/>
  <c r="T29" i="15"/>
  <c r="M689" i="16"/>
  <c r="M520"/>
  <c r="M511"/>
  <c r="P512"/>
  <c r="O694"/>
  <c r="O525"/>
  <c r="O534"/>
  <c r="T512"/>
  <c r="T690"/>
  <c r="N606"/>
  <c r="N732" s="1"/>
  <c r="U567"/>
  <c r="U551"/>
  <c r="N597"/>
  <c r="N725" s="1"/>
  <c r="U29" i="15" l="1"/>
  <c r="G158" i="17"/>
  <c r="S698" i="16"/>
  <c r="AE74" i="18" s="1"/>
  <c r="L704" i="16"/>
  <c r="V695"/>
  <c r="V526"/>
  <c r="V525" s="1"/>
  <c r="X74" i="18"/>
  <c r="Y74" s="1"/>
  <c r="Z74" s="1"/>
  <c r="D74" s="1"/>
  <c r="AF31" i="14"/>
  <c r="AF40" s="1"/>
  <c r="AF77" i="18"/>
  <c r="AG77" s="1"/>
  <c r="E77" s="1"/>
  <c r="AF83"/>
  <c r="AG83" s="1"/>
  <c r="E83" s="1"/>
  <c r="AF76"/>
  <c r="AG76" s="1"/>
  <c r="E76" s="1"/>
  <c r="AF82"/>
  <c r="AG82" s="1"/>
  <c r="E82" s="1"/>
  <c r="Q29" i="15"/>
  <c r="G22" i="17"/>
  <c r="O29" i="15"/>
  <c r="AO33" i="14"/>
  <c r="M523" i="16"/>
  <c r="P520"/>
  <c r="M688"/>
  <c r="AD32" i="14" s="1"/>
  <c r="M565" i="16"/>
  <c r="P565" s="1"/>
  <c r="P511"/>
  <c r="P688" s="1"/>
  <c r="P689"/>
  <c r="P513"/>
  <c r="L703"/>
  <c r="AG31" i="14" s="1"/>
  <c r="AG40" s="1"/>
  <c r="L568" i="16"/>
  <c r="L569" s="1"/>
  <c r="O566"/>
  <c r="O693"/>
  <c r="AE34" i="14" s="1"/>
  <c r="O537" i="16"/>
  <c r="T689"/>
  <c r="T511"/>
  <c r="T520"/>
  <c r="W512"/>
  <c r="S705"/>
  <c r="S554"/>
  <c r="U552"/>
  <c r="AF61" i="14" l="1"/>
  <c r="AF70" s="1"/>
  <c r="V694" i="16"/>
  <c r="V534"/>
  <c r="U555"/>
  <c r="U705" s="1"/>
  <c r="P690"/>
  <c r="P521"/>
  <c r="AF74" i="18"/>
  <c r="AG74" s="1"/>
  <c r="E74" s="1"/>
  <c r="AD35" i="14"/>
  <c r="H238" i="17"/>
  <c r="M524" i="16"/>
  <c r="P523"/>
  <c r="P524" s="1"/>
  <c r="AD38" i="14"/>
  <c r="AD39"/>
  <c r="L707" i="16"/>
  <c r="AH31" i="14" s="1"/>
  <c r="AH40" s="1"/>
  <c r="AN40" s="1"/>
  <c r="AO40" s="1"/>
  <c r="L595" i="16"/>
  <c r="L600" s="1"/>
  <c r="L727" s="1"/>
  <c r="L570"/>
  <c r="O538"/>
  <c r="W511"/>
  <c r="W688" s="1"/>
  <c r="W513"/>
  <c r="W689"/>
  <c r="T565"/>
  <c r="T688"/>
  <c r="AD62" i="14" s="1"/>
  <c r="T523" i="16"/>
  <c r="W520"/>
  <c r="S704"/>
  <c r="S553"/>
  <c r="V537"/>
  <c r="V693"/>
  <c r="AE64" i="14" s="1"/>
  <c r="V566" i="16"/>
  <c r="U554" l="1"/>
  <c r="U704" s="1"/>
  <c r="O541"/>
  <c r="O549" s="1"/>
  <c r="M527"/>
  <c r="M535" s="1"/>
  <c r="W690"/>
  <c r="W521"/>
  <c r="AD65" i="14"/>
  <c r="K238" i="17"/>
  <c r="AP31" i="14"/>
  <c r="V27" i="15"/>
  <c r="V36" s="1"/>
  <c r="L723" i="16"/>
  <c r="N27" i="15" s="1"/>
  <c r="L605" i="16"/>
  <c r="L708"/>
  <c r="AI31" i="14" s="1"/>
  <c r="AI40" s="1"/>
  <c r="AK40" s="1"/>
  <c r="L571" i="16"/>
  <c r="L596"/>
  <c r="L572"/>
  <c r="AD69" i="14"/>
  <c r="AD68"/>
  <c r="T524" i="16"/>
  <c r="W523"/>
  <c r="W524" s="1"/>
  <c r="W565"/>
  <c r="S703"/>
  <c r="AG61" i="14" s="1"/>
  <c r="AG70" s="1"/>
  <c r="S568" i="16"/>
  <c r="S569" s="1"/>
  <c r="V538"/>
  <c r="U553"/>
  <c r="U703" s="1"/>
  <c r="O540" l="1"/>
  <c r="O548" s="1"/>
  <c r="O700"/>
  <c r="M695"/>
  <c r="M526"/>
  <c r="M525" s="1"/>
  <c r="T527"/>
  <c r="T535" s="1"/>
  <c r="V541"/>
  <c r="V549" s="1"/>
  <c r="L724"/>
  <c r="G88" i="17" s="1"/>
  <c r="L601" i="16"/>
  <c r="AP40" i="14"/>
  <c r="N36" i="15"/>
  <c r="T36" s="1"/>
  <c r="U36" s="1"/>
  <c r="L606" i="16"/>
  <c r="L732" s="1"/>
  <c r="L731"/>
  <c r="F156" i="17" s="1"/>
  <c r="L709" i="16"/>
  <c r="AK31" i="14" s="1"/>
  <c r="L597" i="16"/>
  <c r="L725" s="1"/>
  <c r="S707"/>
  <c r="AH61" i="14" s="1"/>
  <c r="AH70" s="1"/>
  <c r="AN70" s="1"/>
  <c r="AO70" s="1"/>
  <c r="S570" i="16"/>
  <c r="S595"/>
  <c r="S600" s="1"/>
  <c r="S727" s="1"/>
  <c r="AG63" i="14"/>
  <c r="U568" i="16"/>
  <c r="O699" l="1"/>
  <c r="U27" i="15"/>
  <c r="G156" i="17"/>
  <c r="V700" i="16"/>
  <c r="V540"/>
  <c r="V699" s="1"/>
  <c r="O539"/>
  <c r="O698" s="1"/>
  <c r="X75" i="18" s="1"/>
  <c r="Y75" s="1"/>
  <c r="T526" i="16"/>
  <c r="T694" s="1"/>
  <c r="M694"/>
  <c r="P526"/>
  <c r="P527" s="1"/>
  <c r="M534"/>
  <c r="M537" s="1"/>
  <c r="T695"/>
  <c r="O27" i="15"/>
  <c r="O36" s="1"/>
  <c r="Q36" s="1"/>
  <c r="Q27"/>
  <c r="G20" i="17"/>
  <c r="AP61" i="14"/>
  <c r="V54" i="15"/>
  <c r="AO31" i="14"/>
  <c r="AN31"/>
  <c r="T27" i="15"/>
  <c r="M693" i="16"/>
  <c r="M566"/>
  <c r="P525"/>
  <c r="P693" s="1"/>
  <c r="O551"/>
  <c r="S708"/>
  <c r="AI61" i="14" s="1"/>
  <c r="AI70" s="1"/>
  <c r="AK70" s="1"/>
  <c r="S596" i="16"/>
  <c r="S571"/>
  <c r="S572"/>
  <c r="S605"/>
  <c r="S723"/>
  <c r="N54" i="15" s="1"/>
  <c r="U569" i="16"/>
  <c r="U707" s="1"/>
  <c r="AH63" i="14" s="1"/>
  <c r="T534" i="16" l="1"/>
  <c r="W534" s="1"/>
  <c r="T525"/>
  <c r="T693" s="1"/>
  <c r="P694"/>
  <c r="V539"/>
  <c r="V548"/>
  <c r="V551" s="1"/>
  <c r="P534"/>
  <c r="W526"/>
  <c r="W527" s="1"/>
  <c r="O567"/>
  <c r="P695"/>
  <c r="P535"/>
  <c r="X64" i="18"/>
  <c r="Y64" s="1"/>
  <c r="Z64" s="1"/>
  <c r="D64" s="1"/>
  <c r="X55"/>
  <c r="Y55" s="1"/>
  <c r="Z55" s="1"/>
  <c r="D55" s="1"/>
  <c r="X61"/>
  <c r="Y61" s="1"/>
  <c r="Z61" s="1"/>
  <c r="D61" s="1"/>
  <c r="X45"/>
  <c r="X48"/>
  <c r="Y48" s="1"/>
  <c r="X46"/>
  <c r="AF34" i="14"/>
  <c r="Z75" i="18"/>
  <c r="D75" s="1"/>
  <c r="AE32" i="14"/>
  <c r="AE38" s="1"/>
  <c r="AE35"/>
  <c r="H239" i="17"/>
  <c r="S724" i="16"/>
  <c r="G122" i="17" s="1"/>
  <c r="S601" i="16"/>
  <c r="AP70" i="14"/>
  <c r="V63" i="15"/>
  <c r="N63"/>
  <c r="T63" s="1"/>
  <c r="U63" s="1"/>
  <c r="M538" i="16"/>
  <c r="P537"/>
  <c r="P538" s="1"/>
  <c r="P566"/>
  <c r="O552"/>
  <c r="O555" s="1"/>
  <c r="W694"/>
  <c r="S731"/>
  <c r="S606"/>
  <c r="S732" s="1"/>
  <c r="U54" i="15" s="1"/>
  <c r="S709" i="16"/>
  <c r="AK61" i="14" s="1"/>
  <c r="S597" i="16"/>
  <c r="S725" s="1"/>
  <c r="V698"/>
  <c r="V567"/>
  <c r="U595"/>
  <c r="U600" s="1"/>
  <c r="U727" s="1"/>
  <c r="U570"/>
  <c r="U708" s="1"/>
  <c r="AI63" i="14" s="1"/>
  <c r="W525" i="16" l="1"/>
  <c r="W693" s="1"/>
  <c r="AE65" i="14" s="1"/>
  <c r="T566" i="16"/>
  <c r="W566" s="1"/>
  <c r="T537"/>
  <c r="W537" s="1"/>
  <c r="W538" s="1"/>
  <c r="M541"/>
  <c r="M549" s="1"/>
  <c r="W695"/>
  <c r="W535"/>
  <c r="AE64" i="18"/>
  <c r="AF64" s="1"/>
  <c r="AG64" s="1"/>
  <c r="E64" s="1"/>
  <c r="AE61"/>
  <c r="AF61" s="1"/>
  <c r="AG61" s="1"/>
  <c r="E61" s="1"/>
  <c r="AE55"/>
  <c r="AF55" s="1"/>
  <c r="AG55" s="1"/>
  <c r="E55" s="1"/>
  <c r="Y46"/>
  <c r="Z46" s="1"/>
  <c r="D46" s="1"/>
  <c r="Y45"/>
  <c r="Z45" s="1"/>
  <c r="D45" s="1"/>
  <c r="AE39" i="14"/>
  <c r="AF64"/>
  <c r="AE75" i="18"/>
  <c r="AE62" i="14"/>
  <c r="AE68" s="1"/>
  <c r="AE48" i="18"/>
  <c r="AF48" s="1"/>
  <c r="AE46"/>
  <c r="AE45"/>
  <c r="O54" i="15"/>
  <c r="O63" s="1"/>
  <c r="Q63" s="1"/>
  <c r="Q54"/>
  <c r="G54" i="17"/>
  <c r="V56" i="15"/>
  <c r="AP63" i="14"/>
  <c r="AN61"/>
  <c r="T54" i="15"/>
  <c r="AO61" i="14"/>
  <c r="O554" i="16"/>
  <c r="O705"/>
  <c r="T538"/>
  <c r="V552"/>
  <c r="V555" s="1"/>
  <c r="U605"/>
  <c r="U606" s="1"/>
  <c r="U732" s="1"/>
  <c r="U56" i="15" s="1"/>
  <c r="U723" i="16"/>
  <c r="N56" i="15" s="1"/>
  <c r="U572" i="16"/>
  <c r="U571"/>
  <c r="U709" s="1"/>
  <c r="AK63" i="14" s="1"/>
  <c r="U596" i="16"/>
  <c r="K239" i="17" l="1"/>
  <c r="AE69" i="14"/>
  <c r="M700" i="16"/>
  <c r="M540"/>
  <c r="M699" s="1"/>
  <c r="T541"/>
  <c r="T549" s="1"/>
  <c r="D65" i="18"/>
  <c r="AF46"/>
  <c r="AG46" s="1"/>
  <c r="E46" s="1"/>
  <c r="AF75"/>
  <c r="AG75" s="1"/>
  <c r="E75" s="1"/>
  <c r="AF45"/>
  <c r="AG45" s="1"/>
  <c r="E45" s="1"/>
  <c r="U724" i="16"/>
  <c r="G124" i="17" s="1"/>
  <c r="U601" i="16"/>
  <c r="AO63" i="14"/>
  <c r="O704" i="16"/>
  <c r="O553"/>
  <c r="V705"/>
  <c r="V554"/>
  <c r="U731"/>
  <c r="U597"/>
  <c r="U725" s="1"/>
  <c r="M539" l="1"/>
  <c r="P539" s="1"/>
  <c r="P698" s="1"/>
  <c r="M548"/>
  <c r="M551" s="1"/>
  <c r="P540"/>
  <c r="P541" s="1"/>
  <c r="T700"/>
  <c r="T540"/>
  <c r="T699" s="1"/>
  <c r="E65" i="18"/>
  <c r="O56" i="15"/>
  <c r="Q56"/>
  <c r="G56" i="17"/>
  <c r="AN63" i="14"/>
  <c r="T56" i="15"/>
  <c r="M567" i="16"/>
  <c r="O703"/>
  <c r="AG34" i="14" s="1"/>
  <c r="O568" i="16"/>
  <c r="V704"/>
  <c r="V553"/>
  <c r="T548" l="1"/>
  <c r="W548" s="1"/>
  <c r="M698"/>
  <c r="X85" i="18" s="1"/>
  <c r="Y85" s="1"/>
  <c r="Z85" s="1"/>
  <c r="D85" s="1"/>
  <c r="W540" i="16"/>
  <c r="W699" s="1"/>
  <c r="P699"/>
  <c r="P548"/>
  <c r="T539"/>
  <c r="T698" s="1"/>
  <c r="P700"/>
  <c r="P549"/>
  <c r="AF35" i="14"/>
  <c r="H240" i="17"/>
  <c r="M552" i="16"/>
  <c r="M555" s="1"/>
  <c r="P551"/>
  <c r="P552" s="1"/>
  <c r="P567"/>
  <c r="O569"/>
  <c r="V703"/>
  <c r="AG64" i="14" s="1"/>
  <c r="V568" i="16"/>
  <c r="X79" i="18" l="1"/>
  <c r="T551" i="16"/>
  <c r="W551" s="1"/>
  <c r="W552" s="1"/>
  <c r="W541"/>
  <c r="W700" s="1"/>
  <c r="AF32" i="14"/>
  <c r="AF39" s="1"/>
  <c r="X80" i="18"/>
  <c r="Y80" s="1"/>
  <c r="Z80" s="1"/>
  <c r="D80" s="1"/>
  <c r="X73"/>
  <c r="Y73" s="1"/>
  <c r="Z73" s="1"/>
  <c r="W539" i="16"/>
  <c r="W698" s="1"/>
  <c r="K240" i="17" s="1"/>
  <c r="X81" i="18"/>
  <c r="Y81" s="1"/>
  <c r="Z81" s="1"/>
  <c r="D81" s="1"/>
  <c r="T567" i="16"/>
  <c r="W567" s="1"/>
  <c r="AE81" i="18"/>
  <c r="AF81" s="1"/>
  <c r="AG81" s="1"/>
  <c r="E81" s="1"/>
  <c r="AE80"/>
  <c r="AF80" s="1"/>
  <c r="AG80" s="1"/>
  <c r="E80" s="1"/>
  <c r="Y79"/>
  <c r="Z79" s="1"/>
  <c r="D79" s="1"/>
  <c r="AF62" i="14"/>
  <c r="AF69" s="1"/>
  <c r="AE79" i="18"/>
  <c r="AE85"/>
  <c r="AE73"/>
  <c r="M705" i="16"/>
  <c r="M554"/>
  <c r="O595"/>
  <c r="O600" s="1"/>
  <c r="O727" s="1"/>
  <c r="O707"/>
  <c r="AH34" i="14" s="1"/>
  <c r="O570" i="16"/>
  <c r="T552"/>
  <c r="T555" s="1"/>
  <c r="V569"/>
  <c r="W549" l="1"/>
  <c r="AF65" i="14"/>
  <c r="AF38"/>
  <c r="D73" i="18"/>
  <c r="D86" s="1"/>
  <c r="AF85"/>
  <c r="AG85" s="1"/>
  <c r="E85" s="1"/>
  <c r="AF73"/>
  <c r="AG73" s="1"/>
  <c r="E73" s="1"/>
  <c r="AF79"/>
  <c r="AG79" s="1"/>
  <c r="E79" s="1"/>
  <c r="AF68" i="14"/>
  <c r="AP34"/>
  <c r="V30" i="15"/>
  <c r="M704" i="16"/>
  <c r="P554"/>
  <c r="M553"/>
  <c r="O605"/>
  <c r="O723"/>
  <c r="N30" i="15" s="1"/>
  <c r="O572" i="16"/>
  <c r="O571"/>
  <c r="O596"/>
  <c r="O708"/>
  <c r="AI34" i="14" s="1"/>
  <c r="T705" i="16"/>
  <c r="T554"/>
  <c r="V707"/>
  <c r="AH64" i="14" s="1"/>
  <c r="V570" i="16"/>
  <c r="V595"/>
  <c r="V600" s="1"/>
  <c r="V727" s="1"/>
  <c r="E86" i="18" l="1"/>
  <c r="O724" i="16"/>
  <c r="G91" i="17" s="1"/>
  <c r="O601" i="16"/>
  <c r="V57" i="15"/>
  <c r="AP64" i="14"/>
  <c r="P704" i="16"/>
  <c r="P555"/>
  <c r="P705" s="1"/>
  <c r="M703"/>
  <c r="AG32" i="14" s="1"/>
  <c r="M568" i="16"/>
  <c r="P553"/>
  <c r="P703" s="1"/>
  <c r="O731"/>
  <c r="F159" i="17" s="1"/>
  <c r="O606" i="16"/>
  <c r="O732" s="1"/>
  <c r="O597"/>
  <c r="O725" s="1"/>
  <c r="O709"/>
  <c r="AK34" i="14" s="1"/>
  <c r="T704" i="16"/>
  <c r="W554"/>
  <c r="T553"/>
  <c r="V708"/>
  <c r="AI64" i="14" s="1"/>
  <c r="V571" i="16"/>
  <c r="V596"/>
  <c r="V572"/>
  <c r="V723"/>
  <c r="N57" i="15" s="1"/>
  <c r="V605" i="16"/>
  <c r="U30" i="15" l="1"/>
  <c r="G159" i="17"/>
  <c r="AG35" i="14"/>
  <c r="H241" i="17"/>
  <c r="O30" i="15"/>
  <c r="Q30"/>
  <c r="G23" i="17"/>
  <c r="V724" i="16"/>
  <c r="G125" i="17" s="1"/>
  <c r="V601" i="16"/>
  <c r="AN34" i="14"/>
  <c r="T30" i="15"/>
  <c r="AO34" i="14"/>
  <c r="AG38"/>
  <c r="AG39"/>
  <c r="P568" i="16"/>
  <c r="M569"/>
  <c r="T703"/>
  <c r="AG62" i="14" s="1"/>
  <c r="T568" i="16"/>
  <c r="W553"/>
  <c r="W703" s="1"/>
  <c r="W704"/>
  <c r="W555"/>
  <c r="W705" s="1"/>
  <c r="V731"/>
  <c r="V606"/>
  <c r="V732" s="1"/>
  <c r="U57" i="15" s="1"/>
  <c r="V709" i="16"/>
  <c r="AK64" i="14" s="1"/>
  <c r="V597" i="16"/>
  <c r="V725" s="1"/>
  <c r="AG65" i="14" l="1"/>
  <c r="K241" i="17"/>
  <c r="O57" i="15"/>
  <c r="Q57"/>
  <c r="G57" i="17"/>
  <c r="AN64" i="14"/>
  <c r="T57" i="15"/>
  <c r="AO64" i="14"/>
  <c r="M570" i="16"/>
  <c r="M707"/>
  <c r="AH32" i="14" s="1"/>
  <c r="M595" i="16"/>
  <c r="M600" s="1"/>
  <c r="P569"/>
  <c r="AG68" i="14"/>
  <c r="AG69"/>
  <c r="T569" i="16"/>
  <c r="W568"/>
  <c r="P600" l="1"/>
  <c r="P727" s="1"/>
  <c r="H260" i="17" s="1"/>
  <c r="M727" i="16"/>
  <c r="AH39" i="14"/>
  <c r="AH38"/>
  <c r="M723" i="16"/>
  <c r="N28" i="15" s="1"/>
  <c r="M605" i="16"/>
  <c r="P707"/>
  <c r="P595"/>
  <c r="M596"/>
  <c r="M708"/>
  <c r="AI32" i="14" s="1"/>
  <c r="M571" i="16"/>
  <c r="M572"/>
  <c r="P572" s="1"/>
  <c r="P570"/>
  <c r="T707"/>
  <c r="AH62" i="14" s="1"/>
  <c r="T595" i="16"/>
  <c r="T600" s="1"/>
  <c r="T570"/>
  <c r="W569"/>
  <c r="AH35" i="14" l="1"/>
  <c r="AH45" s="1"/>
  <c r="AN45" s="1"/>
  <c r="AO45" s="1"/>
  <c r="H242" i="17"/>
  <c r="W600" i="16"/>
  <c r="W727" s="1"/>
  <c r="H270" i="17" s="1"/>
  <c r="T727" i="16"/>
  <c r="M724"/>
  <c r="G89" i="17" s="1"/>
  <c r="M601" i="16"/>
  <c r="AP35" i="14"/>
  <c r="AP45" s="1"/>
  <c r="V31" i="15"/>
  <c r="V41" s="1"/>
  <c r="AP32" i="14"/>
  <c r="V28" i="15"/>
  <c r="N35"/>
  <c r="N34"/>
  <c r="M709" i="16"/>
  <c r="AK32" i="14" s="1"/>
  <c r="M597" i="16"/>
  <c r="M725" s="1"/>
  <c r="AN39" i="14"/>
  <c r="AO39" s="1"/>
  <c r="AH47"/>
  <c r="AN47" s="1"/>
  <c r="AO47" s="1"/>
  <c r="P723" i="16"/>
  <c r="N31" i="15" s="1"/>
  <c r="N41" s="1"/>
  <c r="T41" s="1"/>
  <c r="U41" s="1"/>
  <c r="P605" i="16"/>
  <c r="AN38" i="14"/>
  <c r="AO38" s="1"/>
  <c r="AH46"/>
  <c r="AN46" s="1"/>
  <c r="AO46" s="1"/>
  <c r="P596" i="16"/>
  <c r="P708"/>
  <c r="P571"/>
  <c r="AI39" i="14"/>
  <c r="AI38"/>
  <c r="M731" i="16"/>
  <c r="F157" i="17" s="1"/>
  <c r="M606" i="16"/>
  <c r="M732" s="1"/>
  <c r="AH69" i="14"/>
  <c r="AH68"/>
  <c r="W595" i="16"/>
  <c r="W707"/>
  <c r="T605"/>
  <c r="T723"/>
  <c r="N55" i="15" s="1"/>
  <c r="T708" i="16"/>
  <c r="AI62" i="14" s="1"/>
  <c r="T571" i="16"/>
  <c r="T596"/>
  <c r="T572"/>
  <c r="W572" s="1"/>
  <c r="W570"/>
  <c r="U28" i="15" l="1"/>
  <c r="G157" i="17"/>
  <c r="H259"/>
  <c r="O28" i="15"/>
  <c r="O35" s="1"/>
  <c r="O43" s="1"/>
  <c r="Q43" s="1"/>
  <c r="AI35" i="14"/>
  <c r="AI45" s="1"/>
  <c r="AK45" s="1"/>
  <c r="H244" i="17"/>
  <c r="Q28" i="15"/>
  <c r="G21" i="17"/>
  <c r="AH65" i="14"/>
  <c r="AH75" s="1"/>
  <c r="AN75" s="1"/>
  <c r="AO75" s="1"/>
  <c r="K242" i="17"/>
  <c r="P724" i="16"/>
  <c r="J259" i="17" s="1"/>
  <c r="P601" i="16"/>
  <c r="AP65" i="14"/>
  <c r="AP75" s="1"/>
  <c r="V58" i="15"/>
  <c r="V68" s="1"/>
  <c r="V55"/>
  <c r="AP62" i="14"/>
  <c r="AP39"/>
  <c r="AP47" s="1"/>
  <c r="AP38"/>
  <c r="AP46" s="1"/>
  <c r="T724" i="16"/>
  <c r="G123" i="17" s="1"/>
  <c r="T601" i="16"/>
  <c r="V34" i="15"/>
  <c r="V42" s="1"/>
  <c r="V35"/>
  <c r="V43" s="1"/>
  <c r="N62"/>
  <c r="N61"/>
  <c r="AN32" i="14"/>
  <c r="T28" i="15"/>
  <c r="AO32" i="14"/>
  <c r="N43" i="15"/>
  <c r="T43" s="1"/>
  <c r="U43" s="1"/>
  <c r="T35"/>
  <c r="U35" s="1"/>
  <c r="T34"/>
  <c r="U34" s="1"/>
  <c r="N42"/>
  <c r="T42" s="1"/>
  <c r="U42" s="1"/>
  <c r="AK38" i="14"/>
  <c r="AI46"/>
  <c r="AK46" s="1"/>
  <c r="P606" i="16"/>
  <c r="P732" s="1"/>
  <c r="P731"/>
  <c r="P709"/>
  <c r="P597"/>
  <c r="P725" s="1"/>
  <c r="G280" i="17" s="1"/>
  <c r="AI47" i="14"/>
  <c r="AK47" s="1"/>
  <c r="AK39"/>
  <c r="T731" i="16"/>
  <c r="T606"/>
  <c r="T732" s="1"/>
  <c r="U55" i="15" s="1"/>
  <c r="AN69" i="14"/>
  <c r="AO69" s="1"/>
  <c r="AH77"/>
  <c r="AN77" s="1"/>
  <c r="AO77" s="1"/>
  <c r="AH76"/>
  <c r="AN76" s="1"/>
  <c r="AO76" s="1"/>
  <c r="AN68"/>
  <c r="AO68" s="1"/>
  <c r="AI69"/>
  <c r="AI68"/>
  <c r="W605" i="16"/>
  <c r="W723"/>
  <c r="N58" i="15" s="1"/>
  <c r="N68" s="1"/>
  <c r="T68" s="1"/>
  <c r="U68" s="1"/>
  <c r="W571" i="16"/>
  <c r="W596"/>
  <c r="W708"/>
  <c r="T709"/>
  <c r="AK62" i="14" s="1"/>
  <c r="T597" i="16"/>
  <c r="T725" s="1"/>
  <c r="G315" i="17" l="1"/>
  <c r="G160"/>
  <c r="L259"/>
  <c r="F315"/>
  <c r="F160"/>
  <c r="G287"/>
  <c r="G92"/>
  <c r="H269"/>
  <c r="Q35" i="15"/>
  <c r="O34"/>
  <c r="O42" s="1"/>
  <c r="Q42" s="1"/>
  <c r="AI65" i="14"/>
  <c r="AI75" s="1"/>
  <c r="AK75" s="1"/>
  <c r="K244" i="17"/>
  <c r="AK35" i="14"/>
  <c r="N259" i="17"/>
  <c r="H245"/>
  <c r="Q31" i="15"/>
  <c r="G24" i="17"/>
  <c r="Q55" i="15"/>
  <c r="G55" i="17"/>
  <c r="U31" i="15"/>
  <c r="L260" i="17"/>
  <c r="O55" i="15"/>
  <c r="O62" s="1"/>
  <c r="O70" s="1"/>
  <c r="Q70" s="1"/>
  <c r="O31"/>
  <c r="O41" s="1"/>
  <c r="Q41" s="1"/>
  <c r="V62"/>
  <c r="V70" s="1"/>
  <c r="V61"/>
  <c r="V69" s="1"/>
  <c r="AP69" i="14"/>
  <c r="AP77" s="1"/>
  <c r="AP68"/>
  <c r="AP76" s="1"/>
  <c r="W724" i="16"/>
  <c r="G126" i="17" s="1"/>
  <c r="W601" i="16"/>
  <c r="AN62" i="14"/>
  <c r="T55" i="15"/>
  <c r="N70"/>
  <c r="T70" s="1"/>
  <c r="U70" s="1"/>
  <c r="T62"/>
  <c r="U62" s="1"/>
  <c r="T61"/>
  <c r="U61" s="1"/>
  <c r="N69"/>
  <c r="T69" s="1"/>
  <c r="U69" s="1"/>
  <c r="AO35" i="14"/>
  <c r="AO62"/>
  <c r="AN35"/>
  <c r="T31" i="15"/>
  <c r="W606" i="16"/>
  <c r="W732" s="1"/>
  <c r="W731"/>
  <c r="L269" i="17" s="1"/>
  <c r="W709" i="16"/>
  <c r="W597"/>
  <c r="W725" s="1"/>
  <c r="AK69" i="14"/>
  <c r="AI77"/>
  <c r="AK77" s="1"/>
  <c r="AI76"/>
  <c r="AK76" s="1"/>
  <c r="AK68"/>
  <c r="J269" i="17" l="1"/>
  <c r="O61" i="15"/>
  <c r="O69" s="1"/>
  <c r="Q69" s="1"/>
  <c r="Q34"/>
  <c r="Q62"/>
  <c r="AK65" i="14"/>
  <c r="N269" i="17"/>
  <c r="K245"/>
  <c r="O58" i="15"/>
  <c r="O68" s="1"/>
  <c r="Q68" s="1"/>
  <c r="Q58"/>
  <c r="G58" i="17"/>
  <c r="U58" i="15"/>
  <c r="L270" i="17"/>
  <c r="AO65" i="14"/>
  <c r="AN65"/>
  <c r="T58" i="15"/>
  <c r="W11" i="18"/>
  <c r="Y11" s="1"/>
  <c r="Z11" s="1"/>
  <c r="Q61" i="15" l="1"/>
  <c r="D11" i="18"/>
  <c r="D24" s="1"/>
</calcChain>
</file>

<file path=xl/sharedStrings.xml><?xml version="1.0" encoding="utf-8"?>
<sst xmlns="http://schemas.openxmlformats.org/spreadsheetml/2006/main" count="3463" uniqueCount="1455">
  <si>
    <t>Year</t>
  </si>
  <si>
    <t>Month</t>
  </si>
  <si>
    <t>Days</t>
  </si>
  <si>
    <t>Days Leap</t>
  </si>
  <si>
    <t>Leap</t>
  </si>
  <si>
    <t>Vlookup Name = mon_index</t>
  </si>
  <si>
    <t>Vlookup Name = yr_index</t>
  </si>
  <si>
    <t>Hydrology &amp; Water-Quality Conversion Factors</t>
  </si>
  <si>
    <t>Most conversions in this table are exact, that is, they are derived from defined constants.</t>
  </si>
  <si>
    <t xml:space="preserve">    For example, an inch is internationally defined as exactly 2.54 cm.</t>
  </si>
  <si>
    <t>There is no exact conversion for mass between metric and English units.</t>
  </si>
  <si>
    <t xml:space="preserve">    Therefore, in this table a conversion factor with 7 digits of accuracy is used.</t>
  </si>
  <si>
    <t>Formula Value</t>
  </si>
  <si>
    <t>Conversion</t>
  </si>
  <si>
    <t>From</t>
  </si>
  <si>
    <t>To</t>
  </si>
  <si>
    <t>Notes</t>
  </si>
  <si>
    <t>ft/m (SI units)</t>
  </si>
  <si>
    <t>Length</t>
  </si>
  <si>
    <t>This SI definition is used for all conversions</t>
  </si>
  <si>
    <t>ft/m (US foot)</t>
  </si>
  <si>
    <t>US survey foot vs. meter (not used)</t>
  </si>
  <si>
    <t>ft2/ac</t>
  </si>
  <si>
    <t>Area</t>
  </si>
  <si>
    <t>ac/ha</t>
  </si>
  <si>
    <t>sec/day</t>
  </si>
  <si>
    <t>Time</t>
  </si>
  <si>
    <t>L/ft3</t>
  </si>
  <si>
    <t>Volume</t>
  </si>
  <si>
    <t>gal/ft3</t>
  </si>
  <si>
    <t>1 gal = 231 cubic inches by definition</t>
  </si>
  <si>
    <t>gal/acft</t>
  </si>
  <si>
    <t>L/gal</t>
  </si>
  <si>
    <t>L/acft</t>
  </si>
  <si>
    <t>g/lb</t>
  </si>
  <si>
    <t>Load</t>
  </si>
  <si>
    <t>There is no exact conversion for mass.</t>
  </si>
  <si>
    <t>lb/kg</t>
  </si>
  <si>
    <t>cfs to acft/day</t>
  </si>
  <si>
    <t>Flow</t>
  </si>
  <si>
    <t>cfs to gal/day</t>
  </si>
  <si>
    <t>mg/lb</t>
  </si>
  <si>
    <t>mg/ton</t>
  </si>
  <si>
    <t>mg/Mton</t>
  </si>
  <si>
    <t>"Mton" = "metric ton" = megagram = 1000 kilograms</t>
  </si>
  <si>
    <t>lb/Mton</t>
  </si>
  <si>
    <t>cfs to L/day</t>
  </si>
  <si>
    <t>mg/L*cfs to lb/day</t>
  </si>
  <si>
    <t>Conc. * Flow</t>
  </si>
  <si>
    <t>mg/L*cfs to ton/day</t>
  </si>
  <si>
    <t>mg/L*cfs to Mton/day</t>
  </si>
  <si>
    <t>mg/L * acft to ton</t>
  </si>
  <si>
    <t>Conc. * Volume</t>
  </si>
  <si>
    <t>mg/L * acft to Mton</t>
  </si>
  <si>
    <t>mg/L * acft to lb</t>
  </si>
  <si>
    <t>ton / acft to mg/L</t>
  </si>
  <si>
    <t>Load / Volume</t>
  </si>
  <si>
    <t>Conc.</t>
  </si>
  <si>
    <t>Mton / acft to mg/L</t>
  </si>
  <si>
    <t>lb/ac/yr / in/yr to mg/L</t>
  </si>
  <si>
    <t>LoadRate / Runoff</t>
  </si>
  <si>
    <t>mg/L * in/yr to lb/ac/yr</t>
  </si>
  <si>
    <t>Conc. * Runoff</t>
  </si>
  <si>
    <t>LoadRate</t>
  </si>
  <si>
    <t>kg/L to lb/ft3</t>
  </si>
  <si>
    <t>Density</t>
  </si>
  <si>
    <t>lb/ac to kg/ha</t>
  </si>
  <si>
    <t>Load / Area</t>
  </si>
  <si>
    <t>lb/yr / mg/L to cfs</t>
  </si>
  <si>
    <t>Day/Month/Year Tables</t>
  </si>
  <si>
    <t>Lookup Name</t>
  </si>
  <si>
    <t>cfs_acftday</t>
  </si>
  <si>
    <t>mtonacft_mgl</t>
  </si>
  <si>
    <t>Flow, in acre feet</t>
  </si>
  <si>
    <t>Values given a Lookup Name can be referenced on other worksheets by using the Lookup Name.</t>
  </si>
  <si>
    <t>Concentration</t>
  </si>
  <si>
    <t>Beginning Year</t>
  </si>
  <si>
    <t>Ending Year</t>
  </si>
  <si>
    <t>Number of Years</t>
  </si>
  <si>
    <t>Summary of Flows, Loads, and Concentrations at Structures in the Caloosahatchee River Basin, for several periods of record</t>
  </si>
  <si>
    <t>Last updated 6/2/2011, TL</t>
  </si>
  <si>
    <t>Site (Structure)</t>
  </si>
  <si>
    <t>Total phosphorus (TP) concentrations are from TPO4 measurements in WQ samples.  Total nitrogen (TN) concentrations are calculated as TKN + NOX.</t>
  </si>
  <si>
    <t>TP Load, in mtons</t>
  </si>
  <si>
    <t>TN Conc., in mg/L</t>
  </si>
  <si>
    <t>TN Load, in mtons</t>
  </si>
  <si>
    <t>TP Conc., in mg/L</t>
  </si>
  <si>
    <t>Average Annual Values, for the period 1995-2005</t>
  </si>
  <si>
    <t>CRWPP Report</t>
  </si>
  <si>
    <t>mglcfs_mtonday</t>
  </si>
  <si>
    <t>mglacft_mton</t>
  </si>
  <si>
    <t>Other periods of record</t>
  </si>
  <si>
    <t>Pct difference</t>
  </si>
  <si>
    <t>Uses the same period of record for the comparison:  1995 to 2005.</t>
  </si>
  <si>
    <t>Vlookup Name = flow_9605</t>
  </si>
  <si>
    <t>Tables of Conversion Factors and Standard Lookup Values</t>
  </si>
  <si>
    <t>Total Nitrogen</t>
  </si>
  <si>
    <t>Total Phosphorus</t>
  </si>
  <si>
    <t>BMP #1, Owner-Implemented BMP Efficiencies</t>
  </si>
  <si>
    <t>BMP #2, Cost-Share BMP Efficiencies</t>
  </si>
  <si>
    <t>Residential Low Density</t>
  </si>
  <si>
    <t>Residential Medium Density</t>
  </si>
  <si>
    <t>Residential High Density</t>
  </si>
  <si>
    <t>Other Urban</t>
  </si>
  <si>
    <t>Improved Pasture</t>
  </si>
  <si>
    <t>Unimproved Pasture</t>
  </si>
  <si>
    <t>Rangeland, Woodland Pasture</t>
  </si>
  <si>
    <t>Row Crops</t>
  </si>
  <si>
    <t>Sugar Cane</t>
  </si>
  <si>
    <t>Citrus</t>
  </si>
  <si>
    <t>Sod</t>
  </si>
  <si>
    <t>Ornamentals</t>
  </si>
  <si>
    <t>Horse Farms</t>
  </si>
  <si>
    <t>Dairies</t>
  </si>
  <si>
    <t>Other Agriculture</t>
  </si>
  <si>
    <t>Tree Plantations</t>
  </si>
  <si>
    <t>Water</t>
  </si>
  <si>
    <t>Natural Areas</t>
  </si>
  <si>
    <t>Transportation</t>
  </si>
  <si>
    <t>Communication, Utilities</t>
  </si>
  <si>
    <t>Main FLUCCS code</t>
  </si>
  <si>
    <t>Unit TN Load, in lb/ac/yr</t>
  </si>
  <si>
    <t>TN Concen. , in mg/L</t>
  </si>
  <si>
    <t>Unit TP Load, in lb/ac/yr</t>
  </si>
  <si>
    <t>TP Concen., in mg/L</t>
  </si>
  <si>
    <t>Commercial and Services</t>
  </si>
  <si>
    <t>Industrial</t>
  </si>
  <si>
    <t>Extractive</t>
  </si>
  <si>
    <t>Institutional</t>
  </si>
  <si>
    <t>Recreational</t>
  </si>
  <si>
    <t>Improved Pastures</t>
  </si>
  <si>
    <t>Unimproved Pastures</t>
  </si>
  <si>
    <t>Woodland Pastures</t>
  </si>
  <si>
    <t>Rangeland</t>
  </si>
  <si>
    <t>Field Crops</t>
  </si>
  <si>
    <t>Mixed Crops</t>
  </si>
  <si>
    <t>Fruit Orchards</t>
  </si>
  <si>
    <t>Other Groves</t>
  </si>
  <si>
    <t>Cattle Feeding Operations</t>
  </si>
  <si>
    <t>Poultry Feeding Operations</t>
  </si>
  <si>
    <t>Tree Nurseries</t>
  </si>
  <si>
    <t>Specialty Farms</t>
  </si>
  <si>
    <t>Aquaculture</t>
  </si>
  <si>
    <t>Fallow Crop Land</t>
  </si>
  <si>
    <t>Upland Forests</t>
  </si>
  <si>
    <t>Wetlands</t>
  </si>
  <si>
    <t>Barren Land</t>
  </si>
  <si>
    <t>Open Land</t>
  </si>
  <si>
    <t>Communications</t>
  </si>
  <si>
    <t>Utilities</t>
  </si>
  <si>
    <t>Coastal</t>
  </si>
  <si>
    <t>East Caloosahatchee</t>
  </si>
  <si>
    <t>S-4</t>
  </si>
  <si>
    <t>Tidal Caloosahatchee</t>
  </si>
  <si>
    <t>West Caloosahatchee</t>
  </si>
  <si>
    <t>Total for CRWPP</t>
  </si>
  <si>
    <t>Total</t>
  </si>
  <si>
    <t>Source:  Email from Del Bottcher (SWET) to Joyce Zhang, 6/14/11, for the 2011 update of the CRWPP.</t>
  </si>
  <si>
    <t>For unit load, Del used a load value for each category multiplied by a global adjustment factor.</t>
  </si>
  <si>
    <t xml:space="preserve">For runoff, Del used an average runoff (58.14 cm/yr) multiplied by a runoff coefficient for each category </t>
  </si>
  <si>
    <t>Values were adjusted for 1996-2005 flows and loads, calibrated to match values for West Caloosahatchee (S79 - S78)</t>
  </si>
  <si>
    <t>Concentration was computed for each category as load divided by runoff.</t>
  </si>
  <si>
    <t>lbacin_mgl</t>
  </si>
  <si>
    <t>Del's concentration calculations used some inexact conversions, so the numbers here are computed directly from runoff and unit load.</t>
  </si>
  <si>
    <t>Bottcher-B Index Number</t>
  </si>
  <si>
    <t>Bottcher-B Landuse Category</t>
  </si>
  <si>
    <t>Bottcher Index</t>
  </si>
  <si>
    <t>Bottcher Index Number</t>
  </si>
  <si>
    <t>Bottcher Landuse Category</t>
  </si>
  <si>
    <t>BOTTCHER -- BMP EFFICIENCIES</t>
  </si>
  <si>
    <t>BMP Efficiencies</t>
  </si>
  <si>
    <t>These percentages are the same as those used for the 2008 CRWPP report.</t>
  </si>
  <si>
    <t>BOTTCHER-B -- LAND-USE ACREAGES</t>
  </si>
  <si>
    <t>BOTTCHER LAND-USE ACREAGES</t>
  </si>
  <si>
    <t>BMP Efficiencies:  Percentage load reductions for various BMP types, for TN and TP, for 20 Bottcher land-use categories</t>
  </si>
  <si>
    <t>BOTTCHER-B -- RUNOFF, LOADING, AND CONCENTRATION</t>
  </si>
  <si>
    <t>Runoff, Loading, and Concentration:  Runoff, unit loads, and mean concentrations, for TN and TP, for 38 bottcher-B land-use categories.</t>
  </si>
  <si>
    <t>Tables from Bottcher (SWET) are shown on the left.  Tables of land-use acreages from GIS are shown on the right.</t>
  </si>
  <si>
    <t>Two sets of land-use groupings are shown:  Bottcher using 20 categories (above), and Bottcher-B using 38 categories (below).</t>
  </si>
  <si>
    <t>Bottcher Land-Use Acreages:  Acreages by subwateshed for 20 Bottcher land-use categories.</t>
  </si>
  <si>
    <t>Bottcher-B Land-Use Acreages:  Acreages by subwateshed for 38 Bottcher-B land-use categories.</t>
  </si>
  <si>
    <t>This more-detailed set of 38 categories is used to calculate runoff and source loads.</t>
  </si>
  <si>
    <t>BMP #3, Additional / Alternative (not used)</t>
  </si>
  <si>
    <t>Source:  \\ftmfs1\swffs\GeoData\Projects\CRWPP\GisData_11\Landuse\spatial\fgdb\Crwpp11_Lu.gdb\StplnEast\LU05</t>
  </si>
  <si>
    <t>06/22/2011:  Derived from 6/21/2011 version of LU05, which added in  the same sod areas that were used in the 2008 CRWPP report.</t>
  </si>
  <si>
    <t>Acreages by subwateshed for 20 Bottcher land-use categories, from the spreadsheet Crwpp11_LU2005_summary.</t>
  </si>
  <si>
    <t>Acreages by subwateshed for 38 Bottcher-B land-use categories, from the spreadsheet Crwpp11_LU2005_summary.</t>
  </si>
  <si>
    <t>TN</t>
  </si>
  <si>
    <t>TP</t>
  </si>
  <si>
    <t>mg/L</t>
  </si>
  <si>
    <t>ppb</t>
  </si>
  <si>
    <t>Parm</t>
  </si>
  <si>
    <t>Index</t>
  </si>
  <si>
    <t>Abbrev</t>
  </si>
  <si>
    <t>Working Table Units</t>
  </si>
  <si>
    <t>Display Table Units</t>
  </si>
  <si>
    <t>Vlookup name = ParmList</t>
  </si>
  <si>
    <t>Parameter Definition</t>
  </si>
  <si>
    <t>Units</t>
  </si>
  <si>
    <t>Base</t>
  </si>
  <si>
    <t>Base Text</t>
  </si>
  <si>
    <t>Multiplier</t>
  </si>
  <si>
    <t>East Cal.</t>
  </si>
  <si>
    <t>Tidal</t>
  </si>
  <si>
    <t>West Cal.</t>
  </si>
  <si>
    <t>Total CRWPP</t>
  </si>
  <si>
    <t>geog</t>
  </si>
  <si>
    <t>alpha</t>
  </si>
  <si>
    <t>Conc</t>
  </si>
  <si>
    <t>lb_mton</t>
  </si>
  <si>
    <t>Cols for flow_9605</t>
  </si>
  <si>
    <t>Cols for bott8</t>
  </si>
  <si>
    <t>Lake Okeechobee</t>
  </si>
  <si>
    <t>Initial Estimate of Runoff, in ac-ft/yr</t>
  </si>
  <si>
    <t>Land-use Category</t>
  </si>
  <si>
    <t>Bottcher set of 38</t>
  </si>
  <si>
    <t>Parm Name</t>
  </si>
  <si>
    <t>The period of record for the 2012 CRWPP is 1996 to 2005.  The period of record for the 2009 CRWPP was 1995 to 2005.</t>
  </si>
  <si>
    <t>Period of Record for the 2012 CRWPP</t>
  </si>
  <si>
    <t>The S-4 Basin report did not include data for TN, so the 2009 CRWPP based its TN loads on an estimated concentration of 1.65 mg/L.</t>
  </si>
  <si>
    <t>Miscellaneous Notes:</t>
  </si>
  <si>
    <t>The 2012 CRWPP is based on work done in 2011.  Some earlier docs may refer to it as the 2011 CRWPP.</t>
  </si>
  <si>
    <t>2012 CRWPP</t>
  </si>
  <si>
    <t>For base layer for the land-use data is 2004-5.</t>
  </si>
  <si>
    <t>The flows and loads, the period of record is 1996-2005 (10 years).</t>
  </si>
  <si>
    <t>2009 CRWPP</t>
  </si>
  <si>
    <t>Master Lookup Tables</t>
  </si>
  <si>
    <t>Land-Use Data -- Land-Use Acreages, BMP Efficiencies, and Runoff-Loading-Concentrations</t>
  </si>
  <si>
    <t>Input to Caloos. from Lake Okee</t>
  </si>
  <si>
    <t>ac-ft/yr</t>
  </si>
  <si>
    <t>mton/yr</t>
  </si>
  <si>
    <t>Site</t>
  </si>
  <si>
    <t>Description of measured flow</t>
  </si>
  <si>
    <t>Adjustments for Runoff, in ac-ft/yr</t>
  </si>
  <si>
    <t>West Cal. = S79 - S78</t>
  </si>
  <si>
    <t>Total CRWPP = Coastal + Tidal + West Cal. + East Cal. + S-4</t>
  </si>
  <si>
    <t>Input from S-4</t>
  </si>
  <si>
    <t>Input from East Cal. plus upstream</t>
  </si>
  <si>
    <t>Input from West Cal. plus upstream</t>
  </si>
  <si>
    <t>For each land-use category, make initial estimates for runoff and loading, based on land-use acreages and Bottcher's "B" table of 38 categories.</t>
  </si>
  <si>
    <t>bottb L</t>
  </si>
  <si>
    <t>bottb C</t>
  </si>
  <si>
    <t>flow_9605 C</t>
  </si>
  <si>
    <t>flow_9605 L</t>
  </si>
  <si>
    <t>Computed Adjustment Factor (ratio)</t>
  </si>
  <si>
    <t>Finalized Adjustment Factor (ratio)</t>
  </si>
  <si>
    <t>Initial Estimates, from Land Use</t>
  </si>
  <si>
    <t>"Actual" Values, from Site Records</t>
  </si>
  <si>
    <t>"Actual" values for the CRWPP Sub-Watersheds are calculated from the site records as follows:</t>
  </si>
  <si>
    <t>S-4 = S235</t>
  </si>
  <si>
    <t>East Cal. = S78 - S77 - S235</t>
  </si>
  <si>
    <t>Compute the adjustment factors for runoff and loading, in order to adjust the initial estimates to the period-of-record flows and loads at sites S235, S77, S78, and S79.</t>
  </si>
  <si>
    <t>Adjustment Factors for matching the Initial Estimates to Measured Data</t>
  </si>
  <si>
    <t>Recommended value:</t>
  </si>
  <si>
    <t>0</t>
  </si>
  <si>
    <t>Set hard-wired values for the finalized adjustment factors here, if needed.  To keep the "computed" factor, set these values to zero.  Use any other number to set an arbitrary adjustment factor.</t>
  </si>
  <si>
    <t>Note:  Some runoff from the S-4 Basin discharges to Lake Okeechobee and thus is not measured as input at S235.</t>
  </si>
  <si>
    <t>Note:  Runoff from the East Cal. has always been difficult to quantify.  Adjustments normally are required.</t>
  </si>
  <si>
    <t>Comparison of values compiled for the 2012 CRWPP to values used for the 2009 CRWPP</t>
  </si>
  <si>
    <t>Management Measure #</t>
  </si>
  <si>
    <t>Project Feature/Activity</t>
  </si>
  <si>
    <t>WQ Category</t>
  </si>
  <si>
    <t>Flow/Storage Category</t>
  </si>
  <si>
    <t>Sub-watershed</t>
  </si>
  <si>
    <t>TN Removal, lb/yr</t>
  </si>
  <si>
    <t>TP Removal, lb/yr</t>
  </si>
  <si>
    <t>Project Phase</t>
  </si>
  <si>
    <t>Status Code</t>
  </si>
  <si>
    <t>Status Desc</t>
  </si>
  <si>
    <t>WQ</t>
  </si>
  <si>
    <t>Flow_Stor</t>
  </si>
  <si>
    <t>East</t>
  </si>
  <si>
    <t>Regional</t>
  </si>
  <si>
    <t>CRE 05</t>
  </si>
  <si>
    <t>East Caloosahatchee Water Quality Treatment Area</t>
  </si>
  <si>
    <t>CRE 10</t>
  </si>
  <si>
    <t>C-43 Water Quality Treatment and Demonstration Project (BOMA Property)</t>
  </si>
  <si>
    <t>CRE 11</t>
  </si>
  <si>
    <t xml:space="preserve">Caloosahatchee Ecoscape Water Quality Treatment Area </t>
  </si>
  <si>
    <t>CRE 13</t>
  </si>
  <si>
    <t xml:space="preserve">West Caloosahatchee Water Quality Treatment Area </t>
  </si>
  <si>
    <t>CRE 18</t>
  </si>
  <si>
    <t>Local</t>
  </si>
  <si>
    <t>CRE 19</t>
  </si>
  <si>
    <t>CRE 20</t>
  </si>
  <si>
    <t>Yellowtail Structure Construction - ECWCD</t>
  </si>
  <si>
    <t>Completed</t>
  </si>
  <si>
    <t>CRE 21</t>
  </si>
  <si>
    <t>Hendry County Storage</t>
  </si>
  <si>
    <t>West</t>
  </si>
  <si>
    <t>CRE 22</t>
  </si>
  <si>
    <t>Hendry Extension Canal Widening (Construction) - ECWCD</t>
  </si>
  <si>
    <t>CRE 30</t>
  </si>
  <si>
    <t>Aquifer Benefit and Storage for Orange River Basin (ABSORB) - ECWCD</t>
  </si>
  <si>
    <t>CRE 45</t>
  </si>
  <si>
    <t>Billy Creek Filter Marsh, Phase I and II</t>
  </si>
  <si>
    <t>CRE 48</t>
  </si>
  <si>
    <t>Manuel's Branch Silt Reduction Structure</t>
  </si>
  <si>
    <t>CRE 49</t>
  </si>
  <si>
    <t>Manuel's Branch East and West Weirs</t>
  </si>
  <si>
    <t>CRE 53</t>
  </si>
  <si>
    <t>Caloosahatchee Creeks Preserve Hydrological Restoration</t>
  </si>
  <si>
    <t>CRE 59</t>
  </si>
  <si>
    <t>North Fort Myers Surface Water Restoration</t>
  </si>
  <si>
    <t>CRE 77</t>
  </si>
  <si>
    <t>Cape Coral - Canal Stormwater Recovery by ASR</t>
  </si>
  <si>
    <t>CRE 121</t>
  </si>
  <si>
    <t>City of LaBelle Stormwater Master Plan Implementation</t>
  </si>
  <si>
    <t>CRE 123</t>
  </si>
  <si>
    <t>North Ten Mile Canal Stormwater Treatment System</t>
  </si>
  <si>
    <t>CRE 124</t>
  </si>
  <si>
    <t>Carrell Canal (FMCC) Water Quality Improvements</t>
  </si>
  <si>
    <t>CRE 125</t>
  </si>
  <si>
    <t>Shoemaker-Zapato Canal Stormwater Treatment</t>
  </si>
  <si>
    <t>CRE 126</t>
  </si>
  <si>
    <t>Fort Myers-Cape Coral Reclaimed Water Interconnect</t>
  </si>
  <si>
    <t>CRE 128</t>
  </si>
  <si>
    <t>East Caloosahatchee Storage</t>
  </si>
  <si>
    <t>CRE 128a</t>
  </si>
  <si>
    <t>Caloosahatchee Storage - Additional</t>
  </si>
  <si>
    <t>CRE 129</t>
  </si>
  <si>
    <t>Wastewater Treatment Plant Upgrade and Reclaimed Water</t>
  </si>
  <si>
    <t>All</t>
  </si>
  <si>
    <t>CRE 132</t>
  </si>
  <si>
    <t>CRE 133</t>
  </si>
  <si>
    <t>CRE 135</t>
  </si>
  <si>
    <t>CRE 137</t>
  </si>
  <si>
    <t>Kickapoo Creek Stormwater System Analysis</t>
  </si>
  <si>
    <t>CRE 138</t>
  </si>
  <si>
    <t>Pollywog Creek</t>
  </si>
  <si>
    <t>CRE 139</t>
  </si>
  <si>
    <t>Ford Canal Filter Marsh (a.k.a. Ford Street Preserve)</t>
  </si>
  <si>
    <t>CRE 140</t>
  </si>
  <si>
    <t>CRE 141</t>
  </si>
  <si>
    <t>Winkler Canal Filter Marsh</t>
  </si>
  <si>
    <t>CRE 142</t>
  </si>
  <si>
    <t>Harns Marsh Improvements, Phase III, West Marsh</t>
  </si>
  <si>
    <t>Station (Structure)</t>
  </si>
  <si>
    <t># of 
Days</t>
  </si>
  <si>
    <t># of Days with Flow</t>
  </si>
  <si>
    <t>Flow, 
in ac-ft</t>
  </si>
  <si>
    <t>TN Load, 
in mtons</t>
  </si>
  <si>
    <t>TP Load, 
in mtons</t>
  </si>
  <si>
    <t>TN Conc., 
in mg/L</t>
  </si>
  <si>
    <t>TP Conc., 
in mg/L</t>
  </si>
  <si>
    <t>All summaries in this table are for calendar years.</t>
  </si>
  <si>
    <t>Annual Summary by Calendar Year</t>
  </si>
  <si>
    <t>Calendar Year</t>
  </si>
  <si>
    <t>Only positive flows are included</t>
  </si>
  <si>
    <t>Annual 
TP Load, in metric tons</t>
  </si>
  <si>
    <t>Annual 
Flow, in 
acre feet</t>
  </si>
  <si>
    <t>Annual 
TN Load, in metric tons</t>
  </si>
  <si>
    <t>Mean TP Conc., 
in mg/L</t>
  </si>
  <si>
    <t>Mean TN 
Conc., 
in mg/L</t>
  </si>
  <si>
    <t>TP Load</t>
  </si>
  <si>
    <t>TN Load</t>
  </si>
  <si>
    <t>TP Conc.</t>
  </si>
  <si>
    <t>TN Conc.</t>
  </si>
  <si>
    <t>The 2009 CRWPP was based on work done in 2008.  Some earlier docs may refer to it as the 2008 CRWPP.</t>
  </si>
  <si>
    <t>The flows and loads, the period of record was 1995-2005 (11 years).</t>
  </si>
  <si>
    <t>For base layer for the land-use data was 2004-5.</t>
  </si>
  <si>
    <t>Lookup = TNBase</t>
  </si>
  <si>
    <t>Lookup = TPBase</t>
  </si>
  <si>
    <t>Base for TN</t>
  </si>
  <si>
    <t>Base for TP</t>
  </si>
  <si>
    <t>Compiled by Clyde Dabbs and others from 2009 CRWPP and project lists for Stormwater Division and LWCSC.</t>
  </si>
  <si>
    <t>Change in Flow, 
ac-ft/yr</t>
  </si>
  <si>
    <t>Change in Storage, 
ac-ft</t>
  </si>
  <si>
    <t>Management-measure project list for 2012 CRWPP</t>
  </si>
  <si>
    <t>CRE 01-1</t>
  </si>
  <si>
    <t>CRE 01-2</t>
  </si>
  <si>
    <t>CRE 01-3</t>
  </si>
  <si>
    <t>CRE 02</t>
  </si>
  <si>
    <t>Recyclable Water Containment Areas (RWCA) in S-4 Basin</t>
  </si>
  <si>
    <t>CRE 64-1</t>
  </si>
  <si>
    <t>CRE 64-2</t>
  </si>
  <si>
    <t>Yellow Fever Creek/Gator Slough Transfer Facility, from Tidal</t>
  </si>
  <si>
    <t>Yellow Fever Creek/Gator Slough Transfer Facility, to Coastal</t>
  </si>
  <si>
    <t>Recyclable Water Containment Areas (RWCA) - I and II, East Cal.</t>
  </si>
  <si>
    <t>Recyclable Water Containment Areas (RWCA) - III and IV, West Cal.</t>
  </si>
  <si>
    <t>Recyclable Water Containment Areas (RWCA) - V, Tidal Cal.</t>
  </si>
  <si>
    <t>CRE 69-1</t>
  </si>
  <si>
    <t>CRE 69-2</t>
  </si>
  <si>
    <t>Cape Coral Wastewater Treatment and Stormwater Retrofit, East</t>
  </si>
  <si>
    <t>Cape Coral Wastewater Treatment and Stormwater Retrofit, West</t>
  </si>
  <si>
    <t>CRE-LO 40-1</t>
  </si>
  <si>
    <t>West Lake Hicpochee Storage - I</t>
  </si>
  <si>
    <t>CRE-LO 40-2</t>
  </si>
  <si>
    <t>West Lake Hicpochee Storage - II</t>
  </si>
  <si>
    <t>CRE-LO 41-1</t>
  </si>
  <si>
    <t>C-43 Distributed Reservoirs - I</t>
  </si>
  <si>
    <t>CRE-LO 41-2</t>
  </si>
  <si>
    <t>C-43 Distributed Reservoirs - II</t>
  </si>
  <si>
    <t>Local Projects</t>
  </si>
  <si>
    <t>Regional Projects</t>
  </si>
  <si>
    <t>Total, in lb/yr</t>
  </si>
  <si>
    <t>Total, in mton/yr</t>
  </si>
  <si>
    <t>Lake Okeechobee Reductions</t>
  </si>
  <si>
    <t>n.a.</t>
  </si>
  <si>
    <t>Okee</t>
  </si>
  <si>
    <t>Project Scale</t>
  </si>
  <si>
    <t>Coord Source</t>
  </si>
  <si>
    <t>X_Coord</t>
  </si>
  <si>
    <t>Y_Coord</t>
  </si>
  <si>
    <t>Lat_DD</t>
  </si>
  <si>
    <t>Long_DD</t>
  </si>
  <si>
    <t>CRWPP08, GE</t>
  </si>
  <si>
    <t>CRWPP08 Alt1</t>
  </si>
  <si>
    <t>CRWPP08 Alt1, GE</t>
  </si>
  <si>
    <t>General, GE</t>
  </si>
  <si>
    <t>ASR, GE</t>
  </si>
  <si>
    <t>FTM SWMP, GE</t>
  </si>
  <si>
    <t>Project Plan, GE</t>
  </si>
  <si>
    <t>SWDiv10</t>
  </si>
  <si>
    <t>SWDiv11</t>
  </si>
  <si>
    <t>SFWMD Perm, GE</t>
  </si>
  <si>
    <t>SWDiv10, GE</t>
  </si>
  <si>
    <t>Cons2020, GE</t>
  </si>
  <si>
    <t>CRWPP08 Alt2</t>
  </si>
  <si>
    <t>Initial Estimate of TN Nutrient Load, in mton/yr</t>
  </si>
  <si>
    <t>Initial Estimate of TP Nutrient Load, in mton/yr</t>
  </si>
  <si>
    <t>Last updated 8/22/2011, TL</t>
  </si>
  <si>
    <t>Note:  Bottcher's B table was calibrated on this sub-watershed, so no adjustment should be needed.</t>
  </si>
  <si>
    <t>Adjustments for TN Nutrient Load, in mton/yr</t>
  </si>
  <si>
    <t>Adjustments for TP Nutrient Load, in mton/yr</t>
  </si>
  <si>
    <t>Near-Term</t>
  </si>
  <si>
    <t>Status</t>
  </si>
  <si>
    <t>col 4 = index number for SubWatGeog</t>
  </si>
  <si>
    <t>col 4 = index number for SubWatAlpha</t>
  </si>
  <si>
    <t>Project Name</t>
  </si>
  <si>
    <t>Operational Status</t>
  </si>
  <si>
    <t>Program</t>
  </si>
  <si>
    <t>Sub-wat Index</t>
  </si>
  <si>
    <t>County</t>
  </si>
  <si>
    <t>Completion Date</t>
  </si>
  <si>
    <t>Comments</t>
  </si>
  <si>
    <t>Operational</t>
  </si>
  <si>
    <t>Lee</t>
  </si>
  <si>
    <t>Glades</t>
  </si>
  <si>
    <t>Storage represents "rolled-up" projects; unhide rows below for individual projects</t>
  </si>
  <si>
    <t>WRP</t>
  </si>
  <si>
    <t>Hendry</t>
  </si>
  <si>
    <t>BARRON WATER CONTROL DISTRICT (BWCD) C-2 WATER STORAGE PROJECT</t>
  </si>
  <si>
    <t>AWSD</t>
  </si>
  <si>
    <t>Cost Share: 50/50; no water quality component.  App 071002-11.  Pumps excess water from C-43</t>
  </si>
  <si>
    <t>Constr. Funded</t>
  </si>
  <si>
    <t>Designed and/or Permitted</t>
  </si>
  <si>
    <t>CLEWISTON SITE (Alternative Storage / Rehydration Project)</t>
  </si>
  <si>
    <t>Designed/Permitted</t>
  </si>
  <si>
    <t>Not Available</t>
  </si>
  <si>
    <t>Preliminary Design</t>
  </si>
  <si>
    <t>Prelim. Design</t>
  </si>
  <si>
    <t>NORTHERN EVERGLADES - PAYMENT FOR ENVIRONMENTAL SERVICES (NE-PES)(New MM)</t>
  </si>
  <si>
    <t>No information</t>
  </si>
  <si>
    <t>TBD</t>
  </si>
  <si>
    <t>Construction Unfunded</t>
  </si>
  <si>
    <t>Constr. Unfunded</t>
  </si>
  <si>
    <t>POPASH CREEK PRESERVE</t>
  </si>
  <si>
    <t>Feasibility Study Complete</t>
  </si>
  <si>
    <t>CALOOSAHATCHEE AREA LAKES RESTORATION (LAKE HICPOCHEE)(CRE 04)</t>
  </si>
  <si>
    <t>Feas Study Complete</t>
  </si>
  <si>
    <t>CALOOSAHATCHEE AREA LAKES RESTORATION (LAKE BONNET)</t>
  </si>
  <si>
    <t>CALOOSAHATCHEE AREA LAKES RESTORATION (LAKE FLIRT)</t>
  </si>
  <si>
    <t>col2 = Alpha, col 3 = Geog</t>
  </si>
  <si>
    <t>Summary of Dispersed Water Management Projects</t>
  </si>
  <si>
    <t>This table combines all of the dispersed water management projects into a standard format.</t>
  </si>
  <si>
    <t>Vlookup = subwatconc</t>
  </si>
  <si>
    <t>Vlookup = dispersedsum</t>
  </si>
  <si>
    <t>Vlookup = subwatalpha</t>
  </si>
  <si>
    <t>Vlookup = subwatindex</t>
  </si>
  <si>
    <t>Vlookup = subwatgeog</t>
  </si>
  <si>
    <t>Vlookup = projstatus</t>
  </si>
  <si>
    <t>Total Load Reductions for Dispersed Water Management Projects, by Sub-watershed and Project Status</t>
  </si>
  <si>
    <t>Table to the right gives summary totals for the projects listed above.</t>
  </si>
  <si>
    <t>Values are load reductions, in kg/yr.</t>
  </si>
  <si>
    <t>Load reductions were calculated as:  storage x concentration = kg/yr</t>
  </si>
  <si>
    <t>Row Crop</t>
  </si>
  <si>
    <t>EAST CALOOSAHATCHEE</t>
  </si>
  <si>
    <t>Citrus, Row Crop</t>
  </si>
  <si>
    <t>TELEGRAPH SWAMP</t>
  </si>
  <si>
    <t>Residential</t>
  </si>
  <si>
    <t>WEST CALOOSAHATCHEE</t>
  </si>
  <si>
    <t>Imp. Pasture, Citrus, Row Crop</t>
  </si>
  <si>
    <t>Owners</t>
  </si>
  <si>
    <t>Multiple</t>
  </si>
  <si>
    <t>Land Use</t>
  </si>
  <si>
    <t>Site Num</t>
  </si>
  <si>
    <t>Runoff, in in/yr</t>
  </si>
  <si>
    <t>Runoff, in ac-ft/yr</t>
  </si>
  <si>
    <t>TP Base Load, in kg/yr</t>
  </si>
  <si>
    <t>TN Base Load, in kg/yr</t>
  </si>
  <si>
    <t>Bottcher-B LU Code</t>
  </si>
  <si>
    <t>TP Conc, in mg/L</t>
  </si>
  <si>
    <t>TN Conc, in mg/L</t>
  </si>
  <si>
    <t>TP Load Reduction, in kg/yr</t>
  </si>
  <si>
    <t>TN Load Reduction, in kg/yr</t>
  </si>
  <si>
    <t>Cost Adjustment Factor</t>
  </si>
  <si>
    <t>Base Cost</t>
  </si>
  <si>
    <t>Adjusted Cost</t>
  </si>
  <si>
    <t>Load Reduction Factor</t>
  </si>
  <si>
    <t>Basin</t>
  </si>
  <si>
    <t>Worksheet for Load Reductions from Parcel-based Chemical Treatment</t>
  </si>
  <si>
    <t>Columns in gray are adapted from the LOPP, based on data compilation and analysis by Bottcher.</t>
  </si>
  <si>
    <t>TP and TN concentrations are from the LU_Lookup table.</t>
  </si>
  <si>
    <t>For this type of intensive treatment, the LOPP assumed that the loading would be reduced by 80 percent.</t>
  </si>
  <si>
    <t>lbacft_mgl</t>
  </si>
  <si>
    <t>lb / acft to mg/L</t>
  </si>
  <si>
    <t>TP, in kg/yr</t>
  </si>
  <si>
    <t>TN, in kg/yr</t>
  </si>
  <si>
    <t>Table to the right gives summary totals for the sites listed above.</t>
  </si>
  <si>
    <t>Table of Load Reductions from Parcel-based Chemical Treatment,</t>
  </si>
  <si>
    <t>by Sub-watershed</t>
  </si>
  <si>
    <t>Vlookup = parchemtrt</t>
  </si>
  <si>
    <t>S-CRE</t>
  </si>
  <si>
    <t>S-79</t>
  </si>
  <si>
    <t>S-235</t>
  </si>
  <si>
    <t>S-77</t>
  </si>
  <si>
    <t>S-78</t>
  </si>
  <si>
    <t>These are the period-of-record (1996 to 2005) flows and loads, as summarized from the DBHYDRO database or modeling.</t>
  </si>
  <si>
    <t>Data for S-235, S-77, S-78, and S-79 are from DBHYDRO, and represent the measured flow at those sites.</t>
  </si>
  <si>
    <t>Last updated 8/23/2011, TL</t>
  </si>
  <si>
    <t>Values for the 2009 CRWPP at site S-235 were taken from the S-4 Basin Feasibility Study report, section 2.2.10, prepared by Burns &amp; McDonnell, March 2008.</t>
  </si>
  <si>
    <t>Values for the 2009 CRWPP at sites S-77, S-78, and S-79 were calculated from data compiled by Nenad Iricanin from DBHYDRO, April 2008.</t>
  </si>
  <si>
    <t>Data for S-235, S-77, S-78, and S-79 were calculated from daily flows and loads compiled by Lucia Baldwin from DBHYDRO, July 2011.</t>
  </si>
  <si>
    <t>Water-quality data for S-235 prior to May 2009 are based on concentrations at site CR-00.2T.</t>
  </si>
  <si>
    <t>Several sites (S-235 and S-77) contain negative (reverse) flows for some periods.  This table uses only the positive flows.</t>
  </si>
  <si>
    <t>Period of Record</t>
  </si>
  <si>
    <t>Data from DBHYDRO</t>
  </si>
  <si>
    <t>Data from Modeling</t>
  </si>
  <si>
    <t>Tidal and Coastal</t>
  </si>
  <si>
    <t>The "computed" adjusment factor is the ratio of estimated to "actual".  Using the "computed" factor will force the adjusted values to match the "actual".</t>
  </si>
  <si>
    <t>Tidal and Coastal have no corresponding measured data.  Tidal runoff is based on modeling results, and the same adjustment is used for Coastal, and also for TN and TP.</t>
  </si>
  <si>
    <t>Values for S-CRE are from LinRes model (2011), and represent the estimated runoff from the Tidal Sub-watershed into the Caloos. Estuary.  (Flow only, no WQ data.)</t>
  </si>
  <si>
    <t>Konyha, K. and Y. Wan, 2011.  Calibration and refinement of the Tidal Caloosahatchee Basin LinRes Model</t>
  </si>
  <si>
    <t>for Caloosahatchee Estuary Water Reservation, Technical Memorandum, SFWMD.</t>
  </si>
  <si>
    <t>Only flow values were included, no values for TP or TN.</t>
  </si>
  <si>
    <t>Data for S-CRE were calculated from daily flows supplied by Chris Buzzelli, July 2011, with the following source citation:</t>
  </si>
  <si>
    <t>Values for the 2009 CRWPP for the Tidal Caloosahatchee (S-CRE) were taken from concurrent WMM modeling results by FDEP, March 2008.</t>
  </si>
  <si>
    <t>Incomplete data for 2010</t>
  </si>
  <si>
    <t>No TP or TN data available from model</t>
  </si>
  <si>
    <t>Input from Tidal (modeled)</t>
  </si>
  <si>
    <t>WETLAND RESERVE PROGRAM (WRP) PROJECT / NRCS: SPIRIT OF THE WILD WMA</t>
  </si>
  <si>
    <t>FDACS BMP: RIVER GROVES III (COUSE)</t>
  </si>
  <si>
    <t>FDACS BMP: LUNDY FARM</t>
  </si>
  <si>
    <t>FDACS BMP: MUDGE RANCH</t>
  </si>
  <si>
    <t>FDACS BMP: CLEGHORN FARM</t>
  </si>
  <si>
    <t>CALOOSAHATCHEE EAST &amp; WEST PROPERTY (TIITF)</t>
  </si>
  <si>
    <t>Construction Funded</t>
  </si>
  <si>
    <t>Project Area, in ac</t>
  </si>
  <si>
    <t>Drainage Area, in ac</t>
  </si>
  <si>
    <t>Estimated Storage, in ac-ft</t>
  </si>
  <si>
    <t>Estimated TP Conc., in mg/L</t>
  </si>
  <si>
    <t>Estimated TP Load Reduction, in kg/yr</t>
  </si>
  <si>
    <t>Estimated TN Conc., in mg/L</t>
  </si>
  <si>
    <t>Estimated TN Load Reduction, in kg/yr</t>
  </si>
  <si>
    <t>Note:  Several other projects require additional review, clarification, or detail.</t>
  </si>
  <si>
    <t>1_L</t>
  </si>
  <si>
    <t>1_R</t>
  </si>
  <si>
    <t>1_L_Flow</t>
  </si>
  <si>
    <t>L</t>
  </si>
  <si>
    <t>Stor</t>
  </si>
  <si>
    <t>R</t>
  </si>
  <si>
    <t>1_L_Stor</t>
  </si>
  <si>
    <t>1_L_TN</t>
  </si>
  <si>
    <t>1_L_TP</t>
  </si>
  <si>
    <t>1_R_Flow</t>
  </si>
  <si>
    <t>1_R_Stor</t>
  </si>
  <si>
    <t>1_R_TN</t>
  </si>
  <si>
    <t>1_R_TP</t>
  </si>
  <si>
    <t>2_L_Flow</t>
  </si>
  <si>
    <t>2_L_Stor</t>
  </si>
  <si>
    <t>2_L_TN</t>
  </si>
  <si>
    <t>2_L_TP</t>
  </si>
  <si>
    <t>2_R_Flow</t>
  </si>
  <si>
    <t>2_R_Stor</t>
  </si>
  <si>
    <t>2_R_TN</t>
  </si>
  <si>
    <t>2_R_TP</t>
  </si>
  <si>
    <t>3_L_Flow</t>
  </si>
  <si>
    <t>3_L_Stor</t>
  </si>
  <si>
    <t>3_L_TN</t>
  </si>
  <si>
    <t>3_L_TP</t>
  </si>
  <si>
    <t>3_R_Flow</t>
  </si>
  <si>
    <t>3_R_Stor</t>
  </si>
  <si>
    <t>3_R_TN</t>
  </si>
  <si>
    <t>3_R_TP</t>
  </si>
  <si>
    <t>2_L</t>
  </si>
  <si>
    <t>2_R</t>
  </si>
  <si>
    <t>3_L</t>
  </si>
  <si>
    <t>3_R</t>
  </si>
  <si>
    <t>Scale</t>
  </si>
  <si>
    <t>Data</t>
  </si>
  <si>
    <t>ac-ft</t>
  </si>
  <si>
    <t>lb/yr</t>
  </si>
  <si>
    <t>Status, Scale, Sub-watershed, and data type.</t>
  </si>
  <si>
    <t>Comb_3</t>
  </si>
  <si>
    <t>The table to the right contains sums for all combinations of</t>
  </si>
  <si>
    <t>Comb_2</t>
  </si>
  <si>
    <t>The table is sorted on the column Comb_3 and the name "mmsum"</t>
  </si>
  <si>
    <t>and the column index number from 1 to 8.</t>
  </si>
  <si>
    <t>&lt;-- index</t>
  </si>
  <si>
    <t>Change in Flow:  Positive values are additional flow, negative are reductions.</t>
  </si>
  <si>
    <t>Change in Storage:  Positive values are additional storage.</t>
  </si>
  <si>
    <t>TP and TN Removal:  Positive values are loads removed from the system.</t>
  </si>
  <si>
    <t>The "Total" column is the total for the CRWPP.</t>
  </si>
  <si>
    <t>"Okee" is separate and is not included in the "Total" column.</t>
  </si>
  <si>
    <t>3_T_Flow</t>
  </si>
  <si>
    <t>3_T_Stor</t>
  </si>
  <si>
    <t>3_T_TN</t>
  </si>
  <si>
    <t>3_T_TP</t>
  </si>
  <si>
    <t>T</t>
  </si>
  <si>
    <t>3_T</t>
  </si>
  <si>
    <t>Transbasin</t>
  </si>
  <si>
    <t>Some examples of totals…</t>
  </si>
  <si>
    <t>"S-CRE" represents the modeled runoff from the Tidal Caloosahatchee sub-watershed.  It doesn't include any inputs from upstream.</t>
  </si>
  <si>
    <t>Flow only.  Sub-watershed runoff only, not cumulative.</t>
  </si>
  <si>
    <t>Notes for Lake Okeechobee:</t>
  </si>
  <si>
    <t>Lake Okeechobee is classified as a "Transbasin Impact" in order to keep it separate from the other management measures.</t>
  </si>
  <si>
    <t>may be used as a vertical lookup table using the value of Comb_3</t>
  </si>
  <si>
    <t>Do NOT delete these columns!</t>
  </si>
  <si>
    <t>Supplemental Data and Calculations for Lake Okeechobee</t>
  </si>
  <si>
    <t>Source</t>
  </si>
  <si>
    <t>Values for 1995-2005 base period</t>
  </si>
  <si>
    <t>Values for RWPP Base</t>
  </si>
  <si>
    <t>Values for 1996-2005 base period</t>
  </si>
  <si>
    <t>Percent reduction due to implementation of projects for Lake Okeechobee</t>
  </si>
  <si>
    <t>Values after implementation  of projects for Lake Okeechobee</t>
  </si>
  <si>
    <t>Loads from Lake Okeechobee will not be included in the official output from the WQ spreadsheet,</t>
  </si>
  <si>
    <t>but are included here for completeness.</t>
  </si>
  <si>
    <t>If better numbers become available for the 2012 CRWPP, they will be included.</t>
  </si>
  <si>
    <t>"Transbasin Impact" for Lake Okeechobee Reductions</t>
  </si>
  <si>
    <t>Bottcher set of 20</t>
  </si>
  <si>
    <t>Cost-Share BMP Areas, in percent</t>
  </si>
  <si>
    <t>Owner-Implemented BMP Areas, in percent</t>
  </si>
  <si>
    <t>Vlookup Name = bott_luacres</t>
  </si>
  <si>
    <t>Vlookup Name = bottb_luacres</t>
  </si>
  <si>
    <t>Vlookup Name = bottb_loadings</t>
  </si>
  <si>
    <t>Vlookup Name = bott_bmpeff</t>
  </si>
  <si>
    <t>bott_bmpeff</t>
  </si>
  <si>
    <t>bott_luacres</t>
  </si>
  <si>
    <t>bottb_luacres</t>
  </si>
  <si>
    <t>bottb_loadings</t>
  </si>
  <si>
    <t>They represented the areas that were considered available for implementation of BMPs for Alt 1.</t>
  </si>
  <si>
    <t>The initial version of these BMP tables assumed that BMPs would be implemented for all areas (i.e. 100%).</t>
  </si>
  <si>
    <t>However, it was recognized that BMPs were already in place for some areas.</t>
  </si>
  <si>
    <t>1.  Owner-implemented BMPs for urban areas are presumed to be applicable only for pervious areas (e.g. for fertilizer).</t>
  </si>
  <si>
    <t>2.  Cost-share BMPs for urban areas are presumed to be applicable for older areas (e.g. pre-1988).</t>
  </si>
  <si>
    <t>4.  BMPs for citrus were estimated by FDACS to be currently implemented for 60 percent of the area basin-wide.</t>
  </si>
  <si>
    <t>Gray = Urban percentages derived from Harper (2007) or estimated from Bottcher (2008).</t>
  </si>
  <si>
    <t>Tan = Ag percentages suggested by FDACS.</t>
  </si>
  <si>
    <t>Gold = Citrus percentages based on GIS comparison of 1988 and 2004 landuse (see sections at bottom).</t>
  </si>
  <si>
    <t>Light Blue = Urban percentages based on GIS comparison of 1988 and 2004 landuse (see sections at bottom).</t>
  </si>
  <si>
    <t>3.  BMPs for row crops, sugar cane, and nurseries were estimated by FDACS to be currently implemented</t>
  </si>
  <si>
    <t>for 30, 30, and 50 percent of the area, respectively, basin-wide.</t>
  </si>
  <si>
    <t>It corresponds to the numbers shown in the comparison table directly above.</t>
  </si>
  <si>
    <t>This is the write-up from the BMP_Areas worksheet in the 2009 CRWPP WQ spreadsheet.</t>
  </si>
  <si>
    <t>The description from the 2009 CRWP worksheet is given below the table.</t>
  </si>
  <si>
    <t>Bott 20</t>
  </si>
  <si>
    <t>Percentage of Areas Available for Implementation of BMPs at Alt 1.</t>
  </si>
  <si>
    <t>Sources of values for cells that are not 100 percent:</t>
  </si>
  <si>
    <t>bottb</t>
  </si>
  <si>
    <t>Adjusted Estimate of Runoff, in ac-ft/yr</t>
  </si>
  <si>
    <t>Adjusted Estimate of TN Nutrient Load, in mton/yr</t>
  </si>
  <si>
    <t>Adjusted Estimate of TP Nutrient Load, in mton/yr</t>
  </si>
  <si>
    <t>bmpeff_own</t>
  </si>
  <si>
    <t>bmpeff_cost</t>
  </si>
  <si>
    <t>Load Reduction, Current Cost-Share BMPs, TN, in mton/yr</t>
  </si>
  <si>
    <t>Load Reduction, Current Cost-Share BMPs, TP, in mton/yr</t>
  </si>
  <si>
    <t>Total Reduction from BMPs</t>
  </si>
  <si>
    <t>Remaining Concentration, in mg/L</t>
  </si>
  <si>
    <t>Remaining Load (and Runoff)</t>
  </si>
  <si>
    <t>Load Reduction, Summary of Current BMPs, TP, in mton/yr</t>
  </si>
  <si>
    <t>Load Reduction, Summary of Current BMPs, TN, in mton/yr</t>
  </si>
  <si>
    <t>Reduction from Current Regional Projects</t>
  </si>
  <si>
    <t>Reduction from Dispersed WM Projects</t>
  </si>
  <si>
    <t>Remaining Load (and Runoff) (Initial)</t>
  </si>
  <si>
    <t>Remaining Concentration, in mg/L (Initial)</t>
  </si>
  <si>
    <t>Remaining Load (and Runoff) (Adjusted)</t>
  </si>
  <si>
    <t>Remaining Concentration, in mg/L (Adjusted)</t>
  </si>
  <si>
    <t>Summary of Current Load Reductions, Runoff, in ac-ft/yr</t>
  </si>
  <si>
    <t>Summary of Current Load Reductions, TN, in mton/yr</t>
  </si>
  <si>
    <t>Summary of Current Load Reductions, TP, in mton/yr</t>
  </si>
  <si>
    <t>Current</t>
  </si>
  <si>
    <t>Apply Load Reductions for the "Current" Phase, in a sequence of steps.  The "Current" phase includes management measures with "Completed" status.</t>
  </si>
  <si>
    <t>Total Current Reduction (Adjusted)</t>
  </si>
  <si>
    <t>Total Current Reduction (Initial)</t>
  </si>
  <si>
    <t>Total Reduction (Adjusted)</t>
  </si>
  <si>
    <t>Load Reduction, Current Regional Projects, TN, in mton/yr</t>
  </si>
  <si>
    <t>Load Reduction, Current Local Projects, TN, in mton/yr</t>
  </si>
  <si>
    <t>Summary of Future Load Reductions, Runoff, in ac-ft/yr</t>
  </si>
  <si>
    <t>Summary of Future Load Reductions, TN, in mton/yr</t>
  </si>
  <si>
    <t>Summary of Future Load Reductions, TP, in mton/yr</t>
  </si>
  <si>
    <t>Reduction from Current Local Projects</t>
  </si>
  <si>
    <t>Vlookup Name:</t>
  </si>
  <si>
    <t>Cols for bmp_eff</t>
  </si>
  <si>
    <t>Own-Imp</t>
  </si>
  <si>
    <t>Cost-Shr</t>
  </si>
  <si>
    <t>&lt;-- column from parmlist</t>
  </si>
  <si>
    <t>Spanish Creek Environmental Restoration</t>
  </si>
  <si>
    <t>CRE 44-A</t>
  </si>
  <si>
    <t>CRE 44-B</t>
  </si>
  <si>
    <t>County Line Ditch Improvements</t>
  </si>
  <si>
    <t>1-4,19-20</t>
  </si>
  <si>
    <t>5-16</t>
  </si>
  <si>
    <t>Reduction from Urban Owner-Impl. BMPs</t>
  </si>
  <si>
    <t>Reduction from Agric. Owner-Impl. BMPs</t>
  </si>
  <si>
    <t>Load Reduction, Current Owner-Impl. BMPs, TN, in mton/yr</t>
  </si>
  <si>
    <t>Load Reduction, Current Owner-Impl. BMPs, TP, in mton/yr</t>
  </si>
  <si>
    <t>Reduction from Urban Cosh-Share BMPs</t>
  </si>
  <si>
    <t>Reduction from Agric. Cost-Share BMPs</t>
  </si>
  <si>
    <t>Total Baseline Load (and Runoff)</t>
  </si>
  <si>
    <t>Baseline Concentration, in mg/L</t>
  </si>
  <si>
    <t>Load Reduction, Current Local Projects, TP, in mton/yr</t>
  </si>
  <si>
    <t>Load Reduction, Current Regional Projects, TP, in mton/yr</t>
  </si>
  <si>
    <t>Reduction from Chem. Treatment Projects</t>
  </si>
  <si>
    <t>Urban SubTotal, Current Owner-Impl. BMPs</t>
  </si>
  <si>
    <t>Urban SubTotal, Current Cost-Share BMPs</t>
  </si>
  <si>
    <t>Agriculture SubTotal, Current Cost-Share BMPs</t>
  </si>
  <si>
    <t>Total Reduction from Current Cost-Share BMPs</t>
  </si>
  <si>
    <t>Agriculture SubTotal, Current Owner-Impl. BMPs</t>
  </si>
  <si>
    <t>Total Reduction from Current Owner-Impl. BMPs</t>
  </si>
  <si>
    <t>Incoming Load (and Runoff)</t>
  </si>
  <si>
    <t>Current -- Step 1 -- Compute Load Reductions for Owner-Implemented BMPs.</t>
  </si>
  <si>
    <t>Current -- Step 2 -- Compute Load Reductions for Cost-Share BMPs.</t>
  </si>
  <si>
    <t>Current -- Step 3 -- Tally the Load Reductions for Owner-Implemented and Cost-Share BMPs.</t>
  </si>
  <si>
    <t>Current -- Step 5 -- Tally the Load Reductions for Local Water-Quality Projects.</t>
  </si>
  <si>
    <t>Current -- Step 6 -- Tally the Load Reductions for Regional Water-Quality Projects.</t>
  </si>
  <si>
    <t>Total Reduction from Owner-Impl. BMPs</t>
  </si>
  <si>
    <t>Total Reduction from Cost-Share BMPs</t>
  </si>
  <si>
    <t>Current -- Step 4 -- Tally the Load Reductions for Dispersed Water Management Projects.</t>
  </si>
  <si>
    <t>SubTotals of Reduction from BMPs (Adjusted)</t>
  </si>
  <si>
    <t>Current Summary -- Summarize all Current Load Reductions.</t>
  </si>
  <si>
    <t>Fichters Creek Restoration</t>
  </si>
  <si>
    <t>West Arcade Ave. Drainage and Water Quality Improvement Project - Clewiston</t>
  </si>
  <si>
    <t>Ventura Ave. Stormwater Improvement and Drainage Upgrade Project - Clewiston</t>
  </si>
  <si>
    <t>CRE 143</t>
  </si>
  <si>
    <t>CRE 144</t>
  </si>
  <si>
    <t>CRE 145</t>
  </si>
  <si>
    <t>CRE 146</t>
  </si>
  <si>
    <t>CRE 147</t>
  </si>
  <si>
    <t>Greenbriar Preserve</t>
  </si>
  <si>
    <t>Nalle Grade Stormwater Park</t>
  </si>
  <si>
    <t>ECWCD - Section 10 Storage Project</t>
  </si>
  <si>
    <t>Popash Creek Preserve Restoration</t>
  </si>
  <si>
    <t>Project Plan</t>
  </si>
  <si>
    <t>Percentage Reductions (All numbers are percentages of the Baseline values)</t>
  </si>
  <si>
    <t>This adjusts the initial values from above and also compacts from 38 land-use categories to 20.</t>
  </si>
  <si>
    <t>This is a summary of the reductions that were calculated in Steps 1 and 2.</t>
  </si>
  <si>
    <t>This brings in the data from Dispersed_WMP, summed by sub-watershed.</t>
  </si>
  <si>
    <t>This brings in the appropriate local-project data from MM_List, summed by sub-watershed.</t>
  </si>
  <si>
    <t>This brings in the appropriate regional-project data from MM_List, summed by sub-watershed.</t>
  </si>
  <si>
    <t>This summarizes all of the current steps from above, and then adjusts if needed for the minimum concentration</t>
  </si>
  <si>
    <t>Note that adjustments for minimum concentration are applied to the Current Summary, rather than after each major step.</t>
  </si>
  <si>
    <t>Note that adjustments for minimum concentration are applied separately after each major step.</t>
  </si>
  <si>
    <t>This is a summary of the reductions that were calculated in Steps 1 and 2, with adjustments.  For any further work with the subtotals, use these adjusted values.</t>
  </si>
  <si>
    <t>This brings in the data from Parcel_ChemTrt, summed by sub-watershed.  (Future only)</t>
  </si>
  <si>
    <t>Vlookup Name = bott_bmpareas</t>
  </si>
  <si>
    <t>Do NOT modify anything below this line</t>
  </si>
  <si>
    <t xml:space="preserve">Initial Estimates from Land-Use </t>
  </si>
  <si>
    <t>Baseline Values</t>
  </si>
  <si>
    <t>Baseline Concentration</t>
  </si>
  <si>
    <t>Baseline for Period of Record 1996-2005</t>
  </si>
  <si>
    <t>Estimates Adjusted for Measured Data</t>
  </si>
  <si>
    <t>Current Phase</t>
  </si>
  <si>
    <t>BMPs</t>
  </si>
  <si>
    <t>Totals for Current Phase</t>
  </si>
  <si>
    <t>Reduction from Urban Cost-Share BMPs</t>
  </si>
  <si>
    <t>Total Reduction from BMPs (Adjusted)</t>
  </si>
  <si>
    <t>Incoming Values to Current Phase</t>
  </si>
  <si>
    <t>Reduction from Local Projects</t>
  </si>
  <si>
    <t>Reduction from Regional Projects</t>
  </si>
  <si>
    <t>Dispersed WM Projects</t>
  </si>
  <si>
    <r>
      <t xml:space="preserve">Total Nitrogen (TN), in mton/yr and </t>
    </r>
    <r>
      <rPr>
        <b/>
        <i/>
        <sz val="11"/>
        <rFont val="Calibri"/>
        <family val="2"/>
        <scheme val="minor"/>
      </rPr>
      <t>mg/L</t>
    </r>
  </si>
  <si>
    <r>
      <t xml:space="preserve">Total Phosphorus (TP), in mton/yr and </t>
    </r>
    <r>
      <rPr>
        <b/>
        <i/>
        <sz val="11"/>
        <rFont val="Calibri"/>
        <family val="2"/>
        <scheme val="minor"/>
      </rPr>
      <t>mg/L</t>
    </r>
  </si>
  <si>
    <t>Reduction  from Dispersed WM</t>
  </si>
  <si>
    <t>Reduction  from Local Projects</t>
  </si>
  <si>
    <t>Reduction  from Regional Projects</t>
  </si>
  <si>
    <t>Chemical Treatment Projects</t>
  </si>
  <si>
    <t>Reductions for Current Phase</t>
  </si>
  <si>
    <t>No calculations here, just a simple copy from the lines above.</t>
  </si>
  <si>
    <t>This table contains all of the information that might reasonably be needed for use in report tables, graphs, or pie charts.</t>
  </si>
  <si>
    <t>Total Current Reduction</t>
  </si>
  <si>
    <t>For completeness and ease of use, some of the lines may be redundant with other lines.</t>
  </si>
  <si>
    <t>Caloosahatchee Sub-Watersheds</t>
  </si>
  <si>
    <t>Caloosahatchee plus Lake Okeechobee</t>
  </si>
  <si>
    <t>Total above Shell Point</t>
  </si>
  <si>
    <t>Total above S-79</t>
  </si>
  <si>
    <t>Total below S-79</t>
  </si>
  <si>
    <t>Sub-Wat Index</t>
  </si>
  <si>
    <t>Sub-Watershed or Grouped Area</t>
  </si>
  <si>
    <t>Total Area, in acres</t>
  </si>
  <si>
    <t>Land Area, in acres</t>
  </si>
  <si>
    <t>ppm</t>
  </si>
  <si>
    <t>index</t>
  </si>
  <si>
    <t>abbrev</t>
  </si>
  <si>
    <t>parm name</t>
  </si>
  <si>
    <t>mult</t>
  </si>
  <si>
    <t>units</t>
  </si>
  <si>
    <t>Baseline Values for Period of Record, 1996-2005</t>
  </si>
  <si>
    <t>Land Total</t>
  </si>
  <si>
    <t>calc</t>
  </si>
  <si>
    <t>loads_summ</t>
  </si>
  <si>
    <t>Vlookup Name = okee_dat</t>
  </si>
  <si>
    <t>Lake Okeechobee Inputs</t>
  </si>
  <si>
    <t>Dispersed WM</t>
  </si>
  <si>
    <t>Regional MM</t>
  </si>
  <si>
    <t>Local MM</t>
  </si>
  <si>
    <t>Chem. Treatment</t>
  </si>
  <si>
    <t>Remaining Runoff, in ac-ft/yr</t>
  </si>
  <si>
    <t>Current Phase, in percent</t>
  </si>
  <si>
    <t>Summary of Reductions</t>
  </si>
  <si>
    <t>base</t>
  </si>
  <si>
    <t>base text</t>
  </si>
  <si>
    <t>Vlookup Name = loads_summ</t>
  </si>
  <si>
    <t>Most of these values were calculated elsewhere, using Vlookup names, loads_summ and okee_dat.</t>
  </si>
  <si>
    <t>Grouped values, such as "above S-79", are calculated here as needed from the sub-watershed values.</t>
  </si>
  <si>
    <t>Loading units are metric tons.  Concentration units are ppm (mg/L) for TN and ppb for TP.</t>
  </si>
  <si>
    <t>Main Summary Table for Total Nitrogen, TN</t>
  </si>
  <si>
    <t>Main Summary Table for Total Phosphorus, TP</t>
  </si>
  <si>
    <t>Loads within the Caloosahatchee</t>
  </si>
  <si>
    <t>Baseline Data</t>
  </si>
  <si>
    <t>These index values are brought in from the worksheet Master_Lookup and are used above as needed.</t>
  </si>
  <si>
    <t>`1</t>
  </si>
  <si>
    <t>This is a summary lookup table, pulled from the lines above.  It it intended to be used as a Vlookup Table, named loads_summ.</t>
  </si>
  <si>
    <t>Runoff and loading estimates have been adjusted to match DBHYDRO  at S-77, S-235, S-78, and S-79, and to match current modeling for the Tidal sub-watershed.</t>
  </si>
  <si>
    <t>If the cumulative reductions from projects result in a concentration below the minimum value, then the concentration and corresponding load are adjusted to the minimum level.</t>
  </si>
  <si>
    <t>Total above Shell Point, incl. Okee</t>
  </si>
  <si>
    <t>Total above S-79, incl. Okee</t>
  </si>
  <si>
    <t>Total CRWPP plus Okee</t>
  </si>
  <si>
    <t>Most of these values were calculated elsewhere in the CRWPP WQ Spreadsheet, and were imported using Vlookup names, loads_summ and okee_dat.</t>
  </si>
  <si>
    <t xml:space="preserve">Loads within the Caloosahatchee </t>
  </si>
  <si>
    <r>
      <rPr>
        <b/>
        <sz val="11"/>
        <rFont val="Calibri"/>
        <family val="2"/>
        <scheme val="minor"/>
      </rPr>
      <t>Baseline Data</t>
    </r>
    <r>
      <rPr>
        <sz val="11"/>
        <rFont val="Calibri"/>
        <family val="2"/>
        <scheme val="minor"/>
      </rPr>
      <t xml:space="preserve"> includes the standard input as estimated from 2004-5 land-use data and from loading-runoff coefficients from Bottcher (SWET).</t>
    </r>
  </si>
  <si>
    <r>
      <t xml:space="preserve">The </t>
    </r>
    <r>
      <rPr>
        <b/>
        <sz val="11"/>
        <rFont val="Calibri"/>
        <family val="2"/>
        <scheme val="minor"/>
      </rPr>
      <t>Current Phase</t>
    </r>
    <r>
      <rPr>
        <sz val="11"/>
        <rFont val="Calibri"/>
        <family val="2"/>
        <scheme val="minor"/>
      </rPr>
      <t xml:space="preserve"> includes load reductions that are already completed or planned for completion in 2011.</t>
    </r>
  </si>
  <si>
    <r>
      <rPr>
        <b/>
        <sz val="11"/>
        <rFont val="Calibri"/>
        <family val="2"/>
        <scheme val="minor"/>
      </rPr>
      <t>Lake Okeechobee</t>
    </r>
    <r>
      <rPr>
        <sz val="11"/>
        <rFont val="Calibri"/>
        <family val="2"/>
        <scheme val="minor"/>
      </rPr>
      <t xml:space="preserve"> is not included in the formal analysis for the WQ Spreadsheet.  It is added here for completeness.</t>
    </r>
  </si>
  <si>
    <t>These values include only runoff and loads generated within the CRWPP study area.</t>
  </si>
  <si>
    <t>This is an abridged version of the main table for summarizing load reductions for TN and TP.</t>
  </si>
  <si>
    <t>These values include the best-available information about inputs from Lake Okeechobee at S-77.</t>
  </si>
  <si>
    <t>They do not include inputs from Lake Okeechobee.</t>
  </si>
  <si>
    <t>The baseline period of record is calendar years 1996 to 2005.</t>
  </si>
  <si>
    <t>Estimated Values at TMDL</t>
  </si>
  <si>
    <t>Abridged Summary Table for Total Nitrogen, TN</t>
  </si>
  <si>
    <t>Abridged Summary Table for Total Phosphorus, TP</t>
  </si>
  <si>
    <t>Runoff within the CRWPP study area is presumed to be unchanged.</t>
  </si>
  <si>
    <t>Estimated reductions in flow and loads from Lake Okeechobee are included.</t>
  </si>
  <si>
    <t>Abridged Summary of TN and TP Loadings, with Estimate of TN Loading at TMDL</t>
  </si>
  <si>
    <t>Estimated Values at TMDL -- Added for this Table, for TN only</t>
  </si>
  <si>
    <t>TN concentration is based on an arbitrary decrease of 10 percent, as used for the 2009 CRWPP.</t>
  </si>
  <si>
    <t>Note: _T_ is not currently used anywhere.  Use the Vlookup okee_dat instead.</t>
  </si>
  <si>
    <t>Coordinates and lat/long values are used for creating a GIS point featureclass.  Some locations are approximate.</t>
  </si>
  <si>
    <t>Management Measures (MMs)</t>
  </si>
  <si>
    <t>MMs are classified by scale as Local and Regional.</t>
  </si>
  <si>
    <t>Values for TP and TN load removal, change in flow, and change in storage are derived from the MM sheet for each MM.</t>
  </si>
  <si>
    <t>In some cases, values are estimated by a project engineer.  In other cases, values are estimated based on the size and type of feature.</t>
  </si>
  <si>
    <t>DRAFT, not finalized</t>
  </si>
  <si>
    <t>Feature Type Index</t>
  </si>
  <si>
    <t>Feature Type Description</t>
  </si>
  <si>
    <t>Feature type</t>
  </si>
  <si>
    <t>TN reduction, in lb/ac/yr</t>
  </si>
  <si>
    <t>TP reduction, in lb/ac/yr</t>
  </si>
  <si>
    <t>not applicable</t>
  </si>
  <si>
    <t>Deep storage reservoir</t>
  </si>
  <si>
    <t>Deep Reservoir</t>
  </si>
  <si>
    <t>Shallow reservoir</t>
  </si>
  <si>
    <t>Shallow Reservoir</t>
  </si>
  <si>
    <t>STA or WQ Treatment Area (WQTA)</t>
  </si>
  <si>
    <t>STA, WQTA</t>
  </si>
  <si>
    <t>Constructed wetland or filter marsh</t>
  </si>
  <si>
    <t>Filter Marsh</t>
  </si>
  <si>
    <t>Managed aquatic plant system (MAPS)</t>
  </si>
  <si>
    <t>MAPS</t>
  </si>
  <si>
    <t>Algal turf scrubber (ATS)</t>
  </si>
  <si>
    <t>ATS</t>
  </si>
  <si>
    <t>Restored Wetland</t>
  </si>
  <si>
    <t>In-canal WQ treatment</t>
  </si>
  <si>
    <t>In-Canal WQ</t>
  </si>
  <si>
    <t>Urban stormwater retrofit</t>
  </si>
  <si>
    <t>Urban Stormwater</t>
  </si>
  <si>
    <t>Central sewer/septic tank removal</t>
  </si>
  <si>
    <t>Central Sewer</t>
  </si>
  <si>
    <t>Hydrologic control structure</t>
  </si>
  <si>
    <t>Hydro Structure</t>
  </si>
  <si>
    <t>Recycling/Removal</t>
  </si>
  <si>
    <t>Recyclable Water Containment Area (RWCA Ag Suite)</t>
  </si>
  <si>
    <t>RWCA</t>
  </si>
  <si>
    <t>Harvestable Water Containment Area (HWCA Ag Suite)</t>
  </si>
  <si>
    <t>HWCA</t>
  </si>
  <si>
    <t>Modified Water Retention (Ag Suite)</t>
  </si>
  <si>
    <t>Ag Retention</t>
  </si>
  <si>
    <t>Tailwater Recovery (Ag Suite)</t>
  </si>
  <si>
    <t>Ag Tailwater</t>
  </si>
  <si>
    <t xml:space="preserve">Wastewater treatment and stormwater retrofit </t>
  </si>
  <si>
    <t>Urban Suite</t>
  </si>
  <si>
    <t>Values for TN reduction, in lb/ac/yr are the same as those used by the Southwest Florida Feasibility Study (SWFFS).</t>
  </si>
  <si>
    <t>These values are not used in any computations within the spreadsheet.  They are included here as general information.</t>
  </si>
  <si>
    <t>"Typical" reductions for standard types of features, from the 2009 CRWPP</t>
  </si>
  <si>
    <t>"Transbasin Impacts"</t>
  </si>
  <si>
    <t>The computations are carried out in a stepwise procedure, from the top down, with a summary included at the bottom.</t>
  </si>
  <si>
    <t>This worksheet does the basic work of estimating loads and applying the load reductions.</t>
  </si>
  <si>
    <t>Values from this table may be used elsewhere by referencing the Vlookup name "loads_summ".</t>
  </si>
  <si>
    <t>Do NOT change or delete any of the grayed-out index numbers from the top or left sides of some of the tables.</t>
  </si>
  <si>
    <t>Units in this worksheet:  All runoff values are in acre-feet per year.  All loading values are in metric tons per year.  All concentrations are in mg/L.</t>
  </si>
  <si>
    <t>Computation of Basic Flows, Loadings, and Load Reductions</t>
  </si>
  <si>
    <t>Section A</t>
  </si>
  <si>
    <t>A.</t>
  </si>
  <si>
    <t>Section B</t>
  </si>
  <si>
    <t>B.</t>
  </si>
  <si>
    <t>Use the land-use acreages to make an initial estimates of runoff and loadings, using the Bottcher-B land-use categories.</t>
  </si>
  <si>
    <t>Make adjustments to the initial estimates of runoff and loadings, using known data for the current the period-of-record.</t>
  </si>
  <si>
    <t>Section C</t>
  </si>
  <si>
    <t>C.</t>
  </si>
  <si>
    <t>Section D</t>
  </si>
  <si>
    <t>D.</t>
  </si>
  <si>
    <t>Make adjustments to the initial estimates of runoff and loadings, using available data from monitoring sites for the current the period-of-record.</t>
  </si>
  <si>
    <t>Brief description of the different sections in this worksheet:</t>
  </si>
  <si>
    <t>Section E</t>
  </si>
  <si>
    <t>Section F</t>
  </si>
  <si>
    <t>E.</t>
  </si>
  <si>
    <t>Adjusted Total, used as Baseline Values</t>
  </si>
  <si>
    <t>Calculation is based on the starting value from Baseline times a reduction-efficiency percentage times an area percentage.  See LU_Lookup and BMP_Areas.</t>
  </si>
  <si>
    <t>F.</t>
  </si>
  <si>
    <t>Compute a standard set of Baseline Values.</t>
  </si>
  <si>
    <t>Compute adjusted Baseline Values for the Bottcher set of 20 categories.</t>
  </si>
  <si>
    <t>Section G</t>
  </si>
  <si>
    <t>G.</t>
  </si>
  <si>
    <t>Lookup table containing a compilation of noteworthy lines from the previous sections.</t>
  </si>
  <si>
    <t>If needed, adjustments for minimum concentration are made once, at the end of the Current Phase.</t>
  </si>
  <si>
    <t>If needed, adjustments for minimum concentration are made for every step.</t>
  </si>
  <si>
    <t>BMP Areas</t>
  </si>
  <si>
    <t>Numbers in the table below were used for the 2009 CRWPP, and are shown here for comparison with the table for BMP Areas, above.</t>
  </si>
  <si>
    <t>bott_bmpareas</t>
  </si>
  <si>
    <t>Near-Term minus Current</t>
  </si>
  <si>
    <t>Percentages of Total Areas Available for Implementation of BMPs.</t>
  </si>
  <si>
    <t>BMP Areas:  Percentages of Total Areas Available for Implementation of BMPs.</t>
  </si>
  <si>
    <t>DRAFT</t>
  </si>
  <si>
    <t>This table is not finalized.  Many of the numbers are arbitrary placeholders.</t>
  </si>
  <si>
    <t>CRE 122-1</t>
  </si>
  <si>
    <t>CRE 122-2</t>
  </si>
  <si>
    <t>Mirror Lakes Stormwater Retention Facility, Phase I</t>
  </si>
  <si>
    <t>Mirror Lakes Stormwater Retention Facility, Phase II and III</t>
  </si>
  <si>
    <t>Harns Marsh Improvements, Phase I</t>
  </si>
  <si>
    <t>Harns Marsh Improvements, Phase II</t>
  </si>
  <si>
    <t>CRE 04-1</t>
  </si>
  <si>
    <t>CRE 04-2</t>
  </si>
  <si>
    <t>Caloosahatchee Area Lakes Restoration (Lake Hicpochee) - North</t>
  </si>
  <si>
    <t>Caloosahatchee Area Lakes Restoration (Lake Hicpochee) - South</t>
  </si>
  <si>
    <t>C-43 West Basin Storage Reservoir, Phase I</t>
  </si>
  <si>
    <t>Total Reduction from Urban BMPs</t>
  </si>
  <si>
    <t>Total Reduction from Agric. BMPs</t>
  </si>
  <si>
    <t>Reduction from Urban BMPs</t>
  </si>
  <si>
    <t>Reduction from Agric. BMPs</t>
  </si>
  <si>
    <t>Apply Load Reductions for the "Near-Term" Phase, in a sequence of steps.  The "Near-Term" phase includes management measures expected to be completed by 2014.</t>
  </si>
  <si>
    <t>Note that adjustments for minimum concentration are applied to the Near-Term Summary, rather than after each major step.</t>
  </si>
  <si>
    <t>Load Reduction, Near-Term Owner-Impl. BMPs, TN, in mton/yr</t>
  </si>
  <si>
    <t>Load Reduction, Near-Term Owner-Impl. BMPs, TP, in mton/yr</t>
  </si>
  <si>
    <t>Load Reduction, Near-Term Cost-Share BMPs, TN, in mton/yr</t>
  </si>
  <si>
    <t>Load Reduction, Near-Term Cost-Share BMPs, TP, in mton/yr</t>
  </si>
  <si>
    <t>Near-Term -- Step 1 -- Compute Load Reductions for Owner-Implemented BMPs.</t>
  </si>
  <si>
    <t>Near-Term -- Step 2 -- Compute Load Reductions for Cost-Share BMPs.</t>
  </si>
  <si>
    <t>Near-Term -- Step 3 -- Tally the Load Reductions for Owner-Implemented and Cost-Share BMPs.</t>
  </si>
  <si>
    <t>Near-Term -- Step 4 -- Tally the Load Reductions for Dispersed Water Management Projects.</t>
  </si>
  <si>
    <t>Near-Term-- Step 5 -- Tally the Load Reductions for Local Water-Quality Projects.</t>
  </si>
  <si>
    <t>Near-Term -- Step 6 -- Tally the Load Reductions for Regional Water-Quality Projects.</t>
  </si>
  <si>
    <t>Near-Term Summary -- Summarize all Near-Term Load Reductions.</t>
  </si>
  <si>
    <t>Reduction from Near-Term Local Projects</t>
  </si>
  <si>
    <t>Reduction from Near-Term Regional Projects</t>
  </si>
  <si>
    <t>Total Near-Term Reduction (Initial)</t>
  </si>
  <si>
    <t>Total Near-Term Reduction (Adjusted)</t>
  </si>
  <si>
    <t>Summary Load Reductions for All Phases, Runoff, in ac-ft/yr</t>
  </si>
  <si>
    <t>Summary of Load Reductions for All Phases, TN, in mton/yr</t>
  </si>
  <si>
    <t>Summary of Load Reductions for All Phases, TP, in mton/yr</t>
  </si>
  <si>
    <t>Concise summary of baseline, current, near-term, and future values.  No calculations here, just a simple copy from the lines above.</t>
  </si>
  <si>
    <t>Reductions for Near-Term Phase</t>
  </si>
  <si>
    <t>Summary of All Phases</t>
  </si>
  <si>
    <t>Section H</t>
  </si>
  <si>
    <t>Line-by-line Summary Lookup Table</t>
  </si>
  <si>
    <t>H.</t>
  </si>
  <si>
    <t>Cumulative Reduction for All Phases</t>
  </si>
  <si>
    <t>Near-Term Phase</t>
  </si>
  <si>
    <t>Incoming Values to Near-Term Phase</t>
  </si>
  <si>
    <t>Totals for Near-Term Phase</t>
  </si>
  <si>
    <t>Total Near-Term Reduction</t>
  </si>
  <si>
    <t>If needed, adjustments for minimum concentration are made once, at the end of the Near-Term Phase.</t>
  </si>
  <si>
    <t>Apply Load Reductions for the "Current" Phase, in a sequence of steps.  The Current Phase includes measures completed by 2011.</t>
  </si>
  <si>
    <t>Apply Load Reductions for the "Near-Term" Phase, in a sequence of steps.  The Near-Term Phase includes measures that are expected to be completed by 2014.</t>
  </si>
  <si>
    <t>Concise summary of all phases.  Includes percentage reductions for each phase.</t>
  </si>
  <si>
    <t>A table showing the representative load reductions as used for the 2009 CRWPP is included at the bottom, as general information.</t>
  </si>
  <si>
    <t>Urban BMPs</t>
  </si>
  <si>
    <t>Agric. BMPs</t>
  </si>
  <si>
    <t>Near-Term Phase, in percent</t>
  </si>
  <si>
    <t>Sum of All Phases, in percent</t>
  </si>
  <si>
    <t>Numbers for urban areas are preliminary and are based on suggestions from Del Bottcher, Sept. 2011.</t>
  </si>
  <si>
    <t xml:space="preserve">Tally of concentrations after implementation of BMPs, for each Phase.  </t>
  </si>
  <si>
    <t>These concentrations are used in the worksheet Dispersed_WMP.</t>
  </si>
  <si>
    <t>Vlookup name = postbmp_conc</t>
  </si>
  <si>
    <t>Near</t>
  </si>
  <si>
    <t>Curr</t>
  </si>
  <si>
    <t>Data to the right are brought in from the worksheet Basic_Loads using the Vlookup "postbmp_conc".</t>
  </si>
  <si>
    <r>
      <t>FDACS BMP:</t>
    </r>
    <r>
      <rPr>
        <i/>
        <sz val="11"/>
        <rFont val="Calibri"/>
        <family val="2"/>
        <scheme val="minor"/>
      </rPr>
      <t xml:space="preserve"> </t>
    </r>
    <r>
      <rPr>
        <sz val="11"/>
        <rFont val="Calibri"/>
        <family val="2"/>
        <scheme val="minor"/>
      </rPr>
      <t>PEEPLES RANCH</t>
    </r>
  </si>
  <si>
    <t>It provides estimated ambient concentrations for the waters removed from the system by Dispersed WM.</t>
  </si>
  <si>
    <t>C-43 West Basin Storage Reservoir, Phase II (net change from Phase I)</t>
  </si>
  <si>
    <t>Total for Completed</t>
  </si>
  <si>
    <t>Total for Near-Term</t>
  </si>
  <si>
    <t>Total for Future</t>
  </si>
  <si>
    <t>scroll right --&gt;</t>
  </si>
  <si>
    <t>TN was based on a 10% reduction in concentration.  TP was based on a 20% reduction but limited to 80 ppb base level.</t>
  </si>
  <si>
    <t>For the 2009 CRWPP, future flow values were from modeling, LO Phase 2 Alt 4 RMS (Brion, 2008), for base period 1995-2005.</t>
  </si>
  <si>
    <t>For the 2012 CRWPP, future flow is copied from 2009 CRWPP.</t>
  </si>
  <si>
    <t>TN is based on an arbitrary reduction in concentration (see orange bold cell).</t>
  </si>
  <si>
    <t>TP uses the 2012 LOPP value of 56 ppb, which is the future concentration of all inputs to the Lake (from Joyce Zhang, Sept. 2012).</t>
  </si>
  <si>
    <t>TP concentration of 56 ppb is from the LOPP.  For lack of other data, flow and TN conc. are estimated the same as used for the 2009 CRWPP.</t>
  </si>
  <si>
    <t>Prints to page-size landscape by default.</t>
  </si>
  <si>
    <t>Prints to ledger-size landscape by default.</t>
  </si>
  <si>
    <t>Index numbers, do NOT disturb. --&gt;</t>
  </si>
  <si>
    <t>Do NOT modify anything below this line.</t>
  </si>
  <si>
    <t>Additional Notes</t>
  </si>
  <si>
    <r>
      <t xml:space="preserve">The </t>
    </r>
    <r>
      <rPr>
        <b/>
        <sz val="11"/>
        <rFont val="Calibri"/>
        <family val="2"/>
        <scheme val="minor"/>
      </rPr>
      <t>Near-Term Phase</t>
    </r>
    <r>
      <rPr>
        <sz val="11"/>
        <rFont val="Calibri"/>
        <family val="2"/>
        <scheme val="minor"/>
      </rPr>
      <t xml:space="preserve"> includes load-reduction projects that are expected to be completed by 2014.</t>
    </r>
  </si>
  <si>
    <t>These projects include owner-implemented and cost-share BMPs (summed as urban and Ag), dispersed water management projects, and local and regional management measures.</t>
  </si>
  <si>
    <t>Tables in this Worksheet:</t>
  </si>
  <si>
    <t>(scroll down or right as needed)</t>
  </si>
  <si>
    <t>Contains totals as a lookup table at the bottom.  Vlookup name = mm_sum</t>
  </si>
  <si>
    <t>Vlookup Name = mm_sum</t>
  </si>
  <si>
    <t>Table of total reductions from the management measures, summed by Status Code, Project Scale, Data Type, and Sub-watershed.</t>
  </si>
  <si>
    <r>
      <t xml:space="preserve">The </t>
    </r>
    <r>
      <rPr>
        <b/>
        <sz val="11"/>
        <rFont val="Calibri"/>
        <family val="2"/>
        <scheme val="minor"/>
      </rPr>
      <t>Baseline Data</t>
    </r>
    <r>
      <rPr>
        <sz val="11"/>
        <rFont val="Calibri"/>
        <family val="2"/>
        <scheme val="minor"/>
      </rPr>
      <t xml:space="preserve"> includes the standard input as estimated from 2004-5 land-use data and from loading-runoff coefficients from Bottcher (SWET).</t>
    </r>
  </si>
  <si>
    <t>Initial Runoff and Loading Estimates from Land Use</t>
  </si>
  <si>
    <t>Adjustments to Monitoring Data for Period of Record</t>
  </si>
  <si>
    <t>Baseline Phase</t>
  </si>
  <si>
    <t>Completed in 2011 or before</t>
  </si>
  <si>
    <t>Completed between 2012 and 2014</t>
  </si>
  <si>
    <t>Completed in 2015 or beyond</t>
  </si>
  <si>
    <t>As Used</t>
  </si>
  <si>
    <t>Full Description</t>
  </si>
  <si>
    <t>Note about "Status" and "Phase":  (below)</t>
  </si>
  <si>
    <t>L/m3</t>
  </si>
  <si>
    <t>m3/acft</t>
  </si>
  <si>
    <t>Mass-Weight</t>
  </si>
  <si>
    <t>Load / Time</t>
  </si>
  <si>
    <t>Reductions for All Phases</t>
  </si>
  <si>
    <t>Total Reduction for All Phases (Adjusted)</t>
  </si>
  <si>
    <t>Total Reduction for All Phases</t>
  </si>
  <si>
    <t>Sum of All Phases, in mton/yr</t>
  </si>
  <si>
    <t>Sub-Watershed</t>
  </si>
  <si>
    <t>Baseline</t>
  </si>
  <si>
    <t>TN Concentration, in ppm</t>
  </si>
  <si>
    <t>Bar Chart of TN Concentration, grouped by Sub-Watershed and Phase</t>
  </si>
  <si>
    <t>Bar Chart of TP Concentration, grouped by Sub-Watershed and Phase</t>
  </si>
  <si>
    <t>TP Concentration, in ppb</t>
  </si>
  <si>
    <t>Bar Chart of TP Load, grouped by Sub-Watershed and Phase</t>
  </si>
  <si>
    <t>Bar Chart of TN Load, grouped by Sub-Watershed and Phase</t>
  </si>
  <si>
    <t>Figures and Tables specially formatted for Report or Presentations</t>
  </si>
  <si>
    <t>Baseline Load</t>
  </si>
  <si>
    <t>Agricultural BMPs</t>
  </si>
  <si>
    <t>Dispersed Water Management Projects</t>
  </si>
  <si>
    <t>Remaining Load</t>
  </si>
  <si>
    <t>Load Reductions from Current Activities</t>
  </si>
  <si>
    <t>Lead Agency</t>
  </si>
  <si>
    <t>FDEP</t>
  </si>
  <si>
    <t>FDACS</t>
  </si>
  <si>
    <t>Total Nitrogen,</t>
  </si>
  <si>
    <t>in mton/yr</t>
  </si>
  <si>
    <t>Total Phosphorus,</t>
  </si>
  <si>
    <t>Remaining Concentration</t>
  </si>
  <si>
    <t>Total Reductions from Current Activities</t>
  </si>
  <si>
    <t>Load after Current Phase</t>
  </si>
  <si>
    <t>Concentration after Current Phase</t>
  </si>
  <si>
    <t>Load Reductions from Near-Term Activities</t>
  </si>
  <si>
    <t>Total Reductions from Near-Term Activities</t>
  </si>
  <si>
    <t>Concentration after Near-Term Phase</t>
  </si>
  <si>
    <t>Chemical Treatment at the Parcel Level</t>
  </si>
  <si>
    <t>Load after Near-Term Phase</t>
  </si>
  <si>
    <t>Current Activities, through 2011</t>
  </si>
  <si>
    <t>Near-Term Activities, 2012 to 2014</t>
  </si>
  <si>
    <t>Load Reduction,</t>
  </si>
  <si>
    <t>Remaining Load,</t>
  </si>
  <si>
    <t>Remaining</t>
  </si>
  <si>
    <t>Percent</t>
  </si>
  <si>
    <t>Reduction</t>
  </si>
  <si>
    <t>Total Reduction</t>
  </si>
  <si>
    <t>Miscellaneous lookup data or standard background information</t>
  </si>
  <si>
    <t>lookup value for loads_summ, with col 16</t>
  </si>
  <si>
    <t>lookup value for loads_summ, with col 23</t>
  </si>
  <si>
    <t>Summary Table for Total CRWPP for TN and TP -- Reduction, Load, Percent Reduction, and Concentration</t>
  </si>
  <si>
    <t>Load Reductions for Total CRWPP from Near-Term Activities</t>
  </si>
  <si>
    <t>Load Reductions for Total CRWPP from Current Activities</t>
  </si>
  <si>
    <t>Tables for PowerPoint Presentations showing Load Reductions from Various Types of Projects, for each Phase.  These tables are summaries for the Total CRWPP.</t>
  </si>
  <si>
    <t>checksum</t>
  </si>
  <si>
    <t>Set the TMDL for TN Load Reduction.</t>
  </si>
  <si>
    <t>TMDL reduction</t>
  </si>
  <si>
    <t>Lookup = Tmdl_TN</t>
  </si>
  <si>
    <t>TMDL TN Reduction, from Master_Lookup</t>
  </si>
  <si>
    <t>Baseline Runoff, from loads_summ(5,9)</t>
  </si>
  <si>
    <t>Supplemental Data -- Do NOT delete.</t>
  </si>
  <si>
    <t>Source Data:  Compiled by FDACS and SFWMD (Bertolotti and Cranford), last updated August 2011.</t>
  </si>
  <si>
    <t>TMDL values are based on a percentage reduction to the baseline load, within the CRWPP study area.</t>
  </si>
  <si>
    <t>Reductions for Lake Okeechobee are based on the best-availabe estimates, rather than the fixed TMDL percentage.</t>
  </si>
  <si>
    <t>TN TMDL</t>
  </si>
  <si>
    <t>Long-Term</t>
  </si>
  <si>
    <t>The term "Future" was changed to "Long-Term" on 9/15/11.</t>
  </si>
  <si>
    <t>MMs are classified by status into three periods, as  Completed (completed by 2011), Near-term (completed by 2014), and Long-Term (completed some time after 2014).</t>
  </si>
  <si>
    <t>CRE 29-1</t>
  </si>
  <si>
    <t>CRE 29-2</t>
  </si>
  <si>
    <t>CRE 29-3</t>
  </si>
  <si>
    <t>CRE 29-4</t>
  </si>
  <si>
    <t>Lehigh Acres Centralized WWT and Stormwater Retrofit, Phase I</t>
  </si>
  <si>
    <t>Lehigh Acres Centralized WWT and Stormwater Retrofit, Phase II</t>
  </si>
  <si>
    <t>Lehigh Acres Centralized WWT and Stormwater Retrofit, Phase III, Tidal Cal.</t>
  </si>
  <si>
    <t>Lehigh Acres Centralized WWT and Stormwater Retrofit, Phase III, West Cal.</t>
  </si>
  <si>
    <t>Long</t>
  </si>
  <si>
    <t>Abbr</t>
  </si>
  <si>
    <t>These numbers will be applied to the "Long-Term" phase.</t>
  </si>
  <si>
    <t>Long-Term minus Near-Term</t>
  </si>
  <si>
    <t>Apply Load Reductions for the "Long-Term" Phase, in a sequence of steps.  The Long-Term Phase includes measures that are expected to be completed in 2015 or beyond.</t>
  </si>
  <si>
    <t>Long-Term Phase</t>
  </si>
  <si>
    <t>Apply Load Reductions for the "Long-Term" Phase, in a sequence of steps.  The "Long-Term" phase includes management measures expected to be completed in 2015 and beyond.</t>
  </si>
  <si>
    <t>Load Reduction, Long-Term Owner-Impl. BMPs, TN, in mton/yr</t>
  </si>
  <si>
    <t>Load Reduction, Long-Term Owner-Impl. BMPs, TP, in mton/yr</t>
  </si>
  <si>
    <t>Long-Term -- Step 1 -- Compute Load Reductions for Owner-Implemented BMPs.</t>
  </si>
  <si>
    <t>Long-Term -- Step 2 -- Compute Load Reductions for Cost-Share BMPs.</t>
  </si>
  <si>
    <t>Load Reduction, Long-Term Cost-Share BMPs, TN, in mton/yr</t>
  </si>
  <si>
    <t>Load Reduction, Long-Term Cost-Share BMPs, TP, in mton/yr</t>
  </si>
  <si>
    <t>Long-Term -- Step 3 -- Tally the Load Reductions for Owner-Implemented and Cost-Share BMPs.</t>
  </si>
  <si>
    <t>Load Reduction, Summary of Long-Term BMPs, TN, in mton/yr</t>
  </si>
  <si>
    <t>Load Reduction, Summary of Long-Term BMPs, TP, in mton/yr</t>
  </si>
  <si>
    <t>Long-Term -- Step 4 -- Tally the Load Reductions for Dispersed Water Management Projects.</t>
  </si>
  <si>
    <t>Load Reduction, Current Dispersed Water Mgmt., TN, in mton/yr</t>
  </si>
  <si>
    <t>Load Reduction, Long-Term Dispersed Water Mgmt., TP, in mton/yr</t>
  </si>
  <si>
    <t>Load Reduction, Current Dispersed Water Mgmt, TP, in mton/yr</t>
  </si>
  <si>
    <t>Load Reduction, Summary of Near-Term BMPs, TN, in mton/yr</t>
  </si>
  <si>
    <t>Load Reduction, Summary of Near-Term BMPs, TP, in mton/yr</t>
  </si>
  <si>
    <t>Load Reduction, Near-Term Dispersed Water Mgmt., TN, in mton/yr</t>
  </si>
  <si>
    <t>Load Reduction, Near-Term Dispersed Water Mgmt., TP, in mton/yr</t>
  </si>
  <si>
    <t>Load Reduction, Near-Term Local Projects, TN, in mton/yr</t>
  </si>
  <si>
    <t>Load Reduction, Near-Term Local Projects, TP, in mton/yr</t>
  </si>
  <si>
    <t>Load Reduction, Near-Term Regional Projects, TN, in mton/yr</t>
  </si>
  <si>
    <t>Load Reduction, Near-Term Regional Projects, TP, in mton/yr</t>
  </si>
  <si>
    <t>Summary of Near-Term Load Reductions, Runoff, in ac-ft/yr</t>
  </si>
  <si>
    <t>Summary of Near-Term Load Reductions, TN, in mton/yr</t>
  </si>
  <si>
    <t>Summary of Near-Term Load Reductions, TP, in mton/yr</t>
  </si>
  <si>
    <t>Load Reduction, Long-Term Dispersed Water Mgmt., TN, in mton/yr</t>
  </si>
  <si>
    <t>Long-Term -- Step 5 -- Tally the Load Reductions for Local Water-Quality Projects.</t>
  </si>
  <si>
    <t>Load Reduction, Summary of Long-Term Local Projects, TN, in mton/yr</t>
  </si>
  <si>
    <t>Load Reduction, Summary of Long-Term Local Projects, TP, in mton/yr</t>
  </si>
  <si>
    <t>Long-Term -- Step 6 -- Tally the Load Reductions for Regional Water-Quality Projects.</t>
  </si>
  <si>
    <t>Load Reduction, Long-Term Regional Projects, TN, in mton/yr</t>
  </si>
  <si>
    <t>Load Reduction, Long-Term Regional Projects, TP, in mton/yr</t>
  </si>
  <si>
    <t>Long-Term -- Step 7 -- Tally the Load Reductions for Parcel-Based Chemical Treatment Projects.</t>
  </si>
  <si>
    <t>Load Reduction, Long-Term Chem. Treatment, TN, in mton/yr</t>
  </si>
  <si>
    <t>Load Reduction, Long-Term Chem. Treatment, TP, in mton/yr</t>
  </si>
  <si>
    <t>Long-Term Summary (Adjusted values) -- Summarize all Long-Term Load Reductions -- Total Reductions including all adjustments for background value.</t>
  </si>
  <si>
    <t>This summarizes all of the long-term steps from above.  For all of the values, the adjustments for minimum concentration already were made.</t>
  </si>
  <si>
    <t>This summarizes all of the near-term steps from above, and then adjusts if needed for the minimum concentration</t>
  </si>
  <si>
    <t>Total Summary -- Summarize all Current, Near-Term, and Long-Term Load Reductions.</t>
  </si>
  <si>
    <t>Urban SubTotal, Long-Term Owner-Impl. BMPs</t>
  </si>
  <si>
    <t>Agriculture SubTotal, Long-Term Owner-Impl. BMPs</t>
  </si>
  <si>
    <t>Total Reduction from Long-Term Owner-Impl. BMPs</t>
  </si>
  <si>
    <t>Urban SubTotal, Long-Term Cost-Share BMPs</t>
  </si>
  <si>
    <t>Agriculture SubTotal, Long-Term Cost-Share BMPs</t>
  </si>
  <si>
    <t>Total Reduction from Long-Term Cost-Share BMPs</t>
  </si>
  <si>
    <t>Reduction from Long-Term Local Projects</t>
  </si>
  <si>
    <t>Reduction from Long-Term Regional Projects</t>
  </si>
  <si>
    <t>Total Long-Term Reduction (Adjusted)</t>
  </si>
  <si>
    <t>Reductions for Long-Term Phase</t>
  </si>
  <si>
    <t>Incoming Values to Long-Term Phase</t>
  </si>
  <si>
    <t>Long-Term Reductions</t>
  </si>
  <si>
    <t>Totals for Long-Term Phase (Adjusted)</t>
  </si>
  <si>
    <t>Total Long-Term Reduction</t>
  </si>
  <si>
    <t>Summary of TP and TN Loadings for Baseline, Current, and Long-Term Phases</t>
  </si>
  <si>
    <t>The Long-Term Phase includes load-reduction projects that are expected to be completed in 2015 or beyond..</t>
  </si>
  <si>
    <t>Load reductions from parcel-based chemical treatment are expected only during the Long-Term Phase.</t>
  </si>
  <si>
    <t>The estimated Lake Okee reductions for the LOPP are included here in the "Long-Term Phase".</t>
  </si>
  <si>
    <t>Long-Term Phase, in percent</t>
  </si>
  <si>
    <t>Current, Near-Term, and Long-Term Phases include best-available estimates of load reductions from BMPs, management measures, etc.</t>
  </si>
  <si>
    <t>Reductions in flow and loads from Lake Okeechobee are included in the Long-Term Phase.</t>
  </si>
  <si>
    <t>The Long-Term Phase includes load-reduction projects that are expected to be completed in 2015 or beyond.</t>
  </si>
  <si>
    <t>Load Reductions for Total CRWPP from Long-Term Activities</t>
  </si>
  <si>
    <t>Load Reductions from Long-Term Activities</t>
  </si>
  <si>
    <t>Total Reductions from Long-Term Activities</t>
  </si>
  <si>
    <t>Long-Term Activities, 2015 and beyond</t>
  </si>
  <si>
    <t>SFWMD, FDACS</t>
  </si>
  <si>
    <t>SFWMD, Local Govt.</t>
  </si>
  <si>
    <t>Local Water Quality Projects</t>
  </si>
  <si>
    <t>Regional/Sub-regional Projects</t>
  </si>
  <si>
    <t>SFWMD, FDEP, FDACS</t>
  </si>
  <si>
    <t>Mapping</t>
  </si>
  <si>
    <t>yes</t>
  </si>
  <si>
    <t>no</t>
  </si>
  <si>
    <t>SFWMD, USACE</t>
  </si>
  <si>
    <t>Set the "base", "natural background" concentrations here (mg/L).</t>
  </si>
  <si>
    <t>Master Lookup Values for TN and TP</t>
  </si>
  <si>
    <t>Contains column numbers from other lookup tables, useful for calculations in the Basic_Loads worksheet.</t>
  </si>
  <si>
    <t>These "Natural Background" concentrations were suggested on 4/24/08 by Bob Chamberlain and Peter Doering (written commun.).</t>
  </si>
  <si>
    <t>The TMDL was set for the Tidal Caloosahatchee by FDEP as a 23-percent reduction in TN loading.  The loadings for FDEP's</t>
  </si>
  <si>
    <t>fixed load reduction amount.  We currently are approximating the TMDL as a 23-percent reduction in our loadings for 1996-2005.</t>
  </si>
  <si>
    <t>period of record (2003-5) are quite different than for our period of record, thus it is problematic to apply their TMDL as a</t>
  </si>
  <si>
    <t>For the Caloosahatchee, these are considered a reasonable minimum level, below which we neither expect nor need to go.</t>
  </si>
  <si>
    <t>Est. TMDL</t>
  </si>
  <si>
    <t>TN Load, in mton/yr</t>
  </si>
  <si>
    <t>TP Load, in mton/yr</t>
  </si>
  <si>
    <t>Most (or all) of the data values are pulled from the worksheet Basic_Loads using the Vlookup name "loads_summ".</t>
  </si>
  <si>
    <t>Scroll down for more charts and tables.</t>
  </si>
  <si>
    <t>Bar Charts to accompany Summary Table for Total CRWPP for TN -- Load and Concentration, with TMDL</t>
  </si>
  <si>
    <t>Urban numbers were reset to be more conservative, 9/19/11.</t>
  </si>
  <si>
    <t>Powell Creek Filter Marsh</t>
  </si>
  <si>
    <t>For the WQ Spreadshet, the term "Phase" corresponds to the three "Status" periods here.</t>
  </si>
  <si>
    <t>(not used)</t>
  </si>
  <si>
    <t>When we refer to "Phase" in other worksheets, that corresponds to "Status" as defined here.</t>
  </si>
  <si>
    <t>Scroll Down for totals of load reduction.</t>
  </si>
  <si>
    <t>CRE-WRes-1</t>
  </si>
  <si>
    <t>CRE-WRes-2</t>
  </si>
  <si>
    <t>Project ID</t>
  </si>
  <si>
    <t>Current Activities (completed by 2011)</t>
  </si>
  <si>
    <t>Near-Term Activities (2012 to 2014)</t>
  </si>
  <si>
    <t>Long-Term Activities (2015 and beyond)</t>
  </si>
  <si>
    <t>Regional/Sub-Regional Projects</t>
  </si>
  <si>
    <t>Last updated 9/21/2011, TL</t>
  </si>
  <si>
    <t>Last updated 9/10/2011, TL</t>
  </si>
  <si>
    <t>Potential TN Reduction, in mton/yr</t>
  </si>
  <si>
    <t>Potential TP Reduction, in mton/yr</t>
  </si>
  <si>
    <t>alpha --&gt;</t>
  </si>
  <si>
    <t>subwat geog</t>
  </si>
  <si>
    <t>Adjusted TN Reduction, in mton/yr</t>
  </si>
  <si>
    <t>Adjusted TP Reduction, in mton/yr</t>
  </si>
  <si>
    <t>ratio</t>
  </si>
  <si>
    <t>initial total for ratio, in mton/yr</t>
  </si>
  <si>
    <t>adjusted total for ratio, in mton/yr</t>
  </si>
  <si>
    <t>adjusted project load, in lb/yr</t>
  </si>
  <si>
    <t>Tidal Cal.</t>
  </si>
  <si>
    <t>This is the main table for summarizing load reductions for TN and TP.</t>
  </si>
  <si>
    <t>Scroll down for TP</t>
  </si>
  <si>
    <t>For any given sub-watershed, the minimum attainable concentration is expected to be 0.80 ppm for TN and 80 ppb for TP.</t>
  </si>
  <si>
    <t>Phosphorus</t>
  </si>
  <si>
    <t>Nitrogen</t>
  </si>
  <si>
    <t>Table of Management Measures, sorted for reports.</t>
  </si>
  <si>
    <t>Total Reduction from BMPs (Initial)</t>
  </si>
  <si>
    <t>Reduction  from Dispersed WM (Initial)</t>
  </si>
  <si>
    <t>Reduction  from Local Projects (Initial)</t>
  </si>
  <si>
    <t>Reduction  from Regional Projects (Initial)</t>
  </si>
  <si>
    <t>Reduction from Dispersed WM Projects (Initial)</t>
  </si>
  <si>
    <t>Reduction from Chem. Treat. Projects (Initial)</t>
  </si>
  <si>
    <t>Reduction from Long-Term Local (Initial)</t>
  </si>
  <si>
    <t>Reduction from Long-Term Regional (Initial)</t>
  </si>
  <si>
    <t>Summary of Baseline, Current, Near-Term, and Long-Term (Adjusted values)</t>
  </si>
  <si>
    <t>Estimated Values for CRWPP at TMDL</t>
  </si>
  <si>
    <t>These columns are calculated automatically to get the adjusted reduction for each project,</t>
  </si>
  <si>
    <t>not used</t>
  </si>
  <si>
    <t>Initial Reductions</t>
  </si>
  <si>
    <t>Adjusted Reductions</t>
  </si>
  <si>
    <t>Incoming Concentration, in mg/L</t>
  </si>
  <si>
    <t>Current Reductions (Adjusted)</t>
  </si>
  <si>
    <t>Near-Term Reductions (Adjusted)</t>
  </si>
  <si>
    <t>For Long-Term, that comparison has been made previously, so it's not needed here.</t>
  </si>
  <si>
    <t>index adj</t>
  </si>
  <si>
    <t>index init</t>
  </si>
  <si>
    <t>Index Num</t>
  </si>
  <si>
    <t>Vlookup name = MM_List</t>
  </si>
  <si>
    <t>.</t>
  </si>
  <si>
    <t>count</t>
  </si>
  <si>
    <t>manual</t>
  </si>
  <si>
    <t>On this page, the Index Num must be entered manually, to produce a list below that's properly</t>
  </si>
  <si>
    <t>based on the initial and adjusted load reductions from the Vlookup name loads_summ in the Basic_Loads worksheet.</t>
  </si>
  <si>
    <t>The index numbers in the orange boxes have been set for loads_summ for each combination of status and scale.</t>
  </si>
  <si>
    <t>Note:  The values under Index Num must be revised manually if the list of MMs or the status_code changes.</t>
  </si>
  <si>
    <t>Bar Chart of TN Load Reductions in percent, grouped by Sub-Watershed and Phase</t>
  </si>
  <si>
    <t>Cumulative</t>
  </si>
  <si>
    <t>TN Load Reduction, in percent</t>
  </si>
  <si>
    <t>Bar Charts to accompany Summary Table for Total CRWPP for TN -- Percent Load Reduction, with TMDL</t>
  </si>
  <si>
    <t>sorted on status, scale, and MM #.  Data in the other columns are brought in automatically</t>
  </si>
  <si>
    <t>from the worksheet MM_List using the Vlookup name MM_List.</t>
  </si>
  <si>
    <t>For a report-formatted version of this data, see the worksheet MM_RptList.</t>
  </si>
  <si>
    <t>Table XX. – List of local and regional/sub-regional projects, grouped by phase, with estimated load reductions for total nitrogen and phosphorus.</t>
  </si>
  <si>
    <t>The load reductions shown here have been adjusted for the minimum expected concentrations of 0.80 ppm for total nitrogen</t>
  </si>
  <si>
    <t>and 80 ppb for total phosphorus, and thus may be less than the values included in the detailed descriptions for the projects.</t>
  </si>
  <si>
    <t>For Current and Near-Term, compares concentration to base "background" concentration.</t>
  </si>
  <si>
    <t>Numbers for agricultural areas were provided by FDACS, August 2011.  Ag cos-share numbers were provided by FDACS, October 2011.</t>
  </si>
  <si>
    <t xml:space="preserve">Hickeys Creek Canal Widening </t>
  </si>
  <si>
    <t>Owner-Implemented</t>
  </si>
  <si>
    <t>Cost-Share</t>
  </si>
  <si>
    <t>Owner-Impl</t>
  </si>
  <si>
    <t>Pervious Area</t>
  </si>
  <si>
    <t>Ag Owner-Implemented</t>
  </si>
  <si>
    <t>Ag Total</t>
  </si>
  <si>
    <t>Vlookup Name = bottbmp_curr</t>
  </si>
  <si>
    <t>Vlookup Name = bottbmp_near</t>
  </si>
  <si>
    <t>Vlookup Name = bottbmp_long</t>
  </si>
  <si>
    <t>Superseded</t>
  </si>
  <si>
    <t>bottbmp_curr,near,long</t>
  </si>
  <si>
    <t>Incremental by Phase</t>
  </si>
  <si>
    <t>BMP Areas -- Current Phase</t>
  </si>
  <si>
    <t>BMP Areas -- Near-Term Phase</t>
  </si>
  <si>
    <t>BMP Areas -- Long-Term Phase</t>
  </si>
  <si>
    <t>Perv Area</t>
  </si>
  <si>
    <t>Pct Impl</t>
  </si>
  <si>
    <t>Pct New Urban (available for Cost-Share)</t>
  </si>
  <si>
    <t>Old Data for Comparison, from 2009 CRWPP</t>
  </si>
  <si>
    <t>Percentage of urban areas that are new urban (since 1988)</t>
  </si>
  <si>
    <t>Used for Cost-Share, under presumption that the new urban is suitable for cost-share, but old urban is not.</t>
  </si>
  <si>
    <t>These numbers were calculated for the 2009 CRWPP,  based on a comparison of 1988 and 2004-5 LU.</t>
  </si>
  <si>
    <t>Percentage of pervious areas for urban LU categories</t>
  </si>
  <si>
    <t>Used for Owner-Implemented and Cost-Share, under presumption that cannot apply BMPs on impervious areas.</t>
  </si>
  <si>
    <t>These numbers were used for the 2009 CRWPP, as pulled from available literature.</t>
  </si>
  <si>
    <t>They are copy/pasted from the Supporting Data tables, below.</t>
  </si>
  <si>
    <t>BMP Areas -- Supporting Data -- Multipliers from tables below</t>
  </si>
  <si>
    <t>These percentages are used as multipliers for computing the tables on the left.</t>
  </si>
  <si>
    <t>Percentage of BMP implementation, by Phase</t>
  </si>
  <si>
    <t>These numbers are used for urban LU categories, and are arbitrary.</t>
  </si>
  <si>
    <t xml:space="preserve">This table was superseded on 10/4/11.  </t>
  </si>
  <si>
    <t>Replaced by tables above for BMP Areas, which have numbers for individual sub-watersheds</t>
  </si>
  <si>
    <t>Urban BMP Implementation</t>
  </si>
  <si>
    <t>Urban LU Category</t>
  </si>
  <si>
    <t>BMP Areas -- Supporting Data for the tables above</t>
  </si>
  <si>
    <t>Percentage of agricultural areas with owner-implemented BMPs, by Phase</t>
  </si>
  <si>
    <t>Near-Term percentages (cumulative)were set to 30% for Coastal and Tidal, 80% for the other sub-watersheds.</t>
  </si>
  <si>
    <t>Long-Term pecentages were presumed to be 100% (i.e. all ag areas enrolled).</t>
  </si>
  <si>
    <t>Tables for BMP Areas -- Current, Near-Term, and Long-Term</t>
  </si>
  <si>
    <t>This table was created on 10/4/2011 and supersedes the older table, which for purposes of comparison may be found at the bottom of this sheet.</t>
  </si>
  <si>
    <t>Load reduction = incoming load x BMP Efficiency x BMP Area</t>
  </si>
  <si>
    <t>For BMP Efficiency, use the Vlookup name bott_bmpeff.  For BMP Area, use the Vlookup name bottbmp_curr, bottbmp_near, or bottbmp_long.</t>
  </si>
  <si>
    <t>Tabled values last modified 10/4/2011, TL</t>
  </si>
  <si>
    <t>Contains percentages for calculating load reductions for two types of BMP practices, owner-implemented and cost-share.</t>
  </si>
  <si>
    <t>This section is split into three tables for the Current, Near-Term, and Long-Term Phases.</t>
  </si>
  <si>
    <t>Load reductions for a given Phase and Type (owner-implmented or cost-share) are calculated in the Basic_Loads worksheet as follows:</t>
  </si>
  <si>
    <t>Explanation of calculations:</t>
  </si>
  <si>
    <t>Urban, Owner-Implemented</t>
  </si>
  <si>
    <t>Urban, Cost-Share</t>
  </si>
  <si>
    <t>Agricultural, Owner-Implemented, less ag</t>
  </si>
  <si>
    <t>Agricultural, Owner-Implemented, more ag</t>
  </si>
  <si>
    <t>Agricultural, Cost-Share</t>
  </si>
  <si>
    <t>No BMPs in LU categories for water and natural areas.  Set all percentages to zero.</t>
  </si>
  <si>
    <t>Pct Impl x Perv Area</t>
  </si>
  <si>
    <t>Same for all sub-watersheds</t>
  </si>
  <si>
    <t>Varies by sub-watershed</t>
  </si>
  <si>
    <t>Pct Impl x Perv Area x Pct New urban</t>
  </si>
  <si>
    <t>Pct Ag Impl for Current,  30% cumulative for Near-Term, and 100% cumulative for Long-Term.</t>
  </si>
  <si>
    <t>Pct Ag Impl for Current,  80% cumulative for Near-Term, and 100% cumulative for Long-Term.</t>
  </si>
  <si>
    <t>Pct Ag Impl for Current, zero for Near-Term, and zero for Long-Term.</t>
  </si>
  <si>
    <t>Note that the concept is reversed from 2009, which presumed that new urban would already have BMPs.</t>
  </si>
  <si>
    <t>WQ Spreadsheet</t>
  </si>
  <si>
    <t>Spreadsheet for calculation of source nutrient loads and the potential effect of various BMPs and management measures for the CRWPP study area</t>
  </si>
  <si>
    <t>CRWPP</t>
  </si>
  <si>
    <t>Caloosahatchee River Watershed Protection Plan</t>
  </si>
  <si>
    <t>NEEPP</t>
  </si>
  <si>
    <t>Northern Everglades and Estuary Protection Program</t>
  </si>
  <si>
    <t>SFWMD</t>
  </si>
  <si>
    <t>South Florida Water Management District</t>
  </si>
  <si>
    <t>Nutrients of Interest:</t>
  </si>
  <si>
    <t>Total Nitrogen (TN) and Total Phosphorus (TP)</t>
  </si>
  <si>
    <t>Status:</t>
  </si>
  <si>
    <t>Spreadsheet File:</t>
  </si>
  <si>
    <t>Fort Myers</t>
  </si>
  <si>
    <t>West Palm Beach</t>
  </si>
  <si>
    <t>St. Lucie Team</t>
  </si>
  <si>
    <t>State Partners</t>
  </si>
  <si>
    <t>FDEP, FDACS</t>
  </si>
  <si>
    <t>ConvFactors</t>
  </si>
  <si>
    <t>List of standard conversion factors.  Calculations are exact, except for those involving mass, which are accurate to 6 or 7 significant digits.</t>
  </si>
  <si>
    <t>For More Information</t>
  </si>
  <si>
    <t>Tim Liebermann</t>
  </si>
  <si>
    <t>Sr. Geographer, South Florida Water Management District</t>
  </si>
  <si>
    <t>2301 McGregor Blvd., Fort Myers, FL, 33901</t>
  </si>
  <si>
    <t>1-239-338-2929, ext. 7788</t>
  </si>
  <si>
    <t>tlieber@sfwmd.gov</t>
  </si>
  <si>
    <t>Tim Liebermann, Clyde Dabbs, Molly Meadows, Judith Nothdurft</t>
  </si>
  <si>
    <t>Lesley Bertolotti, Pinar Balci, Joyce Zhang, Temperince Morgan</t>
  </si>
  <si>
    <t>Fawen Zheng, Cecilia Conrad, Boyd Gonsalus</t>
  </si>
  <si>
    <t>Abridged_Summary</t>
  </si>
  <si>
    <t>Main Summary</t>
  </si>
  <si>
    <t>Figs_n_Tables</t>
  </si>
  <si>
    <t>Basic_Loads</t>
  </si>
  <si>
    <t>LU_Lookup</t>
  </si>
  <si>
    <t>MM_List</t>
  </si>
  <si>
    <t>MM_RptList</t>
  </si>
  <si>
    <t>FlowLoad_Data</t>
  </si>
  <si>
    <t>Dispersed_WMP</t>
  </si>
  <si>
    <t>Parcel_ChemTrt</t>
  </si>
  <si>
    <t>Master_Lookup</t>
  </si>
  <si>
    <t>Main worksheet for calculating loads and load reductions.  Data from here is used for the summaries and figures.</t>
  </si>
  <si>
    <t>Contains bar charts and formatted tables, suitable for report or PPT presentations.</t>
  </si>
  <si>
    <t>Abridged summary of loads and reductions for baseline, current, near-term, and long-term phases.</t>
  </si>
  <si>
    <t>Summary of loads and reductions for baseline, current, near-term, and long-term phases.  Includes reductions for BMPs, MMs, Dispersed, etc.</t>
  </si>
  <si>
    <t>Lookup tables based on land-use categories.  Includes Bottcher BMP efficiencies, Bottcher loading rates, land-use acreages by sub-watershed, BMP areas, etc.</t>
  </si>
  <si>
    <t>Contains annual flow, loads, and concentrations along the Caloosahatchee mainstem.  Includes average values for various periods of record.</t>
  </si>
  <si>
    <t>Master table of all management measures (projects), with their potential load reductions.  Includes phase and scale (local or regional).</t>
  </si>
  <si>
    <t>List of management measures from MM_List, but organized by phase and scale and formatted for report.  Load reductions are adjusted to match the summary tables.</t>
  </si>
  <si>
    <t>\\ftmfs1\swffs\geodata\projects\crwpp\report_11\wqspreadsheet\CRWPP11_WQ_Final.xlsx</t>
  </si>
  <si>
    <t>Contains list of dispersed water-management projects, with potential load reductions.</t>
  </si>
  <si>
    <t>Table to the right shows the estimated average TN and TP concentration by sub-watershed</t>
  </si>
  <si>
    <t>for a given phase, after including reductions from BMP implementation.</t>
  </si>
  <si>
    <t>Contains list of parcel-based chemical-treatment projects that are included in the LOPP, with potential load reductions.</t>
  </si>
  <si>
    <t>Boundaries of the five sub-watersheds (S-4, East Cal, West Cal, Tidal Cal, and Coastal) are slightly different from 2008.  Nicodemus Slough South was added to East Cal.</t>
  </si>
  <si>
    <t>The period of record for the 2012 Plan is 1996 to 2005 (calendar years).  The POR for the 2009 Plan was 1995 to 2005.</t>
  </si>
  <si>
    <t>Flow and Load Data</t>
  </si>
  <si>
    <t>Data for S-77, S-78, and S-79 are virtually the same as used for the 2009 Plan, except that the POR has changed from 11 years to 10 years.</t>
  </si>
  <si>
    <t>Data for S-235 was compiled by Lucia Baldwin.  For the 2009 Plan, data for S-4 was estimated.</t>
  </si>
  <si>
    <t>Terms, Concepts, and Data Notes</t>
  </si>
  <si>
    <t>Data for Coastal was derived from recent modeling by Konyha and Wan.  For the 2009 Plan, data for Coastal was estimated.</t>
  </si>
  <si>
    <t>Bottcher Tables</t>
  </si>
  <si>
    <t>WQ Nutrient Parameters</t>
  </si>
  <si>
    <t>The parameters of interest for the CRWPP are total nitrogen (TN) and total phosphorus (TP).</t>
  </si>
  <si>
    <t>Contains miscellaneous lookup tables and indexes.  Several global parameters, such as the base "natural background" concentrations are set here.</t>
  </si>
  <si>
    <t>Estimates of unit runoff and loadings and BMP efficiencies, by land-use category, were supplied by Bottcher (SWET).</t>
  </si>
  <si>
    <t>Runoff and loading numbers were adjusted slightly by Bottcher for the current POR (1996-2005).  The BMP efficiencies are unchanged from the 2009 Plan.</t>
  </si>
  <si>
    <t xml:space="preserve">FLUCCS data from the SFWMD (2004-5) and SWFWMD (2005) were compiled.  This is consistent with the POR.  Draft data from 2008-9 were not used.  </t>
  </si>
  <si>
    <t>Estimation of Loads</t>
  </si>
  <si>
    <t>All estimates of runoff and loadings were summed by sub-watershed.</t>
  </si>
  <si>
    <t>Initial values for runoff and loadings were estimated by multiplying land-use acreages by the numbers in the Bottcher tables.</t>
  </si>
  <si>
    <t>Phase</t>
  </si>
  <si>
    <t>The 2012 Plan uses several phases to track the implementation of load-reduction measures.</t>
  </si>
  <si>
    <t>Baseline -- The conditions existing as of the beginning of the CRWPP process (circa 2008).  Baseline data generally correspond to the POR (1996-2005).</t>
  </si>
  <si>
    <t>Current -- Includes projects completed by the end of 2011.</t>
  </si>
  <si>
    <t>Near-Term -- Includes projects that are considered definite and that are expected to be completed during the period 2012 to 2014.</t>
  </si>
  <si>
    <t>Long-Term -- Includes projects that are expected to be completed after 2014 (i.e. 2015 and beyond).</t>
  </si>
  <si>
    <t>Load Reductions</t>
  </si>
  <si>
    <t>The initial values were adjusted to match the flow and load data for S-77, S-78, S-79, S-235, and CRE (Coastal) for the 1996-2005 POR, to give baseline values.</t>
  </si>
  <si>
    <t>For each phase (current, near-term, and long-term), load reductions from several categories were applied.  In sequence, these categories are:</t>
  </si>
  <si>
    <t>Owner-implement BMPs</t>
  </si>
  <si>
    <t>Cost-share BMPs</t>
  </si>
  <si>
    <t>Dispersed Water-Management Projects</t>
  </si>
  <si>
    <t>Local Water-Quality Projects</t>
  </si>
  <si>
    <t xml:space="preserve">Regional/Sub-regional Projects </t>
  </si>
  <si>
    <t>Chemical Treatment Projects at the parcel level (Long-term only)</t>
  </si>
  <si>
    <t>For each phase and category, the load reductions and resulting concentratiosn were tallied.</t>
  </si>
  <si>
    <t>Base Concentrations</t>
  </si>
  <si>
    <t>CRW and Sub-Watersheds</t>
  </si>
  <si>
    <t>The Caloosahatchee River Watershed (CRW) study area includes the area that drains into the Caloosahatchee Estuary and the associated offshore estuarine area.</t>
  </si>
  <si>
    <t>CRWPP dates</t>
  </si>
  <si>
    <t>Officially, the current update is called the 2012 version because it will be delivered to the Legislature in March 2012, but all of the work has been done in 2011.</t>
  </si>
  <si>
    <t>The first CRWPP was prepared in 2008 but was delivered to the Legislature on Jan. 1, 2009, so officially it's the 2009 version.</t>
  </si>
  <si>
    <t>Caloosahatchee River Watershed Protection Plan (CRWPP), one of several River Watershed Protection Plans (RWPP) for the NEEPP.</t>
  </si>
  <si>
    <t>The Coastal Sub-watershed does not drain to the Caloos. Riv. Estuary at Shell Point, and thus some studies (e.g. FDEP TMDL) do no include it.</t>
  </si>
  <si>
    <t>For TN and TP, base concentrations were established for the CRW as minimum levels below which concentrations for runoff are not expected to go.</t>
  </si>
  <si>
    <t>For the 2009 Plan, these levels were estimated by Doering and Chamberlain as 0.80 mg/L (0.80 ppm) for TN and 0.080 mg/L (80 ppb) for TP.</t>
  </si>
  <si>
    <t>For the current and near-term phase, the resulting concentrations were compared to the base concentrations at the end of the sequence.  If the resulting</t>
  </si>
  <si>
    <t>concentration was below the base level, then the resulting concentration was reset to the base level and the loading reductions were adjusted accordingly.</t>
  </si>
  <si>
    <t>For the long-term phase, this comparison and adjustment was made, if needed, after every step in the sequence of categories.</t>
  </si>
  <si>
    <t>Main Table of Results</t>
  </si>
  <si>
    <t>All of the information that might reasonably be needed for use in report tables, graphs, or pie charts is summarized in Section H of the Basic_Loads worksheet.</t>
  </si>
  <si>
    <t>This tabled data in Section H is stored as a named range named "loads_summ".  Values from this table may be accessed by using a vlookup for loads_summ.</t>
  </si>
  <si>
    <t>Excel Notes</t>
  </si>
  <si>
    <t>In order to share data between worksheets, extensive use of named ranges and vlookup functions is employed.</t>
  </si>
  <si>
    <t>Some named ranges are set for individual values, such as parameters or constants, but most name ranges are used for accessing data from lookup tables.</t>
  </si>
  <si>
    <t>Changes to values in one worksheet are immediately propagated into all of the other worksheets.  Hardwiring of data has been minimized.</t>
  </si>
  <si>
    <t>Contributors</t>
  </si>
  <si>
    <t>List of Worksheets (tabs) included in this Water-Quality Spreadsheet</t>
  </si>
  <si>
    <t>All of the information in the worksheets Abridged_Summary, Main_summary, and Figs_n_Tables is pulled directly from this main table using loads_summ.</t>
  </si>
  <si>
    <t>Current percentages were supplied by FDACS (last version on 10/18/2011), described as pecentage of ag land enrolled in BMP programs.</t>
  </si>
  <si>
    <t>Percentage of agricultural areas with cost-share BMPs, for Current Phase</t>
  </si>
  <si>
    <t>Checking by FDACS indicates that landowners with owner-implmented have already put cost-share BMPs in place.</t>
  </si>
  <si>
    <t>Current and near-term percentages were supplied by FDACS (last version on 10/18/2011), described as pecentage of ag land enrolled in BMP programs.</t>
  </si>
  <si>
    <t>Older estimates have been discarded.  Long-term percentages are set to zero.</t>
  </si>
  <si>
    <t>Ag Cost-Share</t>
  </si>
  <si>
    <t>Last updated 10/18/2011, TL</t>
  </si>
  <si>
    <t>"Parking Lot" for deleted or modified management measures, not currently included</t>
  </si>
  <si>
    <t>removed 12/5/11</t>
  </si>
  <si>
    <t>notes</t>
  </si>
  <si>
    <t>Last updated 12/5/2011,TL</t>
  </si>
  <si>
    <t>Last updated 12/5/2011, TL</t>
  </si>
  <si>
    <t>Data were compiled and spreadsheet was built in 2011.  Draft report released on 10/05/2011.  Final report due March 2012.  Spreadsheet last updated 12/5/2011.</t>
  </si>
</sst>
</file>

<file path=xl/styles.xml><?xml version="1.0" encoding="utf-8"?>
<styleSheet xmlns="http://schemas.openxmlformats.org/spreadsheetml/2006/main">
  <numFmts count="19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"/>
    <numFmt numFmtId="165" formatCode="_(* #,##0_);_(* \(#,##0\);_(* &quot;-&quot;??_);_(@_)"/>
    <numFmt numFmtId="166" formatCode="0.000000"/>
    <numFmt numFmtId="167" formatCode="0.00000"/>
    <numFmt numFmtId="168" formatCode="0.0000"/>
    <numFmt numFmtId="169" formatCode="0.000"/>
    <numFmt numFmtId="170" formatCode="0.00000000"/>
    <numFmt numFmtId="171" formatCode="0.0%"/>
    <numFmt numFmtId="172" formatCode="_(* #,##0.0_);_(* \(#,##0.0\);_(* &quot;-&quot;??_);_(@_)"/>
    <numFmt numFmtId="173" formatCode="0_);\(0\)"/>
    <numFmt numFmtId="174" formatCode="#,##0.000"/>
    <numFmt numFmtId="175" formatCode="_(* #,##0.000_);_(* \(#,##0.000\);_(* &quot;-&quot;??_);_(@_)"/>
    <numFmt numFmtId="176" formatCode="#,##0\ &quot;acre-ft&quot;"/>
    <numFmt numFmtId="177" formatCode="[$-409]mmm\-yy;@"/>
    <numFmt numFmtId="178" formatCode="#,##0.000000"/>
    <numFmt numFmtId="179" formatCode="#,##0.0"/>
    <numFmt numFmtId="180" formatCode="0.0000000000000000"/>
  </numFmts>
  <fonts count="85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1"/>
      <color theme="0" tint="-0.249977111117893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theme="0" tint="-0.499984740745262"/>
      <name val="Arial"/>
      <family val="2"/>
    </font>
    <font>
      <b/>
      <sz val="10"/>
      <color theme="0" tint="-0.499984740745262"/>
      <name val="Arial"/>
      <family val="2"/>
    </font>
    <font>
      <sz val="11"/>
      <color theme="1" tint="0.34998626667073579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1"/>
      <name val="Calibri"/>
      <family val="2"/>
      <scheme val="minor"/>
    </font>
    <font>
      <sz val="11"/>
      <color indexed="23"/>
      <name val="Calibri"/>
      <family val="2"/>
      <scheme val="minor"/>
    </font>
    <font>
      <sz val="11"/>
      <color indexed="55"/>
      <name val="Calibri"/>
      <family val="2"/>
      <scheme val="minor"/>
    </font>
    <font>
      <sz val="11"/>
      <color indexed="22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1"/>
      <color theme="1" tint="0.499984740745262"/>
      <name val="Calibri"/>
      <family val="2"/>
      <scheme val="minor"/>
    </font>
    <font>
      <b/>
      <i/>
      <sz val="11"/>
      <color theme="1" tint="0.499984740745262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0"/>
      <color theme="0" tint="-0.34998626667073579"/>
      <name val="Arial"/>
      <family val="2"/>
    </font>
    <font>
      <sz val="10"/>
      <color theme="0" tint="-0.249977111117893"/>
      <name val="Arial"/>
      <family val="2"/>
    </font>
    <font>
      <i/>
      <sz val="11"/>
      <color theme="1"/>
      <name val="Calibri"/>
      <family val="2"/>
      <scheme val="minor"/>
    </font>
    <font>
      <sz val="10"/>
      <color theme="0" tint="-0.34998626667073579"/>
      <name val="Calibri"/>
      <family val="2"/>
      <scheme val="minor"/>
    </font>
    <font>
      <sz val="10"/>
      <color theme="1" tint="0.34998626667073579"/>
      <name val="Arial"/>
      <family val="2"/>
    </font>
    <font>
      <sz val="10"/>
      <color theme="1" tint="0.499984740745262"/>
      <name val="Calibri"/>
      <family val="2"/>
      <scheme val="minor"/>
    </font>
    <font>
      <sz val="11"/>
      <color theme="1" tint="0.499984740745262"/>
      <name val="Calibri"/>
      <family val="2"/>
      <scheme val="minor"/>
    </font>
    <font>
      <b/>
      <sz val="11"/>
      <color theme="1" tint="0.499984740745262"/>
      <name val="Calibri"/>
      <family val="2"/>
      <scheme val="minor"/>
    </font>
    <font>
      <sz val="11"/>
      <color theme="0" tint="-0.1499984740745262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1"/>
      <color theme="0" tint="-0.249977111117893"/>
      <name val="Calibri"/>
      <family val="2"/>
      <scheme val="minor"/>
    </font>
    <font>
      <b/>
      <sz val="11"/>
      <color rgb="FF00B0F0"/>
      <name val="Calibri"/>
      <family val="2"/>
      <scheme val="minor"/>
    </font>
    <font>
      <sz val="9"/>
      <color theme="0" tint="-0.34998626667073579"/>
      <name val="Calibri"/>
      <family val="2"/>
      <scheme val="minor"/>
    </font>
    <font>
      <i/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i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i/>
      <sz val="11"/>
      <color theme="0" tint="-0.249977111117893"/>
      <name val="Calibri"/>
      <family val="2"/>
      <scheme val="minor"/>
    </font>
    <font>
      <b/>
      <sz val="10"/>
      <color theme="0" tint="-0.34998626667073579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0" tint="-0.499984740745262"/>
      <name val="Calibri"/>
      <family val="2"/>
      <scheme val="minor"/>
    </font>
    <font>
      <b/>
      <sz val="10"/>
      <color theme="1" tint="0.499984740745262"/>
      <name val="Calibri"/>
      <family val="2"/>
      <scheme val="minor"/>
    </font>
    <font>
      <u/>
      <sz val="10"/>
      <color indexed="12"/>
      <name val="Arial"/>
    </font>
    <font>
      <u/>
      <sz val="11"/>
      <color indexed="12"/>
      <name val="Calibri"/>
      <family val="2"/>
      <scheme val="minor"/>
    </font>
  </fonts>
  <fills count="75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9966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CC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66FFCC"/>
        <bgColor indexed="64"/>
      </patternFill>
    </fill>
    <fill>
      <patternFill patternType="solid">
        <fgColor rgb="FF99FF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theme="2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</borders>
  <cellStyleXfs count="50">
    <xf numFmtId="0" fontId="0" fillId="0" borderId="0"/>
    <xf numFmtId="43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5" fillId="0" borderId="0" applyFont="0" applyFill="0" applyBorder="0" applyAlignment="0" applyProtection="0"/>
    <xf numFmtId="0" fontId="25" fillId="0" borderId="0"/>
    <xf numFmtId="0" fontId="49" fillId="0" borderId="0"/>
    <xf numFmtId="43" fontId="49" fillId="0" borderId="0" applyFont="0" applyFill="0" applyBorder="0" applyAlignment="0" applyProtection="0"/>
    <xf numFmtId="0" fontId="20" fillId="34" borderId="0" applyNumberFormat="0" applyBorder="0" applyAlignment="0" applyProtection="0"/>
    <xf numFmtId="0" fontId="20" fillId="38" borderId="0" applyNumberFormat="0" applyBorder="0" applyAlignment="0" applyProtection="0"/>
    <xf numFmtId="0" fontId="20" fillId="42" borderId="0" applyNumberFormat="0" applyBorder="0" applyAlignment="0" applyProtection="0"/>
    <xf numFmtId="0" fontId="20" fillId="46" borderId="0" applyNumberFormat="0" applyBorder="0" applyAlignment="0" applyProtection="0"/>
    <xf numFmtId="0" fontId="20" fillId="50" borderId="0" applyNumberFormat="0" applyBorder="0" applyAlignment="0" applyProtection="0"/>
    <xf numFmtId="0" fontId="20" fillId="54" borderId="0" applyNumberFormat="0" applyBorder="0" applyAlignment="0" applyProtection="0"/>
    <xf numFmtId="0" fontId="20" fillId="35" borderId="0" applyNumberFormat="0" applyBorder="0" applyAlignment="0" applyProtection="0"/>
    <xf numFmtId="0" fontId="20" fillId="39" borderId="0" applyNumberFormat="0" applyBorder="0" applyAlignment="0" applyProtection="0"/>
    <xf numFmtId="0" fontId="20" fillId="43" borderId="0" applyNumberFormat="0" applyBorder="0" applyAlignment="0" applyProtection="0"/>
    <xf numFmtId="0" fontId="20" fillId="47" borderId="0" applyNumberFormat="0" applyBorder="0" applyAlignment="0" applyProtection="0"/>
    <xf numFmtId="0" fontId="20" fillId="51" borderId="0" applyNumberFormat="0" applyBorder="0" applyAlignment="0" applyProtection="0"/>
    <xf numFmtId="0" fontId="20" fillId="55" borderId="0" applyNumberFormat="0" applyBorder="0" applyAlignment="0" applyProtection="0"/>
    <xf numFmtId="0" fontId="51" fillId="36" borderId="0" applyNumberFormat="0" applyBorder="0" applyAlignment="0" applyProtection="0"/>
    <xf numFmtId="0" fontId="51" fillId="40" borderId="0" applyNumberFormat="0" applyBorder="0" applyAlignment="0" applyProtection="0"/>
    <xf numFmtId="0" fontId="51" fillId="44" borderId="0" applyNumberFormat="0" applyBorder="0" applyAlignment="0" applyProtection="0"/>
    <xf numFmtId="0" fontId="51" fillId="48" borderId="0" applyNumberFormat="0" applyBorder="0" applyAlignment="0" applyProtection="0"/>
    <xf numFmtId="0" fontId="51" fillId="52" borderId="0" applyNumberFormat="0" applyBorder="0" applyAlignment="0" applyProtection="0"/>
    <xf numFmtId="0" fontId="51" fillId="56" borderId="0" applyNumberFormat="0" applyBorder="0" applyAlignment="0" applyProtection="0"/>
    <xf numFmtId="0" fontId="51" fillId="33" borderId="0" applyNumberFormat="0" applyBorder="0" applyAlignment="0" applyProtection="0"/>
    <xf numFmtId="0" fontId="51" fillId="37" borderId="0" applyNumberFormat="0" applyBorder="0" applyAlignment="0" applyProtection="0"/>
    <xf numFmtId="0" fontId="51" fillId="41" borderId="0" applyNumberFormat="0" applyBorder="0" applyAlignment="0" applyProtection="0"/>
    <xf numFmtId="0" fontId="51" fillId="45" borderId="0" applyNumberFormat="0" applyBorder="0" applyAlignment="0" applyProtection="0"/>
    <xf numFmtId="0" fontId="51" fillId="49" borderId="0" applyNumberFormat="0" applyBorder="0" applyAlignment="0" applyProtection="0"/>
    <xf numFmtId="0" fontId="51" fillId="53" borderId="0" applyNumberFormat="0" applyBorder="0" applyAlignment="0" applyProtection="0"/>
    <xf numFmtId="0" fontId="52" fillId="27" borderId="0" applyNumberFormat="0" applyBorder="0" applyAlignment="0" applyProtection="0"/>
    <xf numFmtId="0" fontId="53" fillId="30" borderId="21" applyNumberFormat="0" applyAlignment="0" applyProtection="0"/>
    <xf numFmtId="0" fontId="54" fillId="31" borderId="24" applyNumberFormat="0" applyAlignment="0" applyProtection="0"/>
    <xf numFmtId="44" fontId="25" fillId="0" borderId="0" applyFont="0" applyFill="0" applyBorder="0" applyAlignment="0" applyProtection="0"/>
    <xf numFmtId="0" fontId="55" fillId="0" borderId="0" applyNumberFormat="0" applyFill="0" applyBorder="0" applyAlignment="0" applyProtection="0"/>
    <xf numFmtId="0" fontId="56" fillId="26" borderId="0" applyNumberFormat="0" applyBorder="0" applyAlignment="0" applyProtection="0"/>
    <xf numFmtId="0" fontId="46" fillId="0" borderId="18" applyNumberFormat="0" applyFill="0" applyAlignment="0" applyProtection="0"/>
    <xf numFmtId="0" fontId="47" fillId="0" borderId="19" applyNumberFormat="0" applyFill="0" applyAlignment="0" applyProtection="0"/>
    <xf numFmtId="0" fontId="48" fillId="0" borderId="20" applyNumberFormat="0" applyFill="0" applyAlignment="0" applyProtection="0"/>
    <xf numFmtId="0" fontId="48" fillId="0" borderId="0" applyNumberFormat="0" applyFill="0" applyBorder="0" applyAlignment="0" applyProtection="0"/>
    <xf numFmtId="0" fontId="57" fillId="29" borderId="21" applyNumberFormat="0" applyAlignment="0" applyProtection="0"/>
    <xf numFmtId="0" fontId="58" fillId="0" borderId="23" applyNumberFormat="0" applyFill="0" applyAlignment="0" applyProtection="0"/>
    <xf numFmtId="0" fontId="59" fillId="28" borderId="0" applyNumberFormat="0" applyBorder="0" applyAlignment="0" applyProtection="0"/>
    <xf numFmtId="0" fontId="20" fillId="32" borderId="25" applyNumberFormat="0" applyFont="0" applyAlignment="0" applyProtection="0"/>
    <xf numFmtId="0" fontId="60" fillId="30" borderId="22" applyNumberFormat="0" applyAlignment="0" applyProtection="0"/>
    <xf numFmtId="0" fontId="17" fillId="0" borderId="26" applyNumberFormat="0" applyFill="0" applyAlignment="0" applyProtection="0"/>
    <xf numFmtId="0" fontId="44" fillId="0" borderId="0" applyNumberFormat="0" applyFill="0" applyBorder="0" applyAlignment="0" applyProtection="0"/>
    <xf numFmtId="0" fontId="20" fillId="0" borderId="0"/>
    <xf numFmtId="0" fontId="83" fillId="0" borderId="0" applyNumberFormat="0" applyFill="0" applyBorder="0" applyAlignment="0" applyProtection="0">
      <alignment vertical="top"/>
      <protection locked="0"/>
    </xf>
  </cellStyleXfs>
  <cellXfs count="1499">
    <xf numFmtId="0" fontId="0" fillId="0" borderId="0" xfId="0"/>
    <xf numFmtId="0" fontId="18" fillId="0" borderId="0" xfId="0" applyFont="1" applyAlignment="1">
      <alignment horizontal="center" vertical="center"/>
    </xf>
    <xf numFmtId="0" fontId="17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0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" xfId="0" applyBorder="1" applyAlignment="1">
      <alignment horizontal="center"/>
    </xf>
    <xf numFmtId="0" fontId="23" fillId="0" borderId="0" xfId="0" applyFont="1" applyAlignment="1">
      <alignment horizontal="center"/>
    </xf>
    <xf numFmtId="0" fontId="24" fillId="4" borderId="1" xfId="0" applyFont="1" applyFill="1" applyBorder="1" applyAlignment="1">
      <alignment horizontal="right"/>
    </xf>
    <xf numFmtId="0" fontId="24" fillId="4" borderId="1" xfId="0" applyFont="1" applyFill="1" applyBorder="1" applyAlignment="1">
      <alignment horizontal="center"/>
    </xf>
    <xf numFmtId="0" fontId="24" fillId="4" borderId="1" xfId="0" applyFont="1" applyFill="1" applyBorder="1"/>
    <xf numFmtId="166" fontId="25" fillId="0" borderId="0" xfId="0" applyNumberFormat="1" applyFont="1" applyAlignment="1">
      <alignment horizontal="right"/>
    </xf>
    <xf numFmtId="0" fontId="25" fillId="0" borderId="0" xfId="0" applyFont="1"/>
    <xf numFmtId="0" fontId="25" fillId="0" borderId="0" xfId="0" applyFont="1" applyAlignment="1">
      <alignment horizontal="right"/>
    </xf>
    <xf numFmtId="167" fontId="25" fillId="0" borderId="0" xfId="0" applyNumberFormat="1" applyFont="1" applyAlignment="1">
      <alignment horizontal="right"/>
    </xf>
    <xf numFmtId="168" fontId="0" fillId="0" borderId="0" xfId="0" applyNumberFormat="1"/>
    <xf numFmtId="167" fontId="0" fillId="0" borderId="0" xfId="0" applyNumberFormat="1"/>
    <xf numFmtId="1" fontId="0" fillId="0" borderId="0" xfId="0" applyNumberFormat="1"/>
    <xf numFmtId="168" fontId="0" fillId="0" borderId="0" xfId="0" applyNumberFormat="1" applyFill="1"/>
    <xf numFmtId="167" fontId="0" fillId="0" borderId="0" xfId="0" applyNumberFormat="1" applyFill="1"/>
    <xf numFmtId="169" fontId="0" fillId="0" borderId="0" xfId="0" applyNumberFormat="1"/>
    <xf numFmtId="170" fontId="0" fillId="0" borderId="0" xfId="0" applyNumberFormat="1"/>
    <xf numFmtId="166" fontId="0" fillId="0" borderId="0" xfId="0" applyNumberFormat="1"/>
    <xf numFmtId="0" fontId="26" fillId="0" borderId="0" xfId="0" applyFont="1" applyAlignment="1">
      <alignment horizontal="center"/>
    </xf>
    <xf numFmtId="0" fontId="26" fillId="0" borderId="0" xfId="0" applyFont="1"/>
    <xf numFmtId="0" fontId="0" fillId="6" borderId="11" xfId="0" applyFill="1" applyBorder="1"/>
    <xf numFmtId="0" fontId="0" fillId="6" borderId="12" xfId="0" applyFill="1" applyBorder="1"/>
    <xf numFmtId="0" fontId="17" fillId="6" borderId="2" xfId="0" applyFont="1" applyFill="1" applyBorder="1"/>
    <xf numFmtId="167" fontId="0" fillId="7" borderId="0" xfId="0" applyNumberFormat="1" applyFill="1"/>
    <xf numFmtId="169" fontId="0" fillId="7" borderId="0" xfId="0" applyNumberFormat="1" applyFill="1"/>
    <xf numFmtId="0" fontId="24" fillId="0" borderId="0" xfId="0" applyFont="1"/>
    <xf numFmtId="0" fontId="17" fillId="0" borderId="0" xfId="0" applyFont="1"/>
    <xf numFmtId="0" fontId="17" fillId="0" borderId="0" xfId="0" applyFont="1" applyFill="1"/>
    <xf numFmtId="166" fontId="27" fillId="0" borderId="0" xfId="0" applyNumberFormat="1" applyFont="1" applyAlignment="1">
      <alignment horizontal="right"/>
    </xf>
    <xf numFmtId="0" fontId="22" fillId="0" borderId="0" xfId="0" applyFont="1" applyAlignment="1">
      <alignment horizontal="center"/>
    </xf>
    <xf numFmtId="0" fontId="27" fillId="0" borderId="0" xfId="0" applyFont="1"/>
    <xf numFmtId="0" fontId="28" fillId="0" borderId="0" xfId="0" applyFont="1"/>
    <xf numFmtId="169" fontId="0" fillId="9" borderId="0" xfId="0" applyNumberFormat="1" applyFill="1" applyBorder="1" applyAlignment="1"/>
    <xf numFmtId="0" fontId="0" fillId="0" borderId="0" xfId="0" applyFill="1"/>
    <xf numFmtId="0" fontId="17" fillId="0" borderId="0" xfId="0" applyFont="1" applyFill="1" applyBorder="1" applyAlignment="1">
      <alignment horizontal="center"/>
    </xf>
    <xf numFmtId="0" fontId="17" fillId="0" borderId="0" xfId="0" applyFont="1" applyAlignment="1">
      <alignment horizontal="center"/>
    </xf>
    <xf numFmtId="169" fontId="0" fillId="9" borderId="3" xfId="0" applyNumberFormat="1" applyFill="1" applyBorder="1" applyAlignment="1"/>
    <xf numFmtId="169" fontId="0" fillId="9" borderId="5" xfId="0" applyNumberFormat="1" applyFill="1" applyBorder="1" applyAlignment="1"/>
    <xf numFmtId="4" fontId="0" fillId="0" borderId="0" xfId="1" applyNumberFormat="1" applyFont="1" applyBorder="1" applyAlignment="1"/>
    <xf numFmtId="43" fontId="0" fillId="0" borderId="0" xfId="1" applyNumberFormat="1" applyFont="1" applyBorder="1" applyAlignment="1"/>
    <xf numFmtId="165" fontId="0" fillId="10" borderId="4" xfId="1" applyNumberFormat="1" applyFont="1" applyFill="1" applyBorder="1" applyAlignment="1"/>
    <xf numFmtId="165" fontId="0" fillId="10" borderId="7" xfId="1" applyNumberFormat="1" applyFont="1" applyFill="1" applyBorder="1" applyAlignment="1"/>
    <xf numFmtId="165" fontId="0" fillId="10" borderId="9" xfId="1" applyNumberFormat="1" applyFont="1" applyFill="1" applyBorder="1" applyAlignment="1"/>
    <xf numFmtId="3" fontId="0" fillId="10" borderId="7" xfId="1" applyNumberFormat="1" applyFont="1" applyFill="1" applyBorder="1" applyAlignment="1"/>
    <xf numFmtId="0" fontId="0" fillId="0" borderId="0" xfId="0" applyFont="1" applyFill="1" applyBorder="1" applyAlignment="1">
      <alignment horizontal="center"/>
    </xf>
    <xf numFmtId="0" fontId="23" fillId="0" borderId="0" xfId="0" applyFont="1" applyFill="1" applyBorder="1" applyAlignment="1">
      <alignment horizontal="center"/>
    </xf>
    <xf numFmtId="0" fontId="29" fillId="0" borderId="0" xfId="0" applyFont="1" applyAlignment="1">
      <alignment horizontal="right"/>
    </xf>
    <xf numFmtId="0" fontId="0" fillId="0" borderId="0" xfId="0" applyFont="1" applyAlignment="1">
      <alignment horizontal="left" indent="1"/>
    </xf>
    <xf numFmtId="0" fontId="0" fillId="0" borderId="0" xfId="0" applyAlignment="1">
      <alignment horizontal="left" vertical="center" indent="1"/>
    </xf>
    <xf numFmtId="0" fontId="0" fillId="0" borderId="0" xfId="0" applyAlignment="1">
      <alignment horizontal="left" indent="1"/>
    </xf>
    <xf numFmtId="0" fontId="0" fillId="0" borderId="0" xfId="0" applyAlignment="1">
      <alignment wrapText="1"/>
    </xf>
    <xf numFmtId="0" fontId="0" fillId="0" borderId="0" xfId="0" applyFont="1" applyFill="1" applyBorder="1" applyAlignment="1">
      <alignment horizontal="right"/>
    </xf>
    <xf numFmtId="0" fontId="0" fillId="0" borderId="0" xfId="0" applyFont="1" applyAlignment="1">
      <alignment horizontal="right"/>
    </xf>
    <xf numFmtId="4" fontId="0" fillId="0" borderId="0" xfId="0" applyNumberFormat="1" applyBorder="1"/>
    <xf numFmtId="169" fontId="0" fillId="0" borderId="0" xfId="0" applyNumberFormat="1" applyBorder="1"/>
    <xf numFmtId="169" fontId="0" fillId="9" borderId="0" xfId="0" applyNumberFormat="1" applyFill="1" applyBorder="1"/>
    <xf numFmtId="0" fontId="29" fillId="0" borderId="0" xfId="0" applyFont="1" applyFill="1" applyAlignment="1">
      <alignment horizontal="right"/>
    </xf>
    <xf numFmtId="171" fontId="29" fillId="0" borderId="0" xfId="2" applyNumberFormat="1" applyFont="1" applyFill="1" applyBorder="1"/>
    <xf numFmtId="171" fontId="29" fillId="0" borderId="0" xfId="2" applyNumberFormat="1" applyFont="1" applyBorder="1"/>
    <xf numFmtId="170" fontId="0" fillId="7" borderId="0" xfId="0" applyNumberFormat="1" applyFill="1"/>
    <xf numFmtId="3" fontId="0" fillId="10" borderId="4" xfId="0" applyNumberFormat="1" applyFill="1" applyBorder="1"/>
    <xf numFmtId="4" fontId="0" fillId="0" borderId="5" xfId="0" applyNumberFormat="1" applyBorder="1"/>
    <xf numFmtId="169" fontId="0" fillId="9" borderId="5" xfId="0" applyNumberFormat="1" applyFill="1" applyBorder="1"/>
    <xf numFmtId="171" fontId="29" fillId="0" borderId="7" xfId="2" applyNumberFormat="1" applyFont="1" applyFill="1" applyBorder="1"/>
    <xf numFmtId="171" fontId="29" fillId="0" borderId="8" xfId="2" applyNumberFormat="1" applyFont="1" applyFill="1" applyBorder="1"/>
    <xf numFmtId="3" fontId="0" fillId="0" borderId="7" xfId="0" applyNumberFormat="1" applyBorder="1"/>
    <xf numFmtId="2" fontId="0" fillId="0" borderId="8" xfId="0" applyNumberFormat="1" applyBorder="1"/>
    <xf numFmtId="3" fontId="0" fillId="10" borderId="7" xfId="0" applyNumberFormat="1" applyFill="1" applyBorder="1"/>
    <xf numFmtId="171" fontId="29" fillId="0" borderId="7" xfId="2" applyNumberFormat="1" applyFont="1" applyBorder="1"/>
    <xf numFmtId="171" fontId="29" fillId="0" borderId="8" xfId="2" applyNumberFormat="1" applyFont="1" applyBorder="1"/>
    <xf numFmtId="171" fontId="29" fillId="0" borderId="9" xfId="2" applyNumberFormat="1" applyFont="1" applyBorder="1"/>
    <xf numFmtId="171" fontId="29" fillId="0" borderId="3" xfId="2" applyNumberFormat="1" applyFont="1" applyBorder="1"/>
    <xf numFmtId="171" fontId="29" fillId="0" borderId="10" xfId="2" applyNumberFormat="1" applyFont="1" applyBorder="1"/>
    <xf numFmtId="0" fontId="17" fillId="0" borderId="0" xfId="0" applyFont="1" applyFill="1" applyBorder="1" applyAlignment="1">
      <alignment horizontal="left"/>
    </xf>
    <xf numFmtId="0" fontId="23" fillId="0" borderId="0" xfId="0" applyFont="1" applyFill="1" applyAlignment="1">
      <alignment horizontal="center"/>
    </xf>
    <xf numFmtId="0" fontId="17" fillId="0" borderId="4" xfId="0" applyFont="1" applyFill="1" applyBorder="1" applyAlignment="1">
      <alignment horizontal="center"/>
    </xf>
    <xf numFmtId="0" fontId="17" fillId="0" borderId="5" xfId="0" applyFont="1" applyFill="1" applyBorder="1" applyAlignment="1">
      <alignment horizontal="center"/>
    </xf>
    <xf numFmtId="0" fontId="0" fillId="0" borderId="5" xfId="0" applyBorder="1" applyAlignment="1">
      <alignment horizontal="center"/>
    </xf>
    <xf numFmtId="0" fontId="17" fillId="0" borderId="7" xfId="0" applyFont="1" applyFill="1" applyBorder="1" applyAlignment="1">
      <alignment horizontal="center"/>
    </xf>
    <xf numFmtId="0" fontId="0" fillId="0" borderId="0" xfId="0" applyBorder="1" applyAlignment="1">
      <alignment horizontal="center"/>
    </xf>
    <xf numFmtId="0" fontId="17" fillId="0" borderId="9" xfId="0" applyFont="1" applyFill="1" applyBorder="1" applyAlignment="1">
      <alignment horizontal="center"/>
    </xf>
    <xf numFmtId="0" fontId="17" fillId="0" borderId="3" xfId="0" applyFont="1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7" fillId="13" borderId="2" xfId="0" applyFont="1" applyFill="1" applyBorder="1"/>
    <xf numFmtId="0" fontId="0" fillId="13" borderId="11" xfId="0" applyFill="1" applyBorder="1"/>
    <xf numFmtId="0" fontId="0" fillId="13" borderId="12" xfId="0" applyFill="1" applyBorder="1"/>
    <xf numFmtId="0" fontId="0" fillId="0" borderId="0" xfId="0" applyFill="1" applyAlignment="1">
      <alignment horizontal="left" indent="1"/>
    </xf>
    <xf numFmtId="0" fontId="30" fillId="0" borderId="0" xfId="0" applyFont="1" applyAlignment="1">
      <alignment horizontal="right"/>
    </xf>
    <xf numFmtId="0" fontId="17" fillId="16" borderId="2" xfId="0" applyFont="1" applyFill="1" applyBorder="1" applyAlignment="1">
      <alignment horizontal="left"/>
    </xf>
    <xf numFmtId="0" fontId="0" fillId="16" borderId="11" xfId="0" applyFill="1" applyBorder="1"/>
    <xf numFmtId="0" fontId="0" fillId="16" borderId="12" xfId="0" applyFill="1" applyBorder="1"/>
    <xf numFmtId="0" fontId="17" fillId="16" borderId="2" xfId="0" applyFont="1" applyFill="1" applyBorder="1" applyAlignment="1">
      <alignment horizontal="left" vertical="center"/>
    </xf>
    <xf numFmtId="0" fontId="18" fillId="16" borderId="11" xfId="0" applyFont="1" applyFill="1" applyBorder="1" applyAlignment="1">
      <alignment horizontal="center" vertical="center"/>
    </xf>
    <xf numFmtId="0" fontId="19" fillId="16" borderId="11" xfId="0" applyFont="1" applyFill="1" applyBorder="1" applyAlignment="1">
      <alignment horizontal="left" vertical="center"/>
    </xf>
    <xf numFmtId="0" fontId="0" fillId="0" borderId="0" xfId="0" applyFont="1" applyFill="1"/>
    <xf numFmtId="0" fontId="0" fillId="0" borderId="0" xfId="0" applyFont="1"/>
    <xf numFmtId="0" fontId="0" fillId="15" borderId="11" xfId="0" applyFont="1" applyFill="1" applyBorder="1" applyAlignment="1">
      <alignment horizontal="right"/>
    </xf>
    <xf numFmtId="0" fontId="0" fillId="15" borderId="12" xfId="0" applyFont="1" applyFill="1" applyBorder="1"/>
    <xf numFmtId="0" fontId="0" fillId="15" borderId="12" xfId="0" applyFont="1" applyFill="1" applyBorder="1" applyAlignment="1">
      <alignment horizontal="left" indent="1"/>
    </xf>
    <xf numFmtId="0" fontId="0" fillId="0" borderId="0" xfId="0" applyFont="1" applyFill="1" applyBorder="1"/>
    <xf numFmtId="0" fontId="0" fillId="0" borderId="0" xfId="0" applyFont="1" applyFill="1" applyBorder="1" applyAlignment="1">
      <alignment horizontal="left" indent="1"/>
    </xf>
    <xf numFmtId="0" fontId="31" fillId="16" borderId="2" xfId="0" applyFont="1" applyFill="1" applyBorder="1" applyAlignment="1"/>
    <xf numFmtId="0" fontId="31" fillId="16" borderId="11" xfId="0" applyFont="1" applyFill="1" applyBorder="1" applyAlignment="1"/>
    <xf numFmtId="0" fontId="31" fillId="16" borderId="12" xfId="0" applyFont="1" applyFill="1" applyBorder="1" applyAlignment="1"/>
    <xf numFmtId="0" fontId="31" fillId="0" borderId="0" xfId="0" applyFont="1" applyFill="1" applyBorder="1" applyAlignment="1">
      <alignment horizontal="left"/>
    </xf>
    <xf numFmtId="0" fontId="31" fillId="15" borderId="2" xfId="0" applyFont="1" applyFill="1" applyBorder="1" applyAlignment="1">
      <alignment horizontal="left"/>
    </xf>
    <xf numFmtId="0" fontId="17" fillId="15" borderId="2" xfId="0" applyFont="1" applyFill="1" applyBorder="1" applyAlignment="1">
      <alignment horizontal="left"/>
    </xf>
    <xf numFmtId="0" fontId="30" fillId="0" borderId="0" xfId="0" applyFont="1" applyFill="1" applyAlignment="1">
      <alignment horizontal="center"/>
    </xf>
    <xf numFmtId="0" fontId="0" fillId="0" borderId="0" xfId="0" applyFont="1" applyFill="1" applyAlignment="1">
      <alignment horizontal="left" indent="1"/>
    </xf>
    <xf numFmtId="0" fontId="0" fillId="14" borderId="1" xfId="0" applyFont="1" applyFill="1" applyBorder="1" applyAlignment="1">
      <alignment horizontal="center" wrapText="1"/>
    </xf>
    <xf numFmtId="0" fontId="0" fillId="8" borderId="1" xfId="0" applyFont="1" applyFill="1" applyBorder="1" applyAlignment="1">
      <alignment horizontal="center" wrapText="1"/>
    </xf>
    <xf numFmtId="0" fontId="0" fillId="9" borderId="1" xfId="0" applyFont="1" applyFill="1" applyBorder="1" applyAlignment="1">
      <alignment horizontal="center" wrapText="1"/>
    </xf>
    <xf numFmtId="9" fontId="0" fillId="0" borderId="4" xfId="0" applyNumberFormat="1" applyFont="1" applyFill="1" applyBorder="1" applyAlignment="1">
      <alignment horizontal="right"/>
    </xf>
    <xf numFmtId="9" fontId="0" fillId="0" borderId="5" xfId="0" applyNumberFormat="1" applyFont="1" applyFill="1" applyBorder="1" applyAlignment="1">
      <alignment horizontal="right"/>
    </xf>
    <xf numFmtId="9" fontId="0" fillId="0" borderId="4" xfId="0" applyNumberFormat="1" applyFont="1" applyBorder="1" applyAlignment="1">
      <alignment horizontal="right"/>
    </xf>
    <xf numFmtId="9" fontId="0" fillId="0" borderId="6" xfId="0" applyNumberFormat="1" applyFont="1" applyBorder="1" applyAlignment="1">
      <alignment horizontal="right"/>
    </xf>
    <xf numFmtId="9" fontId="0" fillId="0" borderId="7" xfId="0" applyNumberFormat="1" applyFont="1" applyFill="1" applyBorder="1" applyAlignment="1">
      <alignment horizontal="right"/>
    </xf>
    <xf numFmtId="9" fontId="0" fillId="0" borderId="0" xfId="0" applyNumberFormat="1" applyFont="1" applyFill="1" applyBorder="1" applyAlignment="1">
      <alignment horizontal="right"/>
    </xf>
    <xf numFmtId="9" fontId="0" fillId="0" borderId="7" xfId="0" applyNumberFormat="1" applyFont="1" applyBorder="1" applyAlignment="1">
      <alignment horizontal="right"/>
    </xf>
    <xf numFmtId="9" fontId="0" fillId="0" borderId="8" xfId="0" applyNumberFormat="1" applyFont="1" applyBorder="1" applyAlignment="1">
      <alignment horizontal="right"/>
    </xf>
    <xf numFmtId="9" fontId="0" fillId="0" borderId="9" xfId="0" applyNumberFormat="1" applyFont="1" applyFill="1" applyBorder="1" applyAlignment="1">
      <alignment horizontal="right"/>
    </xf>
    <xf numFmtId="9" fontId="0" fillId="0" borderId="3" xfId="0" applyNumberFormat="1" applyFont="1" applyFill="1" applyBorder="1" applyAlignment="1">
      <alignment horizontal="right"/>
    </xf>
    <xf numFmtId="9" fontId="0" fillId="0" borderId="9" xfId="0" applyNumberFormat="1" applyFont="1" applyBorder="1" applyAlignment="1">
      <alignment horizontal="right"/>
    </xf>
    <xf numFmtId="9" fontId="0" fillId="0" borderId="10" xfId="0" applyNumberFormat="1" applyFont="1" applyBorder="1" applyAlignment="1">
      <alignment horizontal="right"/>
    </xf>
    <xf numFmtId="0" fontId="0" fillId="0" borderId="0" xfId="0" applyFont="1" applyAlignment="1">
      <alignment horizontal="center" wrapText="1"/>
    </xf>
    <xf numFmtId="2" fontId="0" fillId="0" borderId="0" xfId="0" applyNumberFormat="1" applyFont="1"/>
    <xf numFmtId="173" fontId="30" fillId="0" borderId="0" xfId="1" applyNumberFormat="1" applyFont="1" applyAlignment="1">
      <alignment horizontal="center"/>
    </xf>
    <xf numFmtId="0" fontId="32" fillId="8" borderId="1" xfId="0" applyFont="1" applyFill="1" applyBorder="1" applyAlignment="1">
      <alignment horizontal="center" wrapText="1"/>
    </xf>
    <xf numFmtId="0" fontId="32" fillId="9" borderId="1" xfId="0" applyFont="1" applyFill="1" applyBorder="1" applyAlignment="1">
      <alignment horizontal="center" wrapText="1"/>
    </xf>
    <xf numFmtId="9" fontId="33" fillId="0" borderId="13" xfId="0" applyNumberFormat="1" applyFont="1" applyBorder="1" applyAlignment="1">
      <alignment horizontal="right"/>
    </xf>
    <xf numFmtId="9" fontId="33" fillId="0" borderId="6" xfId="0" applyNumberFormat="1" applyFont="1" applyFill="1" applyBorder="1" applyAlignment="1">
      <alignment horizontal="right"/>
    </xf>
    <xf numFmtId="9" fontId="33" fillId="0" borderId="14" xfId="0" applyNumberFormat="1" applyFont="1" applyBorder="1" applyAlignment="1">
      <alignment horizontal="right"/>
    </xf>
    <xf numFmtId="9" fontId="33" fillId="0" borderId="8" xfId="0" applyNumberFormat="1" applyFont="1" applyFill="1" applyBorder="1" applyAlignment="1">
      <alignment horizontal="right"/>
    </xf>
    <xf numFmtId="9" fontId="33" fillId="0" borderId="8" xfId="0" applyNumberFormat="1" applyFont="1" applyBorder="1" applyAlignment="1">
      <alignment horizontal="right"/>
    </xf>
    <xf numFmtId="9" fontId="33" fillId="0" borderId="15" xfId="0" applyNumberFormat="1" applyFont="1" applyFill="1" applyBorder="1" applyAlignment="1">
      <alignment horizontal="right"/>
    </xf>
    <xf numFmtId="9" fontId="33" fillId="0" borderId="10" xfId="0" applyNumberFormat="1" applyFont="1" applyFill="1" applyBorder="1" applyAlignment="1">
      <alignment horizontal="right"/>
    </xf>
    <xf numFmtId="0" fontId="34" fillId="0" borderId="0" xfId="0" applyFont="1"/>
    <xf numFmtId="0" fontId="31" fillId="10" borderId="1" xfId="0" applyFont="1" applyFill="1" applyBorder="1" applyAlignment="1">
      <alignment horizontal="center" wrapText="1"/>
    </xf>
    <xf numFmtId="0" fontId="31" fillId="8" borderId="1" xfId="0" applyFont="1" applyFill="1" applyBorder="1" applyAlignment="1">
      <alignment horizontal="center" wrapText="1"/>
    </xf>
    <xf numFmtId="0" fontId="31" fillId="9" borderId="1" xfId="0" applyFont="1" applyFill="1" applyBorder="1" applyAlignment="1">
      <alignment horizontal="center" wrapText="1"/>
    </xf>
    <xf numFmtId="2" fontId="21" fillId="0" borderId="0" xfId="0" applyNumberFormat="1" applyFont="1" applyFill="1" applyAlignment="1">
      <alignment horizontal="left"/>
    </xf>
    <xf numFmtId="0" fontId="0" fillId="0" borderId="0" xfId="0" applyFont="1" applyAlignment="1">
      <alignment wrapText="1"/>
    </xf>
    <xf numFmtId="1" fontId="0" fillId="0" borderId="0" xfId="0" applyNumberFormat="1" applyAlignment="1">
      <alignment horizontal="left" indent="2"/>
    </xf>
    <xf numFmtId="1" fontId="0" fillId="0" borderId="4" xfId="0" applyNumberFormat="1" applyFont="1" applyBorder="1" applyAlignment="1">
      <alignment horizontal="center"/>
    </xf>
    <xf numFmtId="0" fontId="0" fillId="0" borderId="5" xfId="0" applyFont="1" applyBorder="1"/>
    <xf numFmtId="1" fontId="0" fillId="0" borderId="7" xfId="0" applyNumberFormat="1" applyFont="1" applyBorder="1" applyAlignment="1">
      <alignment horizontal="center"/>
    </xf>
    <xf numFmtId="0" fontId="0" fillId="0" borderId="0" xfId="0" applyFont="1" applyBorder="1"/>
    <xf numFmtId="1" fontId="0" fillId="0" borderId="9" xfId="0" applyNumberFormat="1" applyFont="1" applyBorder="1" applyAlignment="1">
      <alignment horizontal="center"/>
    </xf>
    <xf numFmtId="0" fontId="0" fillId="0" borderId="3" xfId="0" applyFont="1" applyBorder="1"/>
    <xf numFmtId="0" fontId="0" fillId="0" borderId="4" xfId="0" applyFont="1" applyBorder="1" applyAlignment="1">
      <alignment horizontal="center"/>
    </xf>
    <xf numFmtId="172" fontId="0" fillId="0" borderId="5" xfId="1" applyNumberFormat="1" applyFont="1" applyBorder="1"/>
    <xf numFmtId="0" fontId="0" fillId="0" borderId="7" xfId="0" applyFont="1" applyBorder="1" applyAlignment="1">
      <alignment horizontal="center"/>
    </xf>
    <xf numFmtId="172" fontId="0" fillId="0" borderId="0" xfId="1" applyNumberFormat="1" applyFont="1" applyBorder="1"/>
    <xf numFmtId="0" fontId="0" fillId="0" borderId="9" xfId="0" applyFont="1" applyBorder="1" applyAlignment="1">
      <alignment horizontal="center"/>
    </xf>
    <xf numFmtId="172" fontId="17" fillId="0" borderId="10" xfId="1" applyNumberFormat="1" applyFont="1" applyBorder="1"/>
    <xf numFmtId="0" fontId="0" fillId="0" borderId="8" xfId="0" applyFont="1" applyBorder="1"/>
    <xf numFmtId="0" fontId="0" fillId="0" borderId="5" xfId="0" applyFont="1" applyBorder="1" applyAlignment="1">
      <alignment horizontal="center"/>
    </xf>
    <xf numFmtId="2" fontId="0" fillId="0" borderId="5" xfId="0" applyNumberFormat="1" applyFont="1" applyBorder="1"/>
    <xf numFmtId="169" fontId="0" fillId="0" borderId="5" xfId="0" applyNumberFormat="1" applyFont="1" applyBorder="1"/>
    <xf numFmtId="169" fontId="0" fillId="0" borderId="6" xfId="0" applyNumberFormat="1" applyFont="1" applyBorder="1"/>
    <xf numFmtId="0" fontId="0" fillId="0" borderId="0" xfId="0" applyFont="1" applyBorder="1" applyAlignment="1">
      <alignment horizontal="center"/>
    </xf>
    <xf numFmtId="2" fontId="0" fillId="0" borderId="0" xfId="0" applyNumberFormat="1" applyFont="1" applyBorder="1"/>
    <xf numFmtId="169" fontId="0" fillId="0" borderId="0" xfId="0" applyNumberFormat="1" applyFont="1" applyBorder="1"/>
    <xf numFmtId="169" fontId="0" fillId="0" borderId="8" xfId="0" applyNumberFormat="1" applyFont="1" applyBorder="1"/>
    <xf numFmtId="2" fontId="0" fillId="0" borderId="0" xfId="0" applyNumberFormat="1" applyFont="1" applyFill="1" applyBorder="1"/>
    <xf numFmtId="169" fontId="0" fillId="0" borderId="0" xfId="0" applyNumberFormat="1" applyFont="1" applyFill="1" applyBorder="1"/>
    <xf numFmtId="0" fontId="0" fillId="0" borderId="3" xfId="0" applyFont="1" applyBorder="1" applyAlignment="1">
      <alignment horizontal="center"/>
    </xf>
    <xf numFmtId="2" fontId="0" fillId="0" borderId="3" xfId="0" applyNumberFormat="1" applyFont="1" applyFill="1" applyBorder="1"/>
    <xf numFmtId="2" fontId="0" fillId="0" borderId="3" xfId="0" applyNumberFormat="1" applyFont="1" applyBorder="1"/>
    <xf numFmtId="169" fontId="0" fillId="0" borderId="3" xfId="0" applyNumberFormat="1" applyFont="1" applyBorder="1"/>
    <xf numFmtId="169" fontId="0" fillId="0" borderId="10" xfId="0" applyNumberFormat="1" applyFont="1" applyBorder="1"/>
    <xf numFmtId="0" fontId="30" fillId="0" borderId="0" xfId="0" applyFont="1" applyAlignment="1">
      <alignment horizontal="center"/>
    </xf>
    <xf numFmtId="0" fontId="0" fillId="0" borderId="4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5" xfId="0" applyBorder="1" applyAlignment="1">
      <alignment horizontal="right"/>
    </xf>
    <xf numFmtId="169" fontId="0" fillId="0" borderId="5" xfId="0" applyNumberFormat="1" applyBorder="1"/>
    <xf numFmtId="2" fontId="0" fillId="0" borderId="5" xfId="0" applyNumberFormat="1" applyBorder="1"/>
    <xf numFmtId="0" fontId="0" fillId="0" borderId="3" xfId="0" applyBorder="1" applyAlignment="1">
      <alignment horizontal="right"/>
    </xf>
    <xf numFmtId="169" fontId="0" fillId="0" borderId="3" xfId="0" applyNumberFormat="1" applyBorder="1"/>
    <xf numFmtId="2" fontId="0" fillId="0" borderId="3" xfId="0" applyNumberFormat="1" applyBorder="1"/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0" xfId="0" applyBorder="1" applyAlignment="1">
      <alignment horizontal="center"/>
    </xf>
    <xf numFmtId="165" fontId="0" fillId="0" borderId="0" xfId="1" applyNumberFormat="1" applyFont="1"/>
    <xf numFmtId="165" fontId="0" fillId="0" borderId="0" xfId="0" applyNumberFormat="1"/>
    <xf numFmtId="43" fontId="0" fillId="0" borderId="0" xfId="1" applyNumberFormat="1" applyFont="1"/>
    <xf numFmtId="43" fontId="0" fillId="0" borderId="0" xfId="0" applyNumberFormat="1"/>
    <xf numFmtId="0" fontId="0" fillId="0" borderId="4" xfId="0" applyBorder="1" applyAlignment="1">
      <alignment horizontal="right"/>
    </xf>
    <xf numFmtId="0" fontId="0" fillId="0" borderId="6" xfId="0" applyBorder="1" applyAlignment="1">
      <alignment horizontal="right"/>
    </xf>
    <xf numFmtId="0" fontId="0" fillId="0" borderId="9" xfId="0" applyBorder="1" applyAlignment="1">
      <alignment horizontal="right"/>
    </xf>
    <xf numFmtId="0" fontId="0" fillId="0" borderId="10" xfId="0" applyBorder="1" applyAlignment="1">
      <alignment horizontal="right"/>
    </xf>
    <xf numFmtId="165" fontId="0" fillId="0" borderId="0" xfId="1" applyNumberFormat="1" applyFont="1" applyBorder="1" applyAlignment="1"/>
    <xf numFmtId="0" fontId="17" fillId="0" borderId="0" xfId="0" applyFont="1" applyBorder="1" applyAlignment="1">
      <alignment horizontal="center"/>
    </xf>
    <xf numFmtId="165" fontId="17" fillId="0" borderId="0" xfId="0" applyNumberFormat="1" applyFont="1"/>
    <xf numFmtId="165" fontId="17" fillId="0" borderId="0" xfId="0" applyNumberFormat="1" applyFont="1" applyBorder="1"/>
    <xf numFmtId="43" fontId="17" fillId="0" borderId="0" xfId="0" applyNumberFormat="1" applyFont="1"/>
    <xf numFmtId="0" fontId="17" fillId="0" borderId="0" xfId="0" applyFont="1" applyBorder="1" applyAlignment="1">
      <alignment horizontal="left"/>
    </xf>
    <xf numFmtId="4" fontId="0" fillId="0" borderId="0" xfId="0" applyNumberFormat="1"/>
    <xf numFmtId="3" fontId="0" fillId="0" borderId="0" xfId="0" applyNumberFormat="1"/>
    <xf numFmtId="0" fontId="0" fillId="19" borderId="1" xfId="0" applyFont="1" applyFill="1" applyBorder="1" applyAlignment="1">
      <alignment horizontal="center" wrapText="1"/>
    </xf>
    <xf numFmtId="0" fontId="0" fillId="19" borderId="12" xfId="0" applyFont="1" applyFill="1" applyBorder="1" applyAlignment="1">
      <alignment horizontal="left" indent="1"/>
    </xf>
    <xf numFmtId="0" fontId="17" fillId="19" borderId="2" xfId="0" applyFont="1" applyFill="1" applyBorder="1" applyAlignment="1">
      <alignment horizontal="left"/>
    </xf>
    <xf numFmtId="0" fontId="31" fillId="19" borderId="2" xfId="0" applyFont="1" applyFill="1" applyBorder="1" applyAlignment="1">
      <alignment horizontal="left"/>
    </xf>
    <xf numFmtId="0" fontId="0" fillId="19" borderId="11" xfId="0" applyFont="1" applyFill="1" applyBorder="1"/>
    <xf numFmtId="0" fontId="0" fillId="19" borderId="12" xfId="0" applyFont="1" applyFill="1" applyBorder="1"/>
    <xf numFmtId="0" fontId="0" fillId="19" borderId="1" xfId="0" applyFill="1" applyBorder="1" applyAlignment="1">
      <alignment horizontal="center" wrapText="1"/>
    </xf>
    <xf numFmtId="0" fontId="0" fillId="19" borderId="1" xfId="0" applyFill="1" applyBorder="1" applyAlignment="1">
      <alignment horizontal="center"/>
    </xf>
    <xf numFmtId="0" fontId="30" fillId="0" borderId="0" xfId="0" applyFont="1"/>
    <xf numFmtId="0" fontId="0" fillId="0" borderId="0" xfId="0" applyAlignment="1">
      <alignment horizontal="left" indent="2"/>
    </xf>
    <xf numFmtId="0" fontId="17" fillId="0" borderId="0" xfId="0" applyFont="1" applyAlignment="1">
      <alignment horizontal="left" indent="1"/>
    </xf>
    <xf numFmtId="0" fontId="17" fillId="20" borderId="0" xfId="0" applyFont="1" applyFill="1"/>
    <xf numFmtId="0" fontId="0" fillId="20" borderId="0" xfId="0" applyFill="1"/>
    <xf numFmtId="169" fontId="17" fillId="17" borderId="16" xfId="0" applyNumberFormat="1" applyFont="1" applyFill="1" applyBorder="1" applyAlignment="1">
      <alignment horizontal="center"/>
    </xf>
    <xf numFmtId="0" fontId="17" fillId="16" borderId="2" xfId="0" applyFont="1" applyFill="1" applyBorder="1"/>
    <xf numFmtId="0" fontId="29" fillId="16" borderId="12" xfId="0" applyFont="1" applyFill="1" applyBorder="1" applyAlignment="1">
      <alignment horizontal="right"/>
    </xf>
    <xf numFmtId="0" fontId="17" fillId="7" borderId="1" xfId="0" applyFont="1" applyFill="1" applyBorder="1" applyAlignment="1">
      <alignment horizontal="left"/>
    </xf>
    <xf numFmtId="0" fontId="17" fillId="12" borderId="11" xfId="0" applyFont="1" applyFill="1" applyBorder="1" applyAlignment="1">
      <alignment horizontal="left"/>
    </xf>
    <xf numFmtId="0" fontId="17" fillId="12" borderId="11" xfId="0" applyFont="1" applyFill="1" applyBorder="1"/>
    <xf numFmtId="165" fontId="17" fillId="12" borderId="11" xfId="0" applyNumberFormat="1" applyFont="1" applyFill="1" applyBorder="1"/>
    <xf numFmtId="43" fontId="17" fillId="12" borderId="11" xfId="0" applyNumberFormat="1" applyFont="1" applyFill="1" applyBorder="1"/>
    <xf numFmtId="0" fontId="17" fillId="12" borderId="12" xfId="0" applyFont="1" applyFill="1" applyBorder="1"/>
    <xf numFmtId="0" fontId="17" fillId="0" borderId="0" xfId="0" applyFont="1" applyFill="1" applyBorder="1"/>
    <xf numFmtId="165" fontId="17" fillId="0" borderId="0" xfId="0" applyNumberFormat="1" applyFont="1" applyFill="1" applyBorder="1"/>
    <xf numFmtId="43" fontId="17" fillId="0" borderId="0" xfId="0" applyNumberFormat="1" applyFont="1" applyFill="1" applyBorder="1"/>
    <xf numFmtId="0" fontId="17" fillId="0" borderId="0" xfId="0" applyFont="1" applyFill="1" applyBorder="1" applyAlignment="1">
      <alignment horizontal="right"/>
    </xf>
    <xf numFmtId="0" fontId="0" fillId="0" borderId="0" xfId="0" applyFill="1" applyBorder="1"/>
    <xf numFmtId="0" fontId="21" fillId="0" borderId="0" xfId="0" applyFont="1" applyAlignment="1">
      <alignment horizontal="center"/>
    </xf>
    <xf numFmtId="165" fontId="0" fillId="0" borderId="0" xfId="0" applyNumberFormat="1" applyFont="1"/>
    <xf numFmtId="3" fontId="0" fillId="0" borderId="0" xfId="0" applyNumberFormat="1" applyFont="1"/>
    <xf numFmtId="4" fontId="0" fillId="0" borderId="0" xfId="0" applyNumberFormat="1" applyFont="1"/>
    <xf numFmtId="0" fontId="0" fillId="12" borderId="12" xfId="0" applyFill="1" applyBorder="1"/>
    <xf numFmtId="0" fontId="0" fillId="0" borderId="0" xfId="0" applyFont="1" applyBorder="1" applyAlignment="1">
      <alignment horizontal="left"/>
    </xf>
    <xf numFmtId="43" fontId="20" fillId="0" borderId="0" xfId="1" applyNumberFormat="1" applyFont="1"/>
    <xf numFmtId="49" fontId="0" fillId="0" borderId="0" xfId="0" applyNumberFormat="1" applyFont="1" applyAlignment="1">
      <alignment horizontal="left"/>
    </xf>
    <xf numFmtId="49" fontId="0" fillId="0" borderId="0" xfId="0" applyNumberFormat="1" applyFont="1" applyAlignment="1">
      <alignment horizontal="left" indent="1"/>
    </xf>
    <xf numFmtId="49" fontId="0" fillId="0" borderId="0" xfId="0" applyNumberFormat="1" applyAlignment="1">
      <alignment horizontal="left" indent="1"/>
    </xf>
    <xf numFmtId="0" fontId="36" fillId="0" borderId="0" xfId="0" applyFont="1"/>
    <xf numFmtId="49" fontId="0" fillId="0" borderId="0" xfId="0" applyNumberFormat="1" applyAlignment="1">
      <alignment horizontal="center"/>
    </xf>
    <xf numFmtId="49" fontId="17" fillId="0" borderId="0" xfId="0" applyNumberFormat="1" applyFont="1" applyAlignment="1">
      <alignment horizontal="left"/>
    </xf>
    <xf numFmtId="0" fontId="0" fillId="0" borderId="0" xfId="0" applyBorder="1" applyAlignment="1">
      <alignment horizontal="left"/>
    </xf>
    <xf numFmtId="49" fontId="0" fillId="0" borderId="0" xfId="0" applyNumberFormat="1" applyFont="1" applyBorder="1" applyAlignment="1">
      <alignment horizontal="left" indent="1"/>
    </xf>
    <xf numFmtId="49" fontId="0" fillId="0" borderId="0" xfId="0" applyNumberFormat="1" applyFill="1" applyBorder="1" applyAlignment="1">
      <alignment horizontal="left" indent="1"/>
    </xf>
    <xf numFmtId="0" fontId="17" fillId="7" borderId="1" xfId="0" applyFont="1" applyFill="1" applyBorder="1" applyAlignment="1">
      <alignment horizontal="left" wrapText="1"/>
    </xf>
    <xf numFmtId="49" fontId="0" fillId="0" borderId="0" xfId="0" applyNumberFormat="1" applyFont="1" applyAlignment="1">
      <alignment horizontal="center"/>
    </xf>
    <xf numFmtId="165" fontId="0" fillId="0" borderId="0" xfId="0" applyNumberFormat="1" applyFont="1" applyAlignment="1">
      <alignment horizontal="right"/>
    </xf>
    <xf numFmtId="165" fontId="17" fillId="0" borderId="0" xfId="0" applyNumberFormat="1" applyFont="1" applyFill="1"/>
    <xf numFmtId="43" fontId="17" fillId="0" borderId="0" xfId="0" applyNumberFormat="1" applyFont="1" applyFill="1"/>
    <xf numFmtId="0" fontId="17" fillId="16" borderId="11" xfId="0" applyFont="1" applyFill="1" applyBorder="1"/>
    <xf numFmtId="0" fontId="0" fillId="20" borderId="0" xfId="0" applyFont="1" applyFill="1"/>
    <xf numFmtId="0" fontId="21" fillId="20" borderId="0" xfId="0" applyFont="1" applyFill="1"/>
    <xf numFmtId="0" fontId="0" fillId="20" borderId="0" xfId="0" applyFont="1" applyFill="1" applyAlignment="1">
      <alignment horizontal="center"/>
    </xf>
    <xf numFmtId="172" fontId="0" fillId="20" borderId="0" xfId="1" applyNumberFormat="1" applyFont="1" applyFill="1"/>
    <xf numFmtId="172" fontId="21" fillId="20" borderId="0" xfId="1" applyNumberFormat="1" applyFont="1" applyFill="1"/>
    <xf numFmtId="0" fontId="0" fillId="20" borderId="0" xfId="0" applyFill="1" applyAlignment="1">
      <alignment horizontal="right"/>
    </xf>
    <xf numFmtId="0" fontId="0" fillId="20" borderId="0" xfId="0" applyFill="1" applyAlignment="1">
      <alignment horizontal="left"/>
    </xf>
    <xf numFmtId="0" fontId="21" fillId="20" borderId="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25" fillId="0" borderId="0" xfId="0" applyFont="1" applyAlignment="1">
      <alignment horizontal="left"/>
    </xf>
    <xf numFmtId="0" fontId="27" fillId="0" borderId="0" xfId="0" applyFont="1" applyAlignment="1">
      <alignment horizontal="left"/>
    </xf>
    <xf numFmtId="0" fontId="24" fillId="0" borderId="0" xfId="0" applyFont="1" applyAlignment="1">
      <alignment horizontal="left"/>
    </xf>
    <xf numFmtId="0" fontId="0" fillId="5" borderId="0" xfId="0" applyFill="1" applyAlignment="1">
      <alignment horizontal="left"/>
    </xf>
    <xf numFmtId="0" fontId="0" fillId="0" borderId="0" xfId="0" applyFill="1" applyAlignment="1">
      <alignment horizontal="left"/>
    </xf>
    <xf numFmtId="0" fontId="26" fillId="0" borderId="0" xfId="0" applyFont="1" applyAlignment="1">
      <alignment horizontal="left"/>
    </xf>
    <xf numFmtId="0" fontId="0" fillId="16" borderId="1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169" fontId="17" fillId="17" borderId="17" xfId="0" applyNumberFormat="1" applyFont="1" applyFill="1" applyBorder="1" applyAlignment="1">
      <alignment horizontal="center"/>
    </xf>
    <xf numFmtId="0" fontId="31" fillId="0" borderId="0" xfId="0" applyFont="1" applyAlignment="1">
      <alignment horizontal="center"/>
    </xf>
    <xf numFmtId="3" fontId="21" fillId="0" borderId="0" xfId="0" applyNumberFormat="1" applyFont="1"/>
    <xf numFmtId="4" fontId="21" fillId="0" borderId="0" xfId="0" applyNumberFormat="1" applyFont="1"/>
    <xf numFmtId="169" fontId="21" fillId="0" borderId="0" xfId="0" applyNumberFormat="1" applyFont="1"/>
    <xf numFmtId="4" fontId="21" fillId="0" borderId="0" xfId="0" applyNumberFormat="1" applyFont="1" applyFill="1" applyBorder="1"/>
    <xf numFmtId="169" fontId="0" fillId="8" borderId="6" xfId="0" applyNumberFormat="1" applyFill="1" applyBorder="1" applyAlignment="1"/>
    <xf numFmtId="169" fontId="0" fillId="8" borderId="8" xfId="0" applyNumberFormat="1" applyFill="1" applyBorder="1" applyAlignment="1"/>
    <xf numFmtId="169" fontId="0" fillId="8" borderId="10" xfId="0" applyNumberFormat="1" applyFill="1" applyBorder="1" applyAlignment="1"/>
    <xf numFmtId="169" fontId="0" fillId="0" borderId="0" xfId="0" applyNumberFormat="1" applyFill="1"/>
    <xf numFmtId="43" fontId="0" fillId="9" borderId="5" xfId="1" applyFont="1" applyFill="1" applyBorder="1" applyAlignment="1"/>
    <xf numFmtId="43" fontId="0" fillId="9" borderId="0" xfId="1" applyFont="1" applyFill="1" applyBorder="1" applyAlignment="1"/>
    <xf numFmtId="43" fontId="0" fillId="9" borderId="3" xfId="1" applyFont="1" applyFill="1" applyBorder="1" applyAlignment="1"/>
    <xf numFmtId="43" fontId="0" fillId="8" borderId="5" xfId="1" applyNumberFormat="1" applyFont="1" applyFill="1" applyBorder="1" applyAlignment="1"/>
    <xf numFmtId="43" fontId="0" fillId="8" borderId="0" xfId="1" applyNumberFormat="1" applyFont="1" applyFill="1" applyBorder="1" applyAlignment="1"/>
    <xf numFmtId="43" fontId="0" fillId="8" borderId="3" xfId="1" applyNumberFormat="1" applyFont="1" applyFill="1" applyBorder="1" applyAlignment="1"/>
    <xf numFmtId="4" fontId="21" fillId="0" borderId="0" xfId="1" applyNumberFormat="1" applyFont="1"/>
    <xf numFmtId="0" fontId="42" fillId="13" borderId="11" xfId="0" applyFont="1" applyFill="1" applyBorder="1"/>
    <xf numFmtId="3" fontId="21" fillId="13" borderId="11" xfId="0" applyNumberFormat="1" applyFont="1" applyFill="1" applyBorder="1"/>
    <xf numFmtId="4" fontId="21" fillId="13" borderId="11" xfId="0" applyNumberFormat="1" applyFont="1" applyFill="1" applyBorder="1"/>
    <xf numFmtId="0" fontId="31" fillId="13" borderId="2" xfId="0" applyFont="1" applyFill="1" applyBorder="1" applyAlignment="1">
      <alignment horizontal="left"/>
    </xf>
    <xf numFmtId="4" fontId="31" fillId="0" borderId="0" xfId="0" applyNumberFormat="1" applyFont="1" applyFill="1" applyBorder="1"/>
    <xf numFmtId="4" fontId="31" fillId="0" borderId="0" xfId="1" applyNumberFormat="1" applyFont="1" applyFill="1" applyBorder="1"/>
    <xf numFmtId="3" fontId="21" fillId="0" borderId="0" xfId="1" applyNumberFormat="1" applyFont="1"/>
    <xf numFmtId="4" fontId="21" fillId="13" borderId="12" xfId="0" applyNumberFormat="1" applyFont="1" applyFill="1" applyBorder="1" applyAlignment="1">
      <alignment horizontal="right"/>
    </xf>
    <xf numFmtId="1" fontId="17" fillId="10" borderId="1" xfId="0" applyNumberFormat="1" applyFont="1" applyFill="1" applyBorder="1" applyAlignment="1">
      <alignment horizontal="center" wrapText="1"/>
    </xf>
    <xf numFmtId="0" fontId="17" fillId="9" borderId="2" xfId="0" applyFont="1" applyFill="1" applyBorder="1" applyAlignment="1">
      <alignment horizontal="center" wrapText="1"/>
    </xf>
    <xf numFmtId="0" fontId="17" fillId="8" borderId="12" xfId="0" applyFont="1" applyFill="1" applyBorder="1" applyAlignment="1">
      <alignment horizontal="center" wrapText="1"/>
    </xf>
    <xf numFmtId="0" fontId="17" fillId="11" borderId="1" xfId="0" applyFont="1" applyFill="1" applyBorder="1" applyAlignment="1">
      <alignment horizontal="center" wrapText="1"/>
    </xf>
    <xf numFmtId="0" fontId="17" fillId="13" borderId="1" xfId="0" applyFont="1" applyFill="1" applyBorder="1" applyAlignment="1">
      <alignment horizontal="center"/>
    </xf>
    <xf numFmtId="0" fontId="17" fillId="13" borderId="2" xfId="0" applyFont="1" applyFill="1" applyBorder="1" applyAlignment="1">
      <alignment horizontal="left"/>
    </xf>
    <xf numFmtId="0" fontId="17" fillId="9" borderId="1" xfId="0" applyFont="1" applyFill="1" applyBorder="1" applyAlignment="1">
      <alignment horizontal="center"/>
    </xf>
    <xf numFmtId="0" fontId="17" fillId="10" borderId="1" xfId="0" applyFont="1" applyFill="1" applyBorder="1" applyAlignment="1">
      <alignment horizontal="center"/>
    </xf>
    <xf numFmtId="0" fontId="17" fillId="8" borderId="1" xfId="0" applyFont="1" applyFill="1" applyBorder="1" applyAlignment="1">
      <alignment horizontal="center"/>
    </xf>
    <xf numFmtId="169" fontId="17" fillId="8" borderId="1" xfId="0" applyNumberFormat="1" applyFont="1" applyFill="1" applyBorder="1" applyAlignment="1">
      <alignment horizontal="center"/>
    </xf>
    <xf numFmtId="165" fontId="0" fillId="0" borderId="0" xfId="1" applyNumberFormat="1" applyFont="1" applyFill="1" applyBorder="1" applyAlignment="1"/>
    <xf numFmtId="43" fontId="0" fillId="0" borderId="0" xfId="1" applyFont="1" applyFill="1" applyBorder="1" applyAlignment="1"/>
    <xf numFmtId="43" fontId="0" fillId="0" borderId="0" xfId="1" applyNumberFormat="1" applyFont="1" applyFill="1" applyBorder="1" applyAlignment="1"/>
    <xf numFmtId="169" fontId="0" fillId="0" borderId="0" xfId="0" applyNumberFormat="1" applyFill="1" applyBorder="1" applyAlignment="1"/>
    <xf numFmtId="3" fontId="0" fillId="0" borderId="0" xfId="0" applyNumberFormat="1" applyFill="1" applyBorder="1"/>
    <xf numFmtId="4" fontId="0" fillId="0" borderId="0" xfId="0" applyNumberFormat="1" applyFill="1" applyBorder="1"/>
    <xf numFmtId="169" fontId="0" fillId="0" borderId="0" xfId="0" applyNumberFormat="1" applyFill="1" applyBorder="1"/>
    <xf numFmtId="3" fontId="0" fillId="0" borderId="0" xfId="0" applyNumberFormat="1" applyFill="1"/>
    <xf numFmtId="4" fontId="0" fillId="0" borderId="0" xfId="0" applyNumberFormat="1" applyFill="1"/>
    <xf numFmtId="0" fontId="21" fillId="16" borderId="13" xfId="0" applyFont="1" applyFill="1" applyBorder="1" applyAlignment="1">
      <alignment horizontal="center"/>
    </xf>
    <xf numFmtId="0" fontId="0" fillId="23" borderId="0" xfId="0" applyFill="1" applyAlignment="1">
      <alignment horizontal="left"/>
    </xf>
    <xf numFmtId="0" fontId="41" fillId="0" borderId="0" xfId="0" applyFont="1" applyFill="1" applyBorder="1" applyAlignment="1">
      <alignment horizontal="left"/>
    </xf>
    <xf numFmtId="0" fontId="41" fillId="0" borderId="0" xfId="0" applyFont="1" applyBorder="1" applyAlignment="1"/>
    <xf numFmtId="0" fontId="41" fillId="0" borderId="0" xfId="0" applyFont="1" applyBorder="1" applyAlignment="1">
      <alignment horizontal="center"/>
    </xf>
    <xf numFmtId="3" fontId="41" fillId="0" borderId="0" xfId="1" applyNumberFormat="1" applyFont="1" applyBorder="1" applyAlignment="1">
      <alignment horizontal="right"/>
    </xf>
    <xf numFmtId="0" fontId="41" fillId="0" borderId="0" xfId="0" applyFont="1" applyFill="1" applyBorder="1" applyAlignment="1">
      <alignment horizontal="center"/>
    </xf>
    <xf numFmtId="0" fontId="41" fillId="0" borderId="0" xfId="0" applyFont="1" applyFill="1" applyBorder="1" applyAlignment="1"/>
    <xf numFmtId="3" fontId="41" fillId="0" borderId="0" xfId="1" applyNumberFormat="1" applyFont="1" applyFill="1" applyBorder="1" applyAlignment="1">
      <alignment horizontal="right"/>
    </xf>
    <xf numFmtId="3" fontId="41" fillId="16" borderId="0" xfId="1" applyNumberFormat="1" applyFont="1" applyFill="1" applyBorder="1" applyAlignment="1">
      <alignment horizontal="right"/>
    </xf>
    <xf numFmtId="0" fontId="40" fillId="13" borderId="1" xfId="0" applyFont="1" applyFill="1" applyBorder="1" applyAlignment="1">
      <alignment horizontal="center" wrapText="1"/>
    </xf>
    <xf numFmtId="3" fontId="41" fillId="0" borderId="0" xfId="0" applyNumberFormat="1" applyFont="1" applyFill="1" applyBorder="1"/>
    <xf numFmtId="3" fontId="41" fillId="0" borderId="0" xfId="0" applyNumberFormat="1" applyFont="1" applyFill="1"/>
    <xf numFmtId="0" fontId="35" fillId="0" borderId="0" xfId="0" applyFont="1" applyFill="1" applyBorder="1" applyAlignment="1">
      <alignment horizontal="left" indent="1"/>
    </xf>
    <xf numFmtId="0" fontId="40" fillId="0" borderId="0" xfId="0" applyFont="1" applyBorder="1" applyAlignment="1">
      <alignment horizontal="left" indent="1"/>
    </xf>
    <xf numFmtId="0" fontId="35" fillId="2" borderId="2" xfId="0" applyFont="1" applyFill="1" applyBorder="1" applyAlignment="1">
      <alignment horizontal="left" indent="1"/>
    </xf>
    <xf numFmtId="3" fontId="40" fillId="0" borderId="0" xfId="1" applyNumberFormat="1" applyFont="1" applyBorder="1" applyAlignment="1">
      <alignment horizontal="right"/>
    </xf>
    <xf numFmtId="0" fontId="41" fillId="0" borderId="0" xfId="0" applyFont="1" applyBorder="1" applyAlignment="1">
      <alignment horizontal="left" indent="1"/>
    </xf>
    <xf numFmtId="0" fontId="41" fillId="0" borderId="0" xfId="0" applyFont="1" applyFill="1" applyBorder="1" applyAlignment="1">
      <alignment horizontal="left" indent="1"/>
    </xf>
    <xf numFmtId="3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left" indent="1"/>
    </xf>
    <xf numFmtId="4" fontId="40" fillId="0" borderId="0" xfId="1" applyNumberFormat="1" applyFont="1" applyBorder="1" applyAlignment="1">
      <alignment horizontal="right"/>
    </xf>
    <xf numFmtId="0" fontId="43" fillId="0" borderId="0" xfId="0" applyFont="1" applyFill="1" applyAlignment="1">
      <alignment horizontal="right"/>
    </xf>
    <xf numFmtId="2" fontId="35" fillId="13" borderId="1" xfId="0" applyNumberFormat="1" applyFont="1" applyFill="1" applyBorder="1" applyAlignment="1">
      <alignment horizontal="center" wrapText="1"/>
    </xf>
    <xf numFmtId="0" fontId="41" fillId="0" borderId="0" xfId="0" applyFont="1" applyBorder="1" applyAlignment="1">
      <alignment wrapText="1"/>
    </xf>
    <xf numFmtId="0" fontId="41" fillId="0" borderId="0" xfId="0" applyFont="1" applyBorder="1" applyAlignment="1">
      <alignment horizontal="center" wrapText="1"/>
    </xf>
    <xf numFmtId="0" fontId="41" fillId="0" borderId="0" xfId="0" applyFont="1" applyBorder="1" applyAlignment="1">
      <alignment horizontal="left" wrapText="1" indent="1"/>
    </xf>
    <xf numFmtId="0" fontId="35" fillId="13" borderId="1" xfId="0" applyFont="1" applyFill="1" applyBorder="1" applyAlignment="1">
      <alignment horizontal="center" wrapText="1"/>
    </xf>
    <xf numFmtId="172" fontId="16" fillId="8" borderId="1" xfId="1" applyNumberFormat="1" applyFont="1" applyFill="1" applyBorder="1" applyAlignment="1">
      <alignment horizontal="center" wrapText="1"/>
    </xf>
    <xf numFmtId="172" fontId="16" fillId="9" borderId="1" xfId="1" applyNumberFormat="1" applyFont="1" applyFill="1" applyBorder="1" applyAlignment="1">
      <alignment horizontal="center" wrapText="1"/>
    </xf>
    <xf numFmtId="0" fontId="17" fillId="12" borderId="2" xfId="0" applyFont="1" applyFill="1" applyBorder="1" applyAlignment="1">
      <alignment horizontal="left"/>
    </xf>
    <xf numFmtId="0" fontId="0" fillId="12" borderId="11" xfId="0" applyFill="1" applyBorder="1"/>
    <xf numFmtId="172" fontId="35" fillId="8" borderId="1" xfId="1" applyNumberFormat="1" applyFont="1" applyFill="1" applyBorder="1" applyAlignment="1">
      <alignment horizontal="center" wrapText="1"/>
    </xf>
    <xf numFmtId="172" fontId="35" fillId="9" borderId="1" xfId="1" applyNumberFormat="1" applyFont="1" applyFill="1" applyBorder="1" applyAlignment="1">
      <alignment horizontal="center" wrapText="1"/>
    </xf>
    <xf numFmtId="165" fontId="17" fillId="24" borderId="1" xfId="0" applyNumberFormat="1" applyFont="1" applyFill="1" applyBorder="1" applyAlignment="1">
      <alignment horizontal="center"/>
    </xf>
    <xf numFmtId="165" fontId="0" fillId="8" borderId="1" xfId="0" applyNumberFormat="1" applyFont="1" applyFill="1" applyBorder="1" applyAlignment="1">
      <alignment horizontal="center"/>
    </xf>
    <xf numFmtId="165" fontId="17" fillId="25" borderId="1" xfId="0" applyNumberFormat="1" applyFont="1" applyFill="1" applyBorder="1" applyAlignment="1">
      <alignment horizontal="center"/>
    </xf>
    <xf numFmtId="165" fontId="0" fillId="9" borderId="1" xfId="0" applyNumberFormat="1" applyFont="1" applyFill="1" applyBorder="1" applyAlignment="1">
      <alignment horizontal="center"/>
    </xf>
    <xf numFmtId="165" fontId="0" fillId="10" borderId="1" xfId="0" applyNumberFormat="1" applyFont="1" applyFill="1" applyBorder="1" applyAlignment="1">
      <alignment horizontal="center"/>
    </xf>
    <xf numFmtId="165" fontId="17" fillId="21" borderId="1" xfId="0" applyNumberFormat="1" applyFont="1" applyFill="1" applyBorder="1" applyAlignment="1">
      <alignment horizontal="center"/>
    </xf>
    <xf numFmtId="172" fontId="16" fillId="10" borderId="1" xfId="1" applyNumberFormat="1" applyFont="1" applyFill="1" applyBorder="1" applyAlignment="1">
      <alignment horizontal="center" wrapText="1"/>
    </xf>
    <xf numFmtId="172" fontId="35" fillId="10" borderId="1" xfId="1" applyNumberFormat="1" applyFont="1" applyFill="1" applyBorder="1" applyAlignment="1">
      <alignment horizontal="center" wrapText="1"/>
    </xf>
    <xf numFmtId="43" fontId="45" fillId="0" borderId="0" xfId="0" applyNumberFormat="1" applyFont="1"/>
    <xf numFmtId="0" fontId="17" fillId="12" borderId="11" xfId="0" applyFont="1" applyFill="1" applyBorder="1" applyAlignment="1">
      <alignment horizontal="right"/>
    </xf>
    <xf numFmtId="0" fontId="31" fillId="12" borderId="2" xfId="0" applyFont="1" applyFill="1" applyBorder="1" applyAlignment="1">
      <alignment horizontal="left"/>
    </xf>
    <xf numFmtId="0" fontId="0" fillId="0" borderId="1" xfId="0" applyFill="1" applyBorder="1" applyAlignment="1">
      <alignment horizontal="center"/>
    </xf>
    <xf numFmtId="0" fontId="0" fillId="11" borderId="0" xfId="0" applyFill="1"/>
    <xf numFmtId="0" fontId="17" fillId="18" borderId="0" xfId="0" applyFont="1" applyFill="1" applyBorder="1" applyAlignment="1">
      <alignment horizontal="left"/>
    </xf>
    <xf numFmtId="0" fontId="0" fillId="8" borderId="0" xfId="0" applyFont="1" applyFill="1" applyBorder="1" applyAlignment="1">
      <alignment horizontal="center"/>
    </xf>
    <xf numFmtId="0" fontId="17" fillId="8" borderId="0" xfId="0" applyFont="1" applyFill="1" applyAlignment="1">
      <alignment horizontal="center"/>
    </xf>
    <xf numFmtId="0" fontId="0" fillId="9" borderId="0" xfId="0" applyFill="1" applyAlignment="1">
      <alignment horizontal="center"/>
    </xf>
    <xf numFmtId="0" fontId="17" fillId="9" borderId="0" xfId="0" applyFont="1" applyFill="1" applyAlignment="1">
      <alignment horizontal="center"/>
    </xf>
    <xf numFmtId="0" fontId="29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29" fillId="8" borderId="0" xfId="0" applyFont="1" applyFill="1" applyAlignment="1">
      <alignment horizontal="center"/>
    </xf>
    <xf numFmtId="0" fontId="29" fillId="9" borderId="0" xfId="0" applyFont="1" applyFill="1" applyAlignment="1">
      <alignment horizontal="center"/>
    </xf>
    <xf numFmtId="0" fontId="21" fillId="0" borderId="1" xfId="0" applyFont="1" applyBorder="1" applyAlignment="1">
      <alignment horizontal="center"/>
    </xf>
    <xf numFmtId="0" fontId="0" fillId="20" borderId="0" xfId="0" applyFill="1" applyBorder="1" applyAlignment="1">
      <alignment horizontal="left"/>
    </xf>
    <xf numFmtId="0" fontId="0" fillId="20" borderId="0" xfId="0" applyFill="1" applyBorder="1"/>
    <xf numFmtId="0" fontId="49" fillId="0" borderId="0" xfId="5" applyBorder="1" applyAlignment="1">
      <alignment horizontal="center"/>
    </xf>
    <xf numFmtId="0" fontId="49" fillId="0" borderId="0" xfId="5" applyBorder="1" applyAlignment="1">
      <alignment horizontal="left" indent="1"/>
    </xf>
    <xf numFmtId="0" fontId="49" fillId="20" borderId="0" xfId="5" applyFill="1" applyBorder="1"/>
    <xf numFmtId="0" fontId="61" fillId="0" borderId="0" xfId="5" applyFont="1" applyBorder="1" applyAlignment="1">
      <alignment horizontal="center"/>
    </xf>
    <xf numFmtId="0" fontId="49" fillId="0" borderId="14" xfId="5" applyBorder="1" applyAlignment="1">
      <alignment horizontal="center"/>
    </xf>
    <xf numFmtId="0" fontId="50" fillId="0" borderId="15" xfId="5" applyFont="1" applyBorder="1" applyAlignment="1">
      <alignment horizontal="center"/>
    </xf>
    <xf numFmtId="0" fontId="49" fillId="0" borderId="13" xfId="5" applyBorder="1"/>
    <xf numFmtId="0" fontId="49" fillId="0" borderId="14" xfId="5" applyBorder="1"/>
    <xf numFmtId="0" fontId="50" fillId="0" borderId="15" xfId="5" applyFont="1" applyBorder="1"/>
    <xf numFmtId="2" fontId="0" fillId="0" borderId="0" xfId="0" applyNumberFormat="1"/>
    <xf numFmtId="172" fontId="0" fillId="0" borderId="0" xfId="1" applyNumberFormat="1" applyFont="1"/>
    <xf numFmtId="0" fontId="20" fillId="0" borderId="0" xfId="48" applyFill="1" applyAlignment="1">
      <alignment horizontal="center"/>
    </xf>
    <xf numFmtId="164" fontId="20" fillId="0" borderId="0" xfId="48" applyNumberFormat="1" applyFill="1" applyAlignment="1">
      <alignment horizontal="left"/>
    </xf>
    <xf numFmtId="0" fontId="20" fillId="0" borderId="0" xfId="48" applyFill="1"/>
    <xf numFmtId="0" fontId="0" fillId="0" borderId="0" xfId="0" applyAlignment="1">
      <alignment horizontal="center" wrapText="1"/>
    </xf>
    <xf numFmtId="0" fontId="0" fillId="12" borderId="1" xfId="0" applyFill="1" applyBorder="1" applyAlignment="1">
      <alignment horizontal="center" wrapText="1"/>
    </xf>
    <xf numFmtId="0" fontId="20" fillId="12" borderId="1" xfId="48" applyFill="1" applyBorder="1" applyAlignment="1">
      <alignment horizontal="center" wrapText="1"/>
    </xf>
    <xf numFmtId="0" fontId="0" fillId="58" borderId="1" xfId="0" applyFill="1" applyBorder="1" applyAlignment="1">
      <alignment horizontal="center" wrapText="1"/>
    </xf>
    <xf numFmtId="0" fontId="0" fillId="0" borderId="0" xfId="48" applyFont="1" applyFill="1" applyAlignment="1">
      <alignment horizontal="center"/>
    </xf>
    <xf numFmtId="0" fontId="17" fillId="0" borderId="0" xfId="0" applyFont="1" applyAlignment="1">
      <alignment horizontal="left"/>
    </xf>
    <xf numFmtId="0" fontId="17" fillId="16" borderId="0" xfId="0" applyFont="1" applyFill="1" applyAlignment="1">
      <alignment horizontal="left"/>
    </xf>
    <xf numFmtId="0" fontId="17" fillId="16" borderId="0" xfId="0" applyFont="1" applyFill="1"/>
    <xf numFmtId="0" fontId="0" fillId="0" borderId="0" xfId="0" applyAlignment="1">
      <alignment horizontal="right"/>
    </xf>
    <xf numFmtId="0" fontId="0" fillId="25" borderId="1" xfId="0" applyFill="1" applyBorder="1"/>
    <xf numFmtId="0" fontId="0" fillId="24" borderId="1" xfId="0" applyFill="1" applyBorder="1"/>
    <xf numFmtId="172" fontId="0" fillId="0" borderId="4" xfId="1" applyNumberFormat="1" applyFont="1" applyBorder="1"/>
    <xf numFmtId="172" fontId="0" fillId="0" borderId="6" xfId="1" applyNumberFormat="1" applyFont="1" applyBorder="1"/>
    <xf numFmtId="172" fontId="0" fillId="0" borderId="7" xfId="1" applyNumberFormat="1" applyFont="1" applyBorder="1"/>
    <xf numFmtId="172" fontId="0" fillId="0" borderId="8" xfId="1" applyNumberFormat="1" applyFont="1" applyBorder="1"/>
    <xf numFmtId="172" fontId="17" fillId="0" borderId="9" xfId="1" applyNumberFormat="1" applyFont="1" applyBorder="1"/>
    <xf numFmtId="0" fontId="62" fillId="0" borderId="0" xfId="0" applyFont="1"/>
    <xf numFmtId="0" fontId="0" fillId="12" borderId="0" xfId="0" applyFill="1" applyAlignment="1">
      <alignment horizontal="center"/>
    </xf>
    <xf numFmtId="0" fontId="62" fillId="0" borderId="0" xfId="0" applyFont="1" applyFill="1" applyAlignment="1">
      <alignment horizontal="center"/>
    </xf>
    <xf numFmtId="166" fontId="0" fillId="7" borderId="0" xfId="0" applyNumberFormat="1" applyFill="1"/>
    <xf numFmtId="165" fontId="0" fillId="12" borderId="0" xfId="1" applyNumberFormat="1" applyFont="1" applyFill="1"/>
    <xf numFmtId="0" fontId="0" fillId="0" borderId="0" xfId="0" applyBorder="1" applyAlignment="1">
      <alignment horizontal="left" indent="1"/>
    </xf>
    <xf numFmtId="3" fontId="0" fillId="0" borderId="0" xfId="0" applyNumberFormat="1" applyBorder="1" applyAlignment="1"/>
    <xf numFmtId="49" fontId="0" fillId="0" borderId="0" xfId="0" applyNumberFormat="1" applyBorder="1" applyAlignment="1">
      <alignment horizontal="left" indent="1"/>
    </xf>
    <xf numFmtId="169" fontId="63" fillId="17" borderId="16" xfId="0" applyNumberFormat="1" applyFont="1" applyFill="1" applyBorder="1" applyAlignment="1">
      <alignment horizontal="center"/>
    </xf>
    <xf numFmtId="0" fontId="0" fillId="0" borderId="0" xfId="0" applyAlignment="1">
      <alignment horizontal="left" indent="3"/>
    </xf>
    <xf numFmtId="169" fontId="0" fillId="22" borderId="6" xfId="0" applyNumberFormat="1" applyFill="1" applyBorder="1"/>
    <xf numFmtId="169" fontId="0" fillId="8" borderId="8" xfId="0" applyNumberFormat="1" applyFill="1" applyBorder="1"/>
    <xf numFmtId="43" fontId="21" fillId="0" borderId="0" xfId="1" applyFont="1" applyBorder="1"/>
    <xf numFmtId="0" fontId="17" fillId="10" borderId="13" xfId="0" applyFont="1" applyFill="1" applyBorder="1" applyAlignment="1">
      <alignment horizontal="center" wrapText="1"/>
    </xf>
    <xf numFmtId="0" fontId="17" fillId="9" borderId="13" xfId="0" applyFont="1" applyFill="1" applyBorder="1" applyAlignment="1">
      <alignment horizontal="center" wrapText="1"/>
    </xf>
    <xf numFmtId="0" fontId="17" fillId="8" borderId="13" xfId="0" applyFont="1" applyFill="1" applyBorder="1" applyAlignment="1">
      <alignment horizontal="center" wrapText="1"/>
    </xf>
    <xf numFmtId="3" fontId="21" fillId="10" borderId="7" xfId="0" applyNumberFormat="1" applyFont="1" applyFill="1" applyBorder="1"/>
    <xf numFmtId="3" fontId="21" fillId="10" borderId="7" xfId="2" applyNumberFormat="1" applyFont="1" applyFill="1" applyBorder="1"/>
    <xf numFmtId="169" fontId="21" fillId="9" borderId="0" xfId="2" applyNumberFormat="1" applyFont="1" applyFill="1" applyBorder="1"/>
    <xf numFmtId="169" fontId="21" fillId="8" borderId="8" xfId="0" applyNumberFormat="1" applyFont="1" applyFill="1" applyBorder="1"/>
    <xf numFmtId="171" fontId="21" fillId="0" borderId="0" xfId="2" applyNumberFormat="1" applyFont="1" applyBorder="1" applyAlignment="1">
      <alignment horizontal="center"/>
    </xf>
    <xf numFmtId="171" fontId="21" fillId="0" borderId="8" xfId="2" applyNumberFormat="1" applyFont="1" applyBorder="1" applyAlignment="1">
      <alignment horizontal="center"/>
    </xf>
    <xf numFmtId="0" fontId="41" fillId="20" borderId="0" xfId="0" applyFont="1" applyFill="1" applyAlignment="1"/>
    <xf numFmtId="0" fontId="41" fillId="20" borderId="0" xfId="0" applyFont="1" applyFill="1" applyAlignment="1">
      <alignment horizontal="center"/>
    </xf>
    <xf numFmtId="0" fontId="64" fillId="0" borderId="0" xfId="0" applyFont="1" applyAlignment="1">
      <alignment horizontal="center"/>
    </xf>
    <xf numFmtId="0" fontId="35" fillId="0" borderId="0" xfId="0" applyFont="1" applyAlignment="1"/>
    <xf numFmtId="1" fontId="35" fillId="0" borderId="0" xfId="0" applyNumberFormat="1" applyFont="1" applyAlignment="1">
      <alignment horizontal="right"/>
    </xf>
    <xf numFmtId="0" fontId="35" fillId="0" borderId="0" xfId="0" applyFont="1" applyAlignment="1">
      <alignment horizontal="right"/>
    </xf>
    <xf numFmtId="0" fontId="15" fillId="0" borderId="7" xfId="0" applyFont="1" applyBorder="1" applyAlignment="1">
      <alignment horizontal="left"/>
    </xf>
    <xf numFmtId="0" fontId="15" fillId="0" borderId="0" xfId="0" applyFont="1" applyAlignment="1">
      <alignment horizontal="center"/>
    </xf>
    <xf numFmtId="0" fontId="15" fillId="0" borderId="9" xfId="0" applyFont="1" applyBorder="1" applyAlignment="1">
      <alignment horizontal="left"/>
    </xf>
    <xf numFmtId="0" fontId="15" fillId="0" borderId="0" xfId="0" applyFont="1" applyAlignment="1"/>
    <xf numFmtId="0" fontId="15" fillId="0" borderId="0" xfId="0" applyFont="1" applyAlignment="1">
      <alignment horizontal="left" indent="1"/>
    </xf>
    <xf numFmtId="0" fontId="15" fillId="2" borderId="12" xfId="0" applyFont="1" applyFill="1" applyBorder="1"/>
    <xf numFmtId="3" fontId="15" fillId="0" borderId="0" xfId="0" applyNumberFormat="1" applyFont="1" applyFill="1" applyAlignment="1">
      <alignment horizontal="right"/>
    </xf>
    <xf numFmtId="0" fontId="15" fillId="0" borderId="0" xfId="0" applyFont="1" applyFill="1" applyBorder="1" applyAlignment="1">
      <alignment horizontal="center"/>
    </xf>
    <xf numFmtId="0" fontId="15" fillId="0" borderId="0" xfId="0" applyFont="1"/>
    <xf numFmtId="0" fontId="15" fillId="0" borderId="0" xfId="0" applyFont="1" applyFill="1" applyBorder="1" applyAlignment="1">
      <alignment horizontal="left" indent="1"/>
    </xf>
    <xf numFmtId="0" fontId="15" fillId="0" borderId="0" xfId="0" applyFont="1" applyAlignment="1">
      <alignment horizontal="left"/>
    </xf>
    <xf numFmtId="164" fontId="15" fillId="0" borderId="0" xfId="0" applyNumberFormat="1" applyFont="1" applyAlignment="1">
      <alignment horizontal="right"/>
    </xf>
    <xf numFmtId="166" fontId="15" fillId="0" borderId="0" xfId="0" applyNumberFormat="1" applyFont="1" applyAlignment="1">
      <alignment horizontal="right"/>
    </xf>
    <xf numFmtId="164" fontId="15" fillId="0" borderId="0" xfId="0" applyNumberFormat="1" applyFont="1" applyAlignment="1"/>
    <xf numFmtId="166" fontId="15" fillId="0" borderId="0" xfId="0" applyNumberFormat="1" applyFont="1" applyAlignment="1"/>
    <xf numFmtId="0" fontId="15" fillId="0" borderId="0" xfId="0" applyFont="1" applyBorder="1" applyAlignment="1"/>
    <xf numFmtId="0" fontId="15" fillId="0" borderId="0" xfId="0" applyFont="1" applyBorder="1" applyAlignment="1">
      <alignment horizontal="left"/>
    </xf>
    <xf numFmtId="164" fontId="15" fillId="0" borderId="0" xfId="0" applyNumberFormat="1" applyFont="1" applyBorder="1"/>
    <xf numFmtId="166" fontId="15" fillId="0" borderId="0" xfId="0" applyNumberFormat="1" applyFont="1" applyBorder="1"/>
    <xf numFmtId="0" fontId="15" fillId="0" borderId="0" xfId="0" applyFont="1" applyBorder="1" applyAlignment="1">
      <alignment horizontal="center"/>
    </xf>
    <xf numFmtId="0" fontId="15" fillId="0" borderId="0" xfId="0" applyFont="1" applyFill="1" applyAlignment="1"/>
    <xf numFmtId="164" fontId="15" fillId="0" borderId="0" xfId="0" applyNumberFormat="1" applyFont="1"/>
    <xf numFmtId="3" fontId="15" fillId="0" borderId="0" xfId="0" applyNumberFormat="1" applyFont="1" applyFill="1"/>
    <xf numFmtId="0" fontId="15" fillId="0" borderId="0" xfId="0" applyFont="1" applyFill="1" applyAlignment="1">
      <alignment horizontal="left" indent="1"/>
    </xf>
    <xf numFmtId="0" fontId="15" fillId="0" borderId="0" xfId="0" applyFont="1" applyFill="1"/>
    <xf numFmtId="3" fontId="15" fillId="0" borderId="0" xfId="0" applyNumberFormat="1" applyFont="1" applyAlignment="1">
      <alignment horizontal="right"/>
    </xf>
    <xf numFmtId="0" fontId="15" fillId="16" borderId="0" xfId="0" applyFont="1" applyFill="1" applyAlignment="1">
      <alignment horizontal="left" indent="1"/>
    </xf>
    <xf numFmtId="3" fontId="15" fillId="0" borderId="0" xfId="0" applyNumberFormat="1" applyFont="1" applyAlignment="1"/>
    <xf numFmtId="0" fontId="15" fillId="11" borderId="1" xfId="0" applyFont="1" applyFill="1" applyBorder="1" applyAlignment="1">
      <alignment horizontal="center"/>
    </xf>
    <xf numFmtId="0" fontId="15" fillId="18" borderId="1" xfId="0" applyFont="1" applyFill="1" applyBorder="1" applyAlignment="1">
      <alignment horizontal="center"/>
    </xf>
    <xf numFmtId="0" fontId="15" fillId="0" borderId="1" xfId="0" applyFont="1" applyBorder="1" applyAlignment="1">
      <alignment horizontal="center"/>
    </xf>
    <xf numFmtId="1" fontId="15" fillId="0" borderId="0" xfId="1" applyNumberFormat="1" applyFont="1" applyBorder="1" applyAlignment="1">
      <alignment horizontal="right"/>
    </xf>
    <xf numFmtId="1" fontId="15" fillId="0" borderId="8" xfId="1" applyNumberFormat="1" applyFont="1" applyBorder="1" applyAlignment="1">
      <alignment horizontal="right"/>
    </xf>
    <xf numFmtId="1" fontId="15" fillId="0" borderId="3" xfId="1" applyNumberFormat="1" applyFont="1" applyBorder="1" applyAlignment="1">
      <alignment horizontal="right"/>
    </xf>
    <xf numFmtId="1" fontId="15" fillId="0" borderId="10" xfId="1" applyNumberFormat="1" applyFont="1" applyBorder="1" applyAlignment="1">
      <alignment horizontal="right"/>
    </xf>
    <xf numFmtId="1" fontId="15" fillId="0" borderId="0" xfId="0" applyNumberFormat="1" applyFont="1" applyAlignment="1">
      <alignment horizontal="right"/>
    </xf>
    <xf numFmtId="0" fontId="15" fillId="0" borderId="0" xfId="0" applyFont="1" applyAlignment="1">
      <alignment horizontal="right"/>
    </xf>
    <xf numFmtId="0" fontId="15" fillId="0" borderId="0" xfId="0" applyFont="1" applyFill="1" applyBorder="1" applyAlignment="1">
      <alignment horizontal="left"/>
    </xf>
    <xf numFmtId="0" fontId="15" fillId="16" borderId="11" xfId="0" applyFont="1" applyFill="1" applyBorder="1" applyAlignment="1"/>
    <xf numFmtId="0" fontId="15" fillId="0" borderId="0" xfId="0" applyFont="1" applyFill="1" applyAlignment="1">
      <alignment horizontal="center"/>
    </xf>
    <xf numFmtId="0" fontId="15" fillId="0" borderId="0" xfId="0" applyFont="1" applyAlignment="1">
      <alignment horizontal="center" wrapText="1"/>
    </xf>
    <xf numFmtId="0" fontId="65" fillId="20" borderId="0" xfId="5" applyFont="1" applyFill="1" applyBorder="1" applyAlignment="1">
      <alignment horizontal="right"/>
    </xf>
    <xf numFmtId="0" fontId="43" fillId="20" borderId="0" xfId="0" applyFont="1" applyFill="1" applyAlignment="1">
      <alignment horizontal="right"/>
    </xf>
    <xf numFmtId="0" fontId="29" fillId="20" borderId="0" xfId="0" applyFont="1" applyFill="1" applyAlignment="1">
      <alignment horizontal="right"/>
    </xf>
    <xf numFmtId="172" fontId="29" fillId="20" borderId="0" xfId="1" applyNumberFormat="1" applyFont="1" applyFill="1" applyAlignment="1">
      <alignment horizontal="right"/>
    </xf>
    <xf numFmtId="0" fontId="29" fillId="20" borderId="0" xfId="0" applyFont="1" applyFill="1" applyBorder="1" applyAlignment="1">
      <alignment horizontal="right"/>
    </xf>
    <xf numFmtId="0" fontId="14" fillId="0" borderId="0" xfId="0" applyFont="1" applyAlignment="1">
      <alignment horizontal="left" indent="1"/>
    </xf>
    <xf numFmtId="0" fontId="15" fillId="16" borderId="11" xfId="0" applyFont="1" applyFill="1" applyBorder="1" applyAlignment="1">
      <alignment horizontal="center"/>
    </xf>
    <xf numFmtId="0" fontId="15" fillId="16" borderId="12" xfId="0" applyFont="1" applyFill="1" applyBorder="1" applyAlignment="1">
      <alignment horizontal="center"/>
    </xf>
    <xf numFmtId="0" fontId="35" fillId="16" borderId="2" xfId="0" applyFont="1" applyFill="1" applyBorder="1" applyAlignment="1">
      <alignment horizontal="left"/>
    </xf>
    <xf numFmtId="0" fontId="14" fillId="0" borderId="0" xfId="0" applyFont="1" applyAlignment="1"/>
    <xf numFmtId="0" fontId="66" fillId="0" borderId="0" xfId="0" applyFont="1" applyAlignment="1"/>
    <xf numFmtId="0" fontId="14" fillId="0" borderId="0" xfId="0" applyFont="1" applyAlignment="1">
      <alignment horizontal="left"/>
    </xf>
    <xf numFmtId="0" fontId="35" fillId="2" borderId="2" xfId="0" applyFont="1" applyFill="1" applyBorder="1" applyAlignment="1">
      <alignment horizontal="left"/>
    </xf>
    <xf numFmtId="0" fontId="15" fillId="2" borderId="12" xfId="0" applyFont="1" applyFill="1" applyBorder="1" applyAlignment="1"/>
    <xf numFmtId="0" fontId="14" fillId="2" borderId="12" xfId="0" applyFont="1" applyFill="1" applyBorder="1" applyAlignment="1">
      <alignment horizontal="right"/>
    </xf>
    <xf numFmtId="0" fontId="14" fillId="0" borderId="1" xfId="0" applyFont="1" applyBorder="1" applyAlignment="1">
      <alignment horizontal="center"/>
    </xf>
    <xf numFmtId="0" fontId="15" fillId="0" borderId="1" xfId="0" applyFont="1" applyBorder="1" applyAlignment="1"/>
    <xf numFmtId="0" fontId="14" fillId="0" borderId="4" xfId="0" applyFont="1" applyBorder="1" applyAlignment="1">
      <alignment horizontal="center"/>
    </xf>
    <xf numFmtId="0" fontId="14" fillId="0" borderId="5" xfId="0" applyFont="1" applyBorder="1" applyAlignment="1"/>
    <xf numFmtId="0" fontId="14" fillId="0" borderId="7" xfId="0" applyFont="1" applyBorder="1" applyAlignment="1">
      <alignment horizontal="center"/>
    </xf>
    <xf numFmtId="0" fontId="14" fillId="0" borderId="0" xfId="0" applyFont="1" applyBorder="1" applyAlignment="1"/>
    <xf numFmtId="0" fontId="14" fillId="0" borderId="9" xfId="0" applyFont="1" applyBorder="1" applyAlignment="1">
      <alignment horizontal="center"/>
    </xf>
    <xf numFmtId="0" fontId="14" fillId="0" borderId="3" xfId="0" applyFont="1" applyBorder="1" applyAlignment="1"/>
    <xf numFmtId="165" fontId="35" fillId="0" borderId="5" xfId="1" applyNumberFormat="1" applyFont="1" applyFill="1" applyBorder="1" applyAlignment="1">
      <alignment horizontal="right"/>
    </xf>
    <xf numFmtId="172" fontId="35" fillId="0" borderId="5" xfId="1" applyNumberFormat="1" applyFont="1" applyFill="1" applyBorder="1" applyAlignment="1">
      <alignment horizontal="right"/>
    </xf>
    <xf numFmtId="169" fontId="15" fillId="0" borderId="5" xfId="0" applyNumberFormat="1" applyFont="1" applyFill="1" applyBorder="1" applyAlignment="1">
      <alignment horizontal="right"/>
    </xf>
    <xf numFmtId="169" fontId="15" fillId="0" borderId="6" xfId="0" applyNumberFormat="1" applyFont="1" applyFill="1" applyBorder="1" applyAlignment="1">
      <alignment horizontal="right"/>
    </xf>
    <xf numFmtId="165" fontId="35" fillId="0" borderId="0" xfId="1" applyNumberFormat="1" applyFont="1" applyFill="1" applyBorder="1" applyAlignment="1">
      <alignment horizontal="right"/>
    </xf>
    <xf numFmtId="172" fontId="15" fillId="0" borderId="0" xfId="1" applyNumberFormat="1" applyFont="1" applyFill="1" applyBorder="1" applyAlignment="1">
      <alignment horizontal="right"/>
    </xf>
    <xf numFmtId="169" fontId="35" fillId="0" borderId="0" xfId="0" applyNumberFormat="1" applyFont="1" applyFill="1" applyBorder="1" applyAlignment="1">
      <alignment horizontal="right"/>
    </xf>
    <xf numFmtId="169" fontId="35" fillId="0" borderId="8" xfId="0" applyNumberFormat="1" applyFont="1" applyFill="1" applyBorder="1" applyAlignment="1">
      <alignment horizontal="right"/>
    </xf>
    <xf numFmtId="171" fontId="15" fillId="0" borderId="3" xfId="2" applyNumberFormat="1" applyFont="1" applyFill="1" applyBorder="1" applyAlignment="1">
      <alignment horizontal="right"/>
    </xf>
    <xf numFmtId="171" fontId="35" fillId="0" borderId="10" xfId="2" applyNumberFormat="1" applyFont="1" applyFill="1" applyBorder="1" applyAlignment="1">
      <alignment horizontal="right"/>
    </xf>
    <xf numFmtId="0" fontId="14" fillId="0" borderId="11" xfId="0" applyFont="1" applyBorder="1" applyAlignment="1"/>
    <xf numFmtId="2" fontId="15" fillId="0" borderId="11" xfId="0" applyNumberFormat="1" applyFont="1" applyBorder="1" applyAlignment="1">
      <alignment horizontal="center"/>
    </xf>
    <xf numFmtId="3" fontId="35" fillId="16" borderId="11" xfId="1" applyNumberFormat="1" applyFont="1" applyFill="1" applyBorder="1" applyAlignment="1">
      <alignment horizontal="right"/>
    </xf>
    <xf numFmtId="172" fontId="35" fillId="16" borderId="11" xfId="1" applyNumberFormat="1" applyFont="1" applyFill="1" applyBorder="1" applyAlignment="1">
      <alignment horizontal="right"/>
    </xf>
    <xf numFmtId="2" fontId="15" fillId="0" borderId="10" xfId="0" applyNumberFormat="1" applyFont="1" applyBorder="1" applyAlignment="1">
      <alignment horizontal="center"/>
    </xf>
    <xf numFmtId="0" fontId="15" fillId="0" borderId="0" xfId="0" applyFont="1" applyFill="1" applyBorder="1" applyAlignment="1"/>
    <xf numFmtId="0" fontId="15" fillId="17" borderId="0" xfId="0" applyFont="1" applyFill="1" applyBorder="1" applyAlignment="1"/>
    <xf numFmtId="0" fontId="0" fillId="15" borderId="1" xfId="0" applyFill="1" applyBorder="1" applyAlignment="1">
      <alignment horizontal="center" wrapText="1"/>
    </xf>
    <xf numFmtId="0" fontId="0" fillId="14" borderId="13" xfId="0" applyFont="1" applyFill="1" applyBorder="1" applyAlignment="1">
      <alignment horizontal="center" wrapText="1"/>
    </xf>
    <xf numFmtId="9" fontId="0" fillId="0" borderId="0" xfId="2" applyNumberFormat="1" applyFont="1" applyBorder="1"/>
    <xf numFmtId="171" fontId="20" fillId="0" borderId="0" xfId="2" applyNumberFormat="1" applyFont="1" applyBorder="1"/>
    <xf numFmtId="171" fontId="20" fillId="0" borderId="0" xfId="2" applyNumberFormat="1" applyFont="1" applyFill="1" applyBorder="1"/>
    <xf numFmtId="9" fontId="0" fillId="0" borderId="7" xfId="2" applyNumberFormat="1" applyFont="1" applyBorder="1"/>
    <xf numFmtId="9" fontId="0" fillId="0" borderId="8" xfId="2" applyNumberFormat="1" applyFont="1" applyBorder="1"/>
    <xf numFmtId="9" fontId="0" fillId="0" borderId="9" xfId="2" applyNumberFormat="1" applyFont="1" applyBorder="1"/>
    <xf numFmtId="9" fontId="0" fillId="0" borderId="3" xfId="2" applyNumberFormat="1" applyFont="1" applyBorder="1"/>
    <xf numFmtId="9" fontId="0" fillId="0" borderId="10" xfId="2" applyNumberFormat="1" applyFont="1" applyBorder="1"/>
    <xf numFmtId="9" fontId="0" fillId="60" borderId="7" xfId="2" applyNumberFormat="1" applyFont="1" applyFill="1" applyBorder="1"/>
    <xf numFmtId="9" fontId="0" fillId="60" borderId="0" xfId="2" applyNumberFormat="1" applyFont="1" applyFill="1" applyBorder="1"/>
    <xf numFmtId="9" fontId="0" fillId="60" borderId="8" xfId="2" applyNumberFormat="1" applyFont="1" applyFill="1" applyBorder="1"/>
    <xf numFmtId="9" fontId="0" fillId="62" borderId="4" xfId="2" applyNumberFormat="1" applyFont="1" applyFill="1" applyBorder="1"/>
    <xf numFmtId="9" fontId="0" fillId="62" borderId="5" xfId="2" applyNumberFormat="1" applyFont="1" applyFill="1" applyBorder="1"/>
    <xf numFmtId="9" fontId="0" fillId="62" borderId="6" xfId="2" applyNumberFormat="1" applyFont="1" applyFill="1" applyBorder="1"/>
    <xf numFmtId="9" fontId="0" fillId="62" borderId="7" xfId="2" applyNumberFormat="1" applyFont="1" applyFill="1" applyBorder="1"/>
    <xf numFmtId="9" fontId="0" fillId="62" borderId="0" xfId="2" applyNumberFormat="1" applyFont="1" applyFill="1" applyBorder="1"/>
    <xf numFmtId="9" fontId="0" fillId="62" borderId="8" xfId="2" applyNumberFormat="1" applyFont="1" applyFill="1" applyBorder="1"/>
    <xf numFmtId="9" fontId="0" fillId="61" borderId="7" xfId="2" applyNumberFormat="1" applyFont="1" applyFill="1" applyBorder="1"/>
    <xf numFmtId="9" fontId="0" fillId="61" borderId="0" xfId="2" applyNumberFormat="1" applyFont="1" applyFill="1" applyBorder="1"/>
    <xf numFmtId="9" fontId="0" fillId="61" borderId="8" xfId="2" applyNumberFormat="1" applyFont="1" applyFill="1" applyBorder="1"/>
    <xf numFmtId="0" fontId="63" fillId="0" borderId="0" xfId="0" applyFont="1"/>
    <xf numFmtId="0" fontId="0" fillId="15" borderId="1" xfId="0" applyFill="1" applyBorder="1" applyAlignment="1">
      <alignment horizontal="center"/>
    </xf>
    <xf numFmtId="165" fontId="17" fillId="0" borderId="0" xfId="1" applyNumberFormat="1" applyFont="1"/>
    <xf numFmtId="43" fontId="17" fillId="0" borderId="0" xfId="1" applyNumberFormat="1" applyFont="1"/>
    <xf numFmtId="43" fontId="17" fillId="0" borderId="0" xfId="1" applyFont="1"/>
    <xf numFmtId="4" fontId="0" fillId="0" borderId="0" xfId="1" applyNumberFormat="1" applyFont="1"/>
    <xf numFmtId="3" fontId="0" fillId="0" borderId="0" xfId="1" applyNumberFormat="1" applyFont="1"/>
    <xf numFmtId="3" fontId="17" fillId="0" borderId="0" xfId="0" applyNumberFormat="1" applyFont="1"/>
    <xf numFmtId="4" fontId="17" fillId="0" borderId="0" xfId="1" applyNumberFormat="1" applyFont="1"/>
    <xf numFmtId="43" fontId="0" fillId="0" borderId="0" xfId="0" applyNumberFormat="1" applyFill="1"/>
    <xf numFmtId="4" fontId="0" fillId="13" borderId="0" xfId="1" applyNumberFormat="1" applyFont="1" applyFill="1"/>
    <xf numFmtId="4" fontId="17" fillId="0" borderId="0" xfId="0" applyNumberFormat="1" applyFont="1"/>
    <xf numFmtId="174" fontId="36" fillId="0" borderId="0" xfId="0" applyNumberFormat="1" applyFont="1"/>
    <xf numFmtId="174" fontId="63" fillId="0" borderId="0" xfId="0" applyNumberFormat="1" applyFont="1"/>
    <xf numFmtId="175" fontId="63" fillId="0" borderId="0" xfId="0" applyNumberFormat="1" applyFont="1" applyBorder="1"/>
    <xf numFmtId="174" fontId="36" fillId="0" borderId="0" xfId="1" applyNumberFormat="1" applyFont="1"/>
    <xf numFmtId="3" fontId="63" fillId="0" borderId="0" xfId="0" applyNumberFormat="1" applyFont="1"/>
    <xf numFmtId="4" fontId="63" fillId="0" borderId="0" xfId="0" applyNumberFormat="1" applyFont="1"/>
    <xf numFmtId="4" fontId="20" fillId="0" borderId="0" xfId="1" applyNumberFormat="1" applyFont="1"/>
    <xf numFmtId="4" fontId="20" fillId="13" borderId="0" xfId="1" applyNumberFormat="1" applyFont="1" applyFill="1"/>
    <xf numFmtId="174" fontId="63" fillId="0" borderId="0" xfId="1" applyNumberFormat="1" applyFont="1"/>
    <xf numFmtId="174" fontId="63" fillId="13" borderId="0" xfId="1" applyNumberFormat="1" applyFont="1" applyFill="1"/>
    <xf numFmtId="174" fontId="63" fillId="13" borderId="0" xfId="0" applyNumberFormat="1" applyFont="1" applyFill="1"/>
    <xf numFmtId="0" fontId="70" fillId="0" borderId="0" xfId="0" applyFont="1" applyFill="1" applyBorder="1" applyAlignment="1">
      <alignment horizontal="left"/>
    </xf>
    <xf numFmtId="0" fontId="17" fillId="22" borderId="2" xfId="0" applyFont="1" applyFill="1" applyBorder="1" applyAlignment="1">
      <alignment horizontal="left"/>
    </xf>
    <xf numFmtId="0" fontId="17" fillId="22" borderId="11" xfId="0" applyFont="1" applyFill="1" applyBorder="1" applyAlignment="1">
      <alignment horizontal="left"/>
    </xf>
    <xf numFmtId="0" fontId="17" fillId="22" borderId="11" xfId="0" applyFont="1" applyFill="1" applyBorder="1"/>
    <xf numFmtId="165" fontId="17" fillId="22" borderId="11" xfId="0" applyNumberFormat="1" applyFont="1" applyFill="1" applyBorder="1"/>
    <xf numFmtId="43" fontId="17" fillId="22" borderId="11" xfId="0" applyNumberFormat="1" applyFont="1" applyFill="1" applyBorder="1"/>
    <xf numFmtId="0" fontId="0" fillId="22" borderId="11" xfId="0" applyFill="1" applyBorder="1"/>
    <xf numFmtId="173" fontId="69" fillId="0" borderId="0" xfId="1" applyNumberFormat="1" applyFont="1" applyAlignment="1">
      <alignment horizontal="right"/>
    </xf>
    <xf numFmtId="0" fontId="21" fillId="2" borderId="1" xfId="0" applyFont="1" applyFill="1" applyBorder="1" applyAlignment="1">
      <alignment horizontal="center"/>
    </xf>
    <xf numFmtId="0" fontId="43" fillId="0" borderId="1" xfId="0" applyFont="1" applyFill="1" applyBorder="1" applyAlignment="1">
      <alignment horizontal="center"/>
    </xf>
    <xf numFmtId="1" fontId="71" fillId="0" borderId="0" xfId="0" applyNumberFormat="1" applyFont="1" applyAlignment="1">
      <alignment horizontal="center"/>
    </xf>
    <xf numFmtId="1" fontId="23" fillId="0" borderId="0" xfId="0" applyNumberFormat="1" applyFont="1" applyAlignment="1">
      <alignment horizontal="center"/>
    </xf>
    <xf numFmtId="0" fontId="23" fillId="0" borderId="0" xfId="0" applyFont="1"/>
    <xf numFmtId="0" fontId="0" fillId="8" borderId="0" xfId="0" applyFont="1" applyFill="1" applyAlignment="1">
      <alignment horizontal="center"/>
    </xf>
    <xf numFmtId="0" fontId="0" fillId="9" borderId="0" xfId="0" applyFont="1" applyFill="1" applyAlignment="1">
      <alignment horizontal="center"/>
    </xf>
    <xf numFmtId="0" fontId="63" fillId="8" borderId="0" xfId="0" applyFont="1" applyFill="1" applyAlignment="1">
      <alignment horizontal="center"/>
    </xf>
    <xf numFmtId="0" fontId="63" fillId="9" borderId="0" xfId="0" applyFont="1" applyFill="1" applyAlignment="1">
      <alignment horizontal="center"/>
    </xf>
    <xf numFmtId="43" fontId="17" fillId="0" borderId="0" xfId="0" applyNumberFormat="1" applyFont="1" applyBorder="1"/>
    <xf numFmtId="43" fontId="17" fillId="0" borderId="0" xfId="1" applyFont="1" applyBorder="1"/>
    <xf numFmtId="49" fontId="22" fillId="0" borderId="0" xfId="0" applyNumberFormat="1" applyFont="1" applyAlignment="1">
      <alignment horizontal="center"/>
    </xf>
    <xf numFmtId="175" fontId="36" fillId="0" borderId="0" xfId="1" applyNumberFormat="1" applyFont="1"/>
    <xf numFmtId="165" fontId="36" fillId="25" borderId="1" xfId="0" applyNumberFormat="1" applyFont="1" applyFill="1" applyBorder="1" applyAlignment="1">
      <alignment horizontal="center"/>
    </xf>
    <xf numFmtId="165" fontId="63" fillId="9" borderId="1" xfId="0" applyNumberFormat="1" applyFont="1" applyFill="1" applyBorder="1" applyAlignment="1">
      <alignment horizontal="center"/>
    </xf>
    <xf numFmtId="165" fontId="36" fillId="24" borderId="1" xfId="0" applyNumberFormat="1" applyFont="1" applyFill="1" applyBorder="1" applyAlignment="1">
      <alignment horizontal="center"/>
    </xf>
    <xf numFmtId="165" fontId="63" fillId="8" borderId="1" xfId="0" applyNumberFormat="1" applyFont="1" applyFill="1" applyBorder="1" applyAlignment="1">
      <alignment horizontal="center"/>
    </xf>
    <xf numFmtId="3" fontId="17" fillId="0" borderId="0" xfId="1" applyNumberFormat="1" applyFont="1"/>
    <xf numFmtId="3" fontId="20" fillId="0" borderId="0" xfId="1" applyNumberFormat="1" applyFont="1"/>
    <xf numFmtId="165" fontId="20" fillId="0" borderId="0" xfId="1" applyNumberFormat="1" applyFont="1"/>
    <xf numFmtId="0" fontId="0" fillId="12" borderId="12" xfId="0" applyFill="1" applyBorder="1" applyAlignment="1">
      <alignment horizontal="right"/>
    </xf>
    <xf numFmtId="0" fontId="0" fillId="0" borderId="0" xfId="0" applyFont="1" applyBorder="1" applyAlignment="1">
      <alignment horizontal="left" indent="1"/>
    </xf>
    <xf numFmtId="0" fontId="63" fillId="0" borderId="0" xfId="0" applyFont="1" applyAlignment="1">
      <alignment horizontal="left" indent="1"/>
    </xf>
    <xf numFmtId="0" fontId="72" fillId="0" borderId="0" xfId="0" applyFont="1"/>
    <xf numFmtId="171" fontId="0" fillId="0" borderId="0" xfId="2" applyNumberFormat="1" applyFont="1"/>
    <xf numFmtId="0" fontId="68" fillId="0" borderId="0" xfId="0" applyFont="1" applyAlignment="1">
      <alignment horizontal="right"/>
    </xf>
    <xf numFmtId="0" fontId="67" fillId="0" borderId="0" xfId="0" applyFont="1" applyAlignment="1">
      <alignment horizontal="right"/>
    </xf>
    <xf numFmtId="164" fontId="13" fillId="0" borderId="0" xfId="0" applyNumberFormat="1" applyFont="1" applyAlignment="1"/>
    <xf numFmtId="166" fontId="13" fillId="0" borderId="0" xfId="0" applyNumberFormat="1" applyFont="1" applyAlignment="1"/>
    <xf numFmtId="0" fontId="13" fillId="0" borderId="0" xfId="0" applyFont="1" applyAlignment="1">
      <alignment horizontal="left"/>
    </xf>
    <xf numFmtId="0" fontId="13" fillId="0" borderId="0" xfId="0" applyFont="1" applyFill="1" applyAlignment="1">
      <alignment horizontal="left"/>
    </xf>
    <xf numFmtId="0" fontId="13" fillId="0" borderId="0" xfId="0" applyFont="1" applyFill="1" applyAlignment="1"/>
    <xf numFmtId="0" fontId="0" fillId="22" borderId="12" xfId="0" applyFill="1" applyBorder="1" applyAlignment="1">
      <alignment horizontal="right"/>
    </xf>
    <xf numFmtId="164" fontId="13" fillId="0" borderId="0" xfId="0" applyNumberFormat="1" applyFont="1" applyFill="1" applyAlignment="1"/>
    <xf numFmtId="166" fontId="13" fillId="0" borderId="0" xfId="0" applyNumberFormat="1" applyFont="1" applyFill="1" applyAlignment="1"/>
    <xf numFmtId="0" fontId="17" fillId="7" borderId="2" xfId="0" applyFont="1" applyFill="1" applyBorder="1" applyAlignment="1">
      <alignment horizontal="left"/>
    </xf>
    <xf numFmtId="0" fontId="17" fillId="7" borderId="11" xfId="0" applyFont="1" applyFill="1" applyBorder="1" applyAlignment="1">
      <alignment horizontal="left"/>
    </xf>
    <xf numFmtId="0" fontId="17" fillId="7" borderId="11" xfId="0" applyFont="1" applyFill="1" applyBorder="1"/>
    <xf numFmtId="165" fontId="17" fillId="7" borderId="11" xfId="0" applyNumberFormat="1" applyFont="1" applyFill="1" applyBorder="1"/>
    <xf numFmtId="43" fontId="17" fillId="7" borderId="11" xfId="0" applyNumberFormat="1" applyFont="1" applyFill="1" applyBorder="1"/>
    <xf numFmtId="0" fontId="0" fillId="7" borderId="11" xfId="0" applyFill="1" applyBorder="1"/>
    <xf numFmtId="0" fontId="0" fillId="7" borderId="12" xfId="0" applyFill="1" applyBorder="1" applyAlignment="1">
      <alignment horizontal="right"/>
    </xf>
    <xf numFmtId="0" fontId="17" fillId="0" borderId="0" xfId="0" applyFont="1" applyFill="1" applyAlignment="1">
      <alignment horizontal="left" indent="1"/>
    </xf>
    <xf numFmtId="0" fontId="0" fillId="0" borderId="0" xfId="0" applyFont="1" applyAlignment="1">
      <alignment horizontal="left" indent="2"/>
    </xf>
    <xf numFmtId="0" fontId="0" fillId="0" borderId="0" xfId="0" applyFont="1" applyBorder="1" applyAlignment="1">
      <alignment horizontal="left" indent="2"/>
    </xf>
    <xf numFmtId="0" fontId="63" fillId="0" borderId="0" xfId="0" applyFont="1" applyAlignment="1">
      <alignment horizontal="left" indent="2"/>
    </xf>
    <xf numFmtId="0" fontId="17" fillId="0" borderId="0" xfId="0" applyFont="1" applyAlignment="1">
      <alignment horizontal="left" indent="2"/>
    </xf>
    <xf numFmtId="0" fontId="36" fillId="0" borderId="0" xfId="0" applyFont="1" applyAlignment="1">
      <alignment horizontal="left" indent="2"/>
    </xf>
    <xf numFmtId="0" fontId="0" fillId="0" borderId="0" xfId="0" applyFont="1" applyAlignment="1">
      <alignment horizontal="left" indent="3"/>
    </xf>
    <xf numFmtId="0" fontId="36" fillId="0" borderId="0" xfId="0" applyFont="1" applyFill="1" applyAlignment="1">
      <alignment horizontal="left" indent="1"/>
    </xf>
    <xf numFmtId="4" fontId="36" fillId="0" borderId="0" xfId="0" applyNumberFormat="1" applyFont="1"/>
    <xf numFmtId="0" fontId="22" fillId="0" borderId="0" xfId="0" applyFont="1" applyFill="1" applyAlignment="1">
      <alignment horizontal="left" indent="1"/>
    </xf>
    <xf numFmtId="0" fontId="22" fillId="0" borderId="0" xfId="0" applyFont="1" applyFill="1"/>
    <xf numFmtId="174" fontId="22" fillId="0" borderId="0" xfId="0" applyNumberFormat="1" applyFont="1" applyFill="1"/>
    <xf numFmtId="4" fontId="0" fillId="0" borderId="0" xfId="0" applyNumberFormat="1" applyFont="1" applyAlignment="1">
      <alignment horizontal="right"/>
    </xf>
    <xf numFmtId="4" fontId="20" fillId="0" borderId="0" xfId="1" applyNumberFormat="1" applyFont="1" applyAlignment="1">
      <alignment horizontal="right"/>
    </xf>
    <xf numFmtId="4" fontId="63" fillId="0" borderId="0" xfId="0" applyNumberFormat="1" applyFont="1" applyAlignment="1">
      <alignment horizontal="right"/>
    </xf>
    <xf numFmtId="3" fontId="36" fillId="0" borderId="0" xfId="0" applyNumberFormat="1" applyFont="1"/>
    <xf numFmtId="0" fontId="63" fillId="0" borderId="0" xfId="0" applyFont="1" applyAlignment="1">
      <alignment horizontal="left" indent="3"/>
    </xf>
    <xf numFmtId="0" fontId="17" fillId="18" borderId="2" xfId="0" applyFont="1" applyFill="1" applyBorder="1"/>
    <xf numFmtId="0" fontId="0" fillId="18" borderId="11" xfId="0" applyFill="1" applyBorder="1"/>
    <xf numFmtId="3" fontId="0" fillId="18" borderId="11" xfId="0" applyNumberFormat="1" applyFill="1" applyBorder="1"/>
    <xf numFmtId="4" fontId="0" fillId="18" borderId="11" xfId="0" applyNumberFormat="1" applyFill="1" applyBorder="1"/>
    <xf numFmtId="4" fontId="0" fillId="18" borderId="12" xfId="0" applyNumberFormat="1" applyFill="1" applyBorder="1"/>
    <xf numFmtId="0" fontId="0" fillId="18" borderId="12" xfId="0" applyFill="1" applyBorder="1"/>
    <xf numFmtId="0" fontId="17" fillId="18" borderId="2" xfId="0" applyFont="1" applyFill="1" applyBorder="1" applyAlignment="1">
      <alignment horizontal="left"/>
    </xf>
    <xf numFmtId="172" fontId="16" fillId="10" borderId="13" xfId="1" applyNumberFormat="1" applyFont="1" applyFill="1" applyBorder="1" applyAlignment="1">
      <alignment horizontal="center" wrapText="1"/>
    </xf>
    <xf numFmtId="172" fontId="35" fillId="10" borderId="13" xfId="1" applyNumberFormat="1" applyFont="1" applyFill="1" applyBorder="1" applyAlignment="1">
      <alignment horizontal="center" wrapText="1"/>
    </xf>
    <xf numFmtId="172" fontId="16" fillId="8" borderId="13" xfId="1" applyNumberFormat="1" applyFont="1" applyFill="1" applyBorder="1" applyAlignment="1">
      <alignment horizontal="center" wrapText="1"/>
    </xf>
    <xf numFmtId="172" fontId="35" fillId="8" borderId="13" xfId="1" applyNumberFormat="1" applyFont="1" applyFill="1" applyBorder="1" applyAlignment="1">
      <alignment horizontal="center" wrapText="1"/>
    </xf>
    <xf numFmtId="172" fontId="16" fillId="9" borderId="13" xfId="1" applyNumberFormat="1" applyFont="1" applyFill="1" applyBorder="1" applyAlignment="1">
      <alignment horizontal="center" wrapText="1"/>
    </xf>
    <xf numFmtId="172" fontId="35" fillId="9" borderId="13" xfId="1" applyNumberFormat="1" applyFont="1" applyFill="1" applyBorder="1" applyAlignment="1">
      <alignment horizontal="center" wrapText="1"/>
    </xf>
    <xf numFmtId="0" fontId="17" fillId="11" borderId="0" xfId="0" applyFont="1" applyFill="1" applyAlignment="1">
      <alignment horizontal="left" indent="1"/>
    </xf>
    <xf numFmtId="4" fontId="0" fillId="11" borderId="0" xfId="0" applyNumberFormat="1" applyFill="1"/>
    <xf numFmtId="0" fontId="0" fillId="15" borderId="13" xfId="0" applyFont="1" applyFill="1" applyBorder="1" applyAlignment="1">
      <alignment horizontal="center" wrapText="1"/>
    </xf>
    <xf numFmtId="172" fontId="16" fillId="11" borderId="13" xfId="1" applyNumberFormat="1" applyFont="1" applyFill="1" applyBorder="1" applyAlignment="1">
      <alignment horizontal="center" wrapText="1"/>
    </xf>
    <xf numFmtId="172" fontId="20" fillId="11" borderId="13" xfId="1" applyNumberFormat="1" applyFont="1" applyFill="1" applyBorder="1" applyAlignment="1">
      <alignment horizontal="center" wrapText="1"/>
    </xf>
    <xf numFmtId="0" fontId="17" fillId="0" borderId="0" xfId="0" applyFont="1" applyBorder="1"/>
    <xf numFmtId="0" fontId="0" fillId="0" borderId="9" xfId="0" applyFont="1" applyFill="1" applyBorder="1" applyAlignment="1">
      <alignment horizontal="center"/>
    </xf>
    <xf numFmtId="0" fontId="17" fillId="0" borderId="3" xfId="0" applyFont="1" applyFill="1" applyBorder="1"/>
    <xf numFmtId="0" fontId="0" fillId="19" borderId="13" xfId="0" applyFont="1" applyFill="1" applyBorder="1" applyAlignment="1">
      <alignment horizontal="center" wrapText="1"/>
    </xf>
    <xf numFmtId="165" fontId="17" fillId="0" borderId="0" xfId="1" applyNumberFormat="1" applyFont="1" applyBorder="1"/>
    <xf numFmtId="165" fontId="17" fillId="0" borderId="8" xfId="1" applyNumberFormat="1" applyFont="1" applyBorder="1"/>
    <xf numFmtId="165" fontId="17" fillId="0" borderId="3" xfId="0" applyNumberFormat="1" applyFont="1" applyBorder="1"/>
    <xf numFmtId="165" fontId="17" fillId="0" borderId="10" xfId="0" applyNumberFormat="1" applyFont="1" applyBorder="1"/>
    <xf numFmtId="172" fontId="20" fillId="0" borderId="6" xfId="1" applyNumberFormat="1" applyFont="1" applyBorder="1"/>
    <xf numFmtId="172" fontId="20" fillId="0" borderId="8" xfId="1" applyNumberFormat="1" applyFont="1" applyBorder="1"/>
    <xf numFmtId="0" fontId="73" fillId="0" borderId="0" xfId="0" applyFont="1" applyAlignment="1">
      <alignment horizontal="center"/>
    </xf>
    <xf numFmtId="0" fontId="73" fillId="0" borderId="0" xfId="0" applyFont="1"/>
    <xf numFmtId="0" fontId="15" fillId="20" borderId="0" xfId="0" applyFont="1" applyFill="1" applyAlignment="1"/>
    <xf numFmtId="0" fontId="15" fillId="20" borderId="0" xfId="0" applyFont="1" applyFill="1" applyAlignment="1">
      <alignment horizontal="center"/>
    </xf>
    <xf numFmtId="0" fontId="30" fillId="0" borderId="0" xfId="0" applyFont="1" applyAlignment="1">
      <alignment horizontal="center" wrapText="1"/>
    </xf>
    <xf numFmtId="4" fontId="0" fillId="0" borderId="7" xfId="1" applyNumberFormat="1" applyFont="1" applyBorder="1"/>
    <xf numFmtId="4" fontId="0" fillId="0" borderId="0" xfId="1" applyNumberFormat="1" applyFont="1" applyBorder="1"/>
    <xf numFmtId="3" fontId="0" fillId="0" borderId="0" xfId="1" applyNumberFormat="1" applyFont="1" applyBorder="1"/>
    <xf numFmtId="174" fontId="63" fillId="0" borderId="8" xfId="1" applyNumberFormat="1" applyFont="1" applyBorder="1"/>
    <xf numFmtId="4" fontId="0" fillId="0" borderId="7" xfId="0" applyNumberFormat="1" applyBorder="1"/>
    <xf numFmtId="3" fontId="0" fillId="0" borderId="0" xfId="0" applyNumberFormat="1" applyBorder="1"/>
    <xf numFmtId="174" fontId="63" fillId="0" borderId="8" xfId="0" applyNumberFormat="1" applyFont="1" applyBorder="1"/>
    <xf numFmtId="174" fontId="0" fillId="0" borderId="8" xfId="0" applyNumberFormat="1" applyBorder="1"/>
    <xf numFmtId="4" fontId="0" fillId="0" borderId="7" xfId="0" applyNumberFormat="1" applyBorder="1" applyAlignment="1">
      <alignment horizontal="center"/>
    </xf>
    <xf numFmtId="4" fontId="0" fillId="0" borderId="0" xfId="0" applyNumberFormat="1" applyBorder="1" applyAlignment="1">
      <alignment horizontal="center"/>
    </xf>
    <xf numFmtId="4" fontId="0" fillId="0" borderId="9" xfId="0" applyNumberFormat="1" applyBorder="1" applyAlignment="1">
      <alignment horizontal="center"/>
    </xf>
    <xf numFmtId="4" fontId="0" fillId="0" borderId="3" xfId="0" applyNumberFormat="1" applyBorder="1" applyAlignment="1">
      <alignment horizontal="center"/>
    </xf>
    <xf numFmtId="4" fontId="0" fillId="0" borderId="3" xfId="0" applyNumberFormat="1" applyBorder="1"/>
    <xf numFmtId="3" fontId="0" fillId="0" borderId="3" xfId="0" applyNumberFormat="1" applyBorder="1"/>
    <xf numFmtId="174" fontId="63" fillId="0" borderId="10" xfId="0" applyNumberFormat="1" applyFont="1" applyBorder="1"/>
    <xf numFmtId="3" fontId="0" fillId="0" borderId="7" xfId="1" applyNumberFormat="1" applyFont="1" applyBorder="1"/>
    <xf numFmtId="3" fontId="0" fillId="0" borderId="7" xfId="0" applyNumberFormat="1" applyBorder="1" applyAlignment="1">
      <alignment horizontal="center"/>
    </xf>
    <xf numFmtId="3" fontId="0" fillId="0" borderId="0" xfId="0" applyNumberFormat="1" applyBorder="1" applyAlignment="1">
      <alignment horizontal="center"/>
    </xf>
    <xf numFmtId="3" fontId="0" fillId="0" borderId="9" xfId="0" applyNumberFormat="1" applyBorder="1" applyAlignment="1">
      <alignment horizontal="center"/>
    </xf>
    <xf numFmtId="3" fontId="0" fillId="0" borderId="3" xfId="0" applyNumberFormat="1" applyBorder="1" applyAlignment="1">
      <alignment horizontal="center"/>
    </xf>
    <xf numFmtId="0" fontId="17" fillId="0" borderId="13" xfId="0" applyFont="1" applyBorder="1"/>
    <xf numFmtId="0" fontId="0" fillId="0" borderId="14" xfId="0" applyBorder="1" applyAlignment="1">
      <alignment horizontal="left" indent="1"/>
    </xf>
    <xf numFmtId="0" fontId="17" fillId="0" borderId="14" xfId="0" applyFont="1" applyBorder="1"/>
    <xf numFmtId="0" fontId="0" fillId="0" borderId="14" xfId="0" applyBorder="1"/>
    <xf numFmtId="3" fontId="17" fillId="0" borderId="7" xfId="1" applyNumberFormat="1" applyFont="1" applyBorder="1"/>
    <xf numFmtId="3" fontId="17" fillId="0" borderId="0" xfId="1" applyNumberFormat="1" applyFont="1" applyBorder="1"/>
    <xf numFmtId="4" fontId="17" fillId="0" borderId="0" xfId="0" applyNumberFormat="1" applyFont="1" applyBorder="1"/>
    <xf numFmtId="4" fontId="17" fillId="0" borderId="0" xfId="1" applyNumberFormat="1" applyFont="1" applyBorder="1"/>
    <xf numFmtId="174" fontId="36" fillId="0" borderId="8" xfId="1" applyNumberFormat="1" applyFont="1" applyBorder="1"/>
    <xf numFmtId="4" fontId="17" fillId="0" borderId="7" xfId="1" applyNumberFormat="1" applyFont="1" applyBorder="1"/>
    <xf numFmtId="171" fontId="20" fillId="0" borderId="8" xfId="2" applyNumberFormat="1" applyFont="1" applyBorder="1"/>
    <xf numFmtId="171" fontId="17" fillId="0" borderId="8" xfId="2" applyNumberFormat="1" applyFont="1" applyBorder="1"/>
    <xf numFmtId="174" fontId="63" fillId="0" borderId="0" xfId="1" applyNumberFormat="1" applyFont="1" applyBorder="1"/>
    <xf numFmtId="174" fontId="36" fillId="0" borderId="0" xfId="1" applyNumberFormat="1" applyFont="1" applyBorder="1"/>
    <xf numFmtId="174" fontId="63" fillId="0" borderId="0" xfId="0" applyNumberFormat="1" applyFont="1" applyBorder="1"/>
    <xf numFmtId="174" fontId="0" fillId="0" borderId="0" xfId="0" applyNumberFormat="1" applyBorder="1"/>
    <xf numFmtId="171" fontId="17" fillId="0" borderId="0" xfId="2" applyNumberFormat="1" applyFont="1" applyBorder="1"/>
    <xf numFmtId="171" fontId="0" fillId="0" borderId="0" xfId="2" applyNumberFormat="1" applyFont="1" applyBorder="1"/>
    <xf numFmtId="171" fontId="20" fillId="0" borderId="7" xfId="2" applyNumberFormat="1" applyFont="1" applyBorder="1"/>
    <xf numFmtId="171" fontId="17" fillId="0" borderId="7" xfId="2" applyNumberFormat="1" applyFont="1" applyBorder="1"/>
    <xf numFmtId="171" fontId="20" fillId="0" borderId="7" xfId="2" applyNumberFormat="1" applyFont="1" applyFill="1" applyBorder="1"/>
    <xf numFmtId="171" fontId="20" fillId="0" borderId="9" xfId="2" applyNumberFormat="1" applyFont="1" applyFill="1" applyBorder="1"/>
    <xf numFmtId="3" fontId="63" fillId="0" borderId="8" xfId="1" applyNumberFormat="1" applyFont="1" applyBorder="1"/>
    <xf numFmtId="3" fontId="36" fillId="0" borderId="8" xfId="1" applyNumberFormat="1" applyFont="1" applyBorder="1"/>
    <xf numFmtId="3" fontId="0" fillId="0" borderId="8" xfId="0" applyNumberFormat="1" applyBorder="1"/>
    <xf numFmtId="3" fontId="63" fillId="0" borderId="10" xfId="1" applyNumberFormat="1" applyFont="1" applyBorder="1"/>
    <xf numFmtId="3" fontId="63" fillId="0" borderId="8" xfId="0" applyNumberFormat="1" applyFont="1" applyBorder="1"/>
    <xf numFmtId="3" fontId="63" fillId="0" borderId="10" xfId="0" applyNumberFormat="1" applyFont="1" applyBorder="1"/>
    <xf numFmtId="3" fontId="63" fillId="0" borderId="0" xfId="1" applyNumberFormat="1" applyFont="1" applyBorder="1"/>
    <xf numFmtId="3" fontId="63" fillId="0" borderId="0" xfId="0" applyNumberFormat="1" applyFont="1" applyBorder="1"/>
    <xf numFmtId="0" fontId="21" fillId="0" borderId="0" xfId="0" applyFont="1" applyAlignment="1">
      <alignment horizontal="left"/>
    </xf>
    <xf numFmtId="0" fontId="21" fillId="0" borderId="0" xfId="0" applyFont="1" applyAlignment="1">
      <alignment horizontal="left" indent="1"/>
    </xf>
    <xf numFmtId="0" fontId="15" fillId="0" borderId="2" xfId="0" applyFont="1" applyBorder="1" applyAlignment="1"/>
    <xf numFmtId="0" fontId="64" fillId="0" borderId="4" xfId="0" applyFont="1" applyBorder="1" applyAlignment="1">
      <alignment horizontal="center"/>
    </xf>
    <xf numFmtId="0" fontId="64" fillId="0" borderId="7" xfId="0" applyFont="1" applyBorder="1" applyAlignment="1">
      <alignment horizontal="center"/>
    </xf>
    <xf numFmtId="0" fontId="64" fillId="0" borderId="9" xfId="0" applyFont="1" applyBorder="1" applyAlignment="1">
      <alignment horizontal="center"/>
    </xf>
    <xf numFmtId="171" fontId="35" fillId="17" borderId="27" xfId="2" applyNumberFormat="1" applyFont="1" applyFill="1" applyBorder="1" applyAlignment="1">
      <alignment horizontal="right"/>
    </xf>
    <xf numFmtId="0" fontId="64" fillId="0" borderId="2" xfId="0" applyFont="1" applyBorder="1" applyAlignment="1">
      <alignment horizontal="center"/>
    </xf>
    <xf numFmtId="0" fontId="0" fillId="22" borderId="12" xfId="0" applyFill="1" applyBorder="1"/>
    <xf numFmtId="0" fontId="31" fillId="22" borderId="2" xfId="0" applyFont="1" applyFill="1" applyBorder="1" applyAlignment="1">
      <alignment horizontal="left"/>
    </xf>
    <xf numFmtId="0" fontId="17" fillId="22" borderId="11" xfId="0" applyFont="1" applyFill="1" applyBorder="1" applyAlignment="1">
      <alignment horizontal="right"/>
    </xf>
    <xf numFmtId="0" fontId="30" fillId="16" borderId="11" xfId="0" applyFont="1" applyFill="1" applyBorder="1" applyAlignment="1">
      <alignment horizontal="center"/>
    </xf>
    <xf numFmtId="0" fontId="31" fillId="16" borderId="2" xfId="0" applyFont="1" applyFill="1" applyBorder="1" applyAlignment="1">
      <alignment horizontal="left"/>
    </xf>
    <xf numFmtId="0" fontId="0" fillId="0" borderId="15" xfId="0" applyBorder="1" applyAlignment="1">
      <alignment horizontal="left" indent="1"/>
    </xf>
    <xf numFmtId="0" fontId="0" fillId="24" borderId="1" xfId="0" applyFill="1" applyBorder="1" applyAlignment="1">
      <alignment horizontal="center" wrapText="1"/>
    </xf>
    <xf numFmtId="0" fontId="0" fillId="24" borderId="13" xfId="0" applyFill="1" applyBorder="1" applyAlignment="1">
      <alignment horizontal="center" wrapText="1"/>
    </xf>
    <xf numFmtId="0" fontId="0" fillId="2" borderId="1" xfId="0" applyFill="1" applyBorder="1" applyAlignment="1">
      <alignment horizontal="center" wrapText="1"/>
    </xf>
    <xf numFmtId="0" fontId="0" fillId="25" borderId="1" xfId="0" applyFill="1" applyBorder="1" applyAlignment="1">
      <alignment horizontal="center" wrapText="1"/>
    </xf>
    <xf numFmtId="0" fontId="0" fillId="25" borderId="13" xfId="0" applyFill="1" applyBorder="1" applyAlignment="1">
      <alignment horizontal="center" wrapText="1"/>
    </xf>
    <xf numFmtId="165" fontId="35" fillId="16" borderId="5" xfId="1" applyNumberFormat="1" applyFont="1" applyFill="1" applyBorder="1" applyAlignment="1">
      <alignment horizontal="right"/>
    </xf>
    <xf numFmtId="172" fontId="35" fillId="16" borderId="5" xfId="1" applyNumberFormat="1" applyFont="1" applyFill="1" applyBorder="1" applyAlignment="1">
      <alignment horizontal="right"/>
    </xf>
    <xf numFmtId="169" fontId="15" fillId="16" borderId="5" xfId="0" applyNumberFormat="1" applyFont="1" applyFill="1" applyBorder="1" applyAlignment="1">
      <alignment horizontal="right"/>
    </xf>
    <xf numFmtId="169" fontId="15" fillId="16" borderId="6" xfId="0" applyNumberFormat="1" applyFont="1" applyFill="1" applyBorder="1" applyAlignment="1">
      <alignment horizontal="right"/>
    </xf>
    <xf numFmtId="165" fontId="35" fillId="16" borderId="0" xfId="1" applyNumberFormat="1" applyFont="1" applyFill="1" applyBorder="1" applyAlignment="1">
      <alignment horizontal="right"/>
    </xf>
    <xf numFmtId="172" fontId="15" fillId="16" borderId="0" xfId="1" applyNumberFormat="1" applyFont="1" applyFill="1" applyBorder="1" applyAlignment="1">
      <alignment horizontal="right"/>
    </xf>
    <xf numFmtId="169" fontId="35" fillId="16" borderId="0" xfId="0" applyNumberFormat="1" applyFont="1" applyFill="1" applyBorder="1" applyAlignment="1">
      <alignment horizontal="right"/>
    </xf>
    <xf numFmtId="169" fontId="14" fillId="16" borderId="8" xfId="0" applyNumberFormat="1" applyFont="1" applyFill="1" applyBorder="1" applyAlignment="1">
      <alignment horizontal="right"/>
    </xf>
    <xf numFmtId="0" fontId="0" fillId="65" borderId="1" xfId="0" applyFill="1" applyBorder="1" applyAlignment="1">
      <alignment horizontal="center" wrapText="1"/>
    </xf>
    <xf numFmtId="0" fontId="30" fillId="12" borderId="11" xfId="0" applyFont="1" applyFill="1" applyBorder="1" applyAlignment="1">
      <alignment horizontal="center"/>
    </xf>
    <xf numFmtId="0" fontId="22" fillId="16" borderId="12" xfId="0" applyFont="1" applyFill="1" applyBorder="1" applyAlignment="1">
      <alignment horizontal="right"/>
    </xf>
    <xf numFmtId="0" fontId="0" fillId="65" borderId="1" xfId="0" applyFill="1" applyBorder="1" applyAlignment="1">
      <alignment horizontal="center" wrapText="1"/>
    </xf>
    <xf numFmtId="0" fontId="0" fillId="64" borderId="1" xfId="0" applyFill="1" applyBorder="1" applyAlignment="1">
      <alignment horizontal="center" wrapText="1"/>
    </xf>
    <xf numFmtId="0" fontId="0" fillId="63" borderId="1" xfId="0" applyFill="1" applyBorder="1" applyAlignment="1">
      <alignment horizontal="center" wrapText="1"/>
    </xf>
    <xf numFmtId="0" fontId="17" fillId="7" borderId="1" xfId="0" applyFont="1" applyFill="1" applyBorder="1" applyAlignment="1">
      <alignment horizontal="center"/>
    </xf>
    <xf numFmtId="0" fontId="41" fillId="11" borderId="1" xfId="0" applyFont="1" applyFill="1" applyBorder="1" applyAlignment="1">
      <alignment horizontal="center" wrapText="1"/>
    </xf>
    <xf numFmtId="0" fontId="31" fillId="0" borderId="0" xfId="0" applyFont="1" applyAlignment="1">
      <alignment horizontal="left"/>
    </xf>
    <xf numFmtId="0" fontId="21" fillId="0" borderId="0" xfId="0" applyFont="1" applyBorder="1" applyAlignment="1">
      <alignment horizontal="left" indent="1"/>
    </xf>
    <xf numFmtId="0" fontId="0" fillId="0" borderId="0" xfId="0" applyFill="1" applyBorder="1" applyAlignment="1">
      <alignment horizontal="left" indent="1"/>
    </xf>
    <xf numFmtId="3" fontId="0" fillId="0" borderId="9" xfId="0" applyNumberFormat="1" applyBorder="1"/>
    <xf numFmtId="4" fontId="0" fillId="0" borderId="9" xfId="0" applyNumberFormat="1" applyBorder="1"/>
    <xf numFmtId="169" fontId="63" fillId="0" borderId="8" xfId="0" applyNumberFormat="1" applyFont="1" applyBorder="1"/>
    <xf numFmtId="0" fontId="12" fillId="0" borderId="0" xfId="0" applyFont="1" applyAlignment="1"/>
    <xf numFmtId="0" fontId="41" fillId="0" borderId="0" xfId="0" applyFont="1" applyAlignment="1">
      <alignment horizontal="left" indent="1"/>
    </xf>
    <xf numFmtId="0" fontId="41" fillId="0" borderId="0" xfId="0" applyFont="1" applyAlignment="1">
      <alignment horizontal="left"/>
    </xf>
    <xf numFmtId="0" fontId="41" fillId="0" borderId="0" xfId="0" applyFont="1" applyAlignment="1">
      <alignment horizontal="left" indent="2"/>
    </xf>
    <xf numFmtId="0" fontId="12" fillId="17" borderId="0" xfId="0" applyFont="1" applyFill="1" applyBorder="1" applyAlignment="1">
      <alignment horizontal="right"/>
    </xf>
    <xf numFmtId="0" fontId="40" fillId="16" borderId="2" xfId="0" applyFont="1" applyFill="1" applyBorder="1"/>
    <xf numFmtId="0" fontId="40" fillId="16" borderId="12" xfId="0" applyFont="1" applyFill="1" applyBorder="1"/>
    <xf numFmtId="0" fontId="40" fillId="0" borderId="0" xfId="0" applyFont="1" applyAlignment="1">
      <alignment horizontal="center"/>
    </xf>
    <xf numFmtId="3" fontId="40" fillId="0" borderId="0" xfId="1" applyNumberFormat="1" applyFont="1"/>
    <xf numFmtId="0" fontId="40" fillId="0" borderId="0" xfId="0" applyFont="1"/>
    <xf numFmtId="0" fontId="41" fillId="0" borderId="0" xfId="0" applyFont="1"/>
    <xf numFmtId="1" fontId="41" fillId="0" borderId="0" xfId="0" applyNumberFormat="1" applyFont="1" applyFill="1" applyBorder="1" applyAlignment="1">
      <alignment horizontal="center"/>
    </xf>
    <xf numFmtId="0" fontId="41" fillId="0" borderId="0" xfId="0" applyFont="1" applyFill="1" applyBorder="1" applyAlignment="1">
      <alignment horizontal="center" wrapText="1"/>
    </xf>
    <xf numFmtId="0" fontId="41" fillId="0" borderId="0" xfId="0" applyFont="1" applyFill="1" applyAlignment="1">
      <alignment horizontal="center"/>
    </xf>
    <xf numFmtId="0" fontId="41" fillId="0" borderId="0" xfId="0" applyFont="1" applyAlignment="1">
      <alignment horizontal="center"/>
    </xf>
    <xf numFmtId="0" fontId="12" fillId="0" borderId="0" xfId="0" applyFont="1" applyAlignment="1">
      <alignment horizontal="left"/>
    </xf>
    <xf numFmtId="0" fontId="12" fillId="0" borderId="0" xfId="0" applyFont="1"/>
    <xf numFmtId="0" fontId="12" fillId="0" borderId="0" xfId="0" applyFont="1" applyFill="1" applyBorder="1" applyAlignment="1"/>
    <xf numFmtId="0" fontId="12" fillId="0" borderId="0" xfId="0" applyFont="1" applyFill="1" applyAlignment="1">
      <alignment horizontal="left"/>
    </xf>
    <xf numFmtId="17" fontId="12" fillId="0" borderId="0" xfId="0" applyNumberFormat="1" applyFont="1"/>
    <xf numFmtId="0" fontId="67" fillId="0" borderId="0" xfId="0" applyFont="1" applyAlignment="1">
      <alignment horizontal="center"/>
    </xf>
    <xf numFmtId="0" fontId="44" fillId="16" borderId="12" xfId="0" applyFont="1" applyFill="1" applyBorder="1"/>
    <xf numFmtId="0" fontId="17" fillId="22" borderId="1" xfId="0" applyFont="1" applyFill="1" applyBorder="1"/>
    <xf numFmtId="0" fontId="17" fillId="22" borderId="12" xfId="0" applyFont="1" applyFill="1" applyBorder="1"/>
    <xf numFmtId="0" fontId="17" fillId="22" borderId="1" xfId="0" applyFont="1" applyFill="1" applyBorder="1" applyAlignment="1">
      <alignment horizontal="left"/>
    </xf>
    <xf numFmtId="0" fontId="0" fillId="0" borderId="0" xfId="0" applyFill="1" applyBorder="1" applyAlignment="1">
      <alignment horizontal="left"/>
    </xf>
    <xf numFmtId="1" fontId="67" fillId="0" borderId="4" xfId="0" applyNumberFormat="1" applyFont="1" applyBorder="1" applyAlignment="1">
      <alignment horizontal="center"/>
    </xf>
    <xf numFmtId="1" fontId="67" fillId="0" borderId="7" xfId="0" applyNumberFormat="1" applyFont="1" applyBorder="1" applyAlignment="1">
      <alignment horizontal="center"/>
    </xf>
    <xf numFmtId="1" fontId="67" fillId="0" borderId="0" xfId="0" applyNumberFormat="1" applyFont="1" applyBorder="1" applyAlignment="1">
      <alignment horizontal="center"/>
    </xf>
    <xf numFmtId="0" fontId="31" fillId="15" borderId="2" xfId="0" applyFont="1" applyFill="1" applyBorder="1"/>
    <xf numFmtId="0" fontId="31" fillId="0" borderId="0" xfId="0" applyFont="1" applyFill="1" applyBorder="1" applyAlignment="1">
      <alignment horizontal="center" wrapText="1"/>
    </xf>
    <xf numFmtId="9" fontId="0" fillId="0" borderId="0" xfId="0" applyNumberFormat="1" applyFont="1" applyBorder="1"/>
    <xf numFmtId="9" fontId="0" fillId="0" borderId="5" xfId="0" applyNumberFormat="1" applyFont="1" applyBorder="1"/>
    <xf numFmtId="9" fontId="0" fillId="0" borderId="6" xfId="0" applyNumberFormat="1" applyFont="1" applyBorder="1"/>
    <xf numFmtId="9" fontId="0" fillId="0" borderId="8" xfId="0" applyNumberFormat="1" applyFont="1" applyBorder="1"/>
    <xf numFmtId="9" fontId="0" fillId="0" borderId="3" xfId="0" applyNumberFormat="1" applyFont="1" applyBorder="1"/>
    <xf numFmtId="9" fontId="0" fillId="0" borderId="10" xfId="0" applyNumberFormat="1" applyFont="1" applyBorder="1"/>
    <xf numFmtId="9" fontId="0" fillId="12" borderId="0" xfId="0" applyNumberFormat="1" applyFont="1" applyFill="1" applyBorder="1"/>
    <xf numFmtId="9" fontId="0" fillId="12" borderId="8" xfId="0" applyNumberFormat="1" applyFont="1" applyFill="1" applyBorder="1"/>
    <xf numFmtId="9" fontId="0" fillId="2" borderId="0" xfId="0" applyNumberFormat="1" applyFont="1" applyFill="1" applyBorder="1"/>
    <xf numFmtId="9" fontId="0" fillId="2" borderId="8" xfId="0" applyNumberFormat="1" applyFont="1" applyFill="1" applyBorder="1"/>
    <xf numFmtId="172" fontId="29" fillId="0" borderId="0" xfId="1" applyNumberFormat="1" applyFont="1" applyFill="1" applyAlignment="1">
      <alignment horizontal="right"/>
    </xf>
    <xf numFmtId="173" fontId="30" fillId="0" borderId="0" xfId="1" applyNumberFormat="1" applyFont="1" applyFill="1" applyAlignment="1">
      <alignment horizontal="center"/>
    </xf>
    <xf numFmtId="173" fontId="31" fillId="0" borderId="0" xfId="1" applyNumberFormat="1" applyFont="1" applyFill="1" applyBorder="1" applyAlignment="1">
      <alignment horizontal="center"/>
    </xf>
    <xf numFmtId="0" fontId="0" fillId="0" borderId="0" xfId="0" applyFont="1" applyFill="1" applyBorder="1" applyAlignment="1">
      <alignment horizontal="center" wrapText="1"/>
    </xf>
    <xf numFmtId="9" fontId="0" fillId="0" borderId="0" xfId="0" applyNumberFormat="1" applyFont="1" applyFill="1" applyBorder="1"/>
    <xf numFmtId="172" fontId="0" fillId="58" borderId="13" xfId="1" applyNumberFormat="1" applyFont="1" applyFill="1" applyBorder="1" applyAlignment="1">
      <alignment horizontal="center" wrapText="1"/>
    </xf>
    <xf numFmtId="172" fontId="0" fillId="11" borderId="13" xfId="1" applyNumberFormat="1" applyFont="1" applyFill="1" applyBorder="1" applyAlignment="1">
      <alignment horizontal="center" wrapText="1"/>
    </xf>
    <xf numFmtId="9" fontId="21" fillId="0" borderId="4" xfId="1" applyNumberFormat="1" applyFont="1" applyFill="1" applyBorder="1"/>
    <xf numFmtId="9" fontId="21" fillId="0" borderId="5" xfId="1" applyNumberFormat="1" applyFont="1" applyFill="1" applyBorder="1"/>
    <xf numFmtId="9" fontId="21" fillId="0" borderId="7" xfId="1" applyNumberFormat="1" applyFont="1" applyFill="1" applyBorder="1"/>
    <xf numFmtId="9" fontId="21" fillId="0" borderId="0" xfId="1" applyNumberFormat="1" applyFont="1" applyFill="1" applyBorder="1"/>
    <xf numFmtId="9" fontId="21" fillId="12" borderId="7" xfId="1" applyNumberFormat="1" applyFont="1" applyFill="1" applyBorder="1"/>
    <xf numFmtId="9" fontId="21" fillId="12" borderId="0" xfId="1" applyNumberFormat="1" applyFont="1" applyFill="1" applyBorder="1"/>
    <xf numFmtId="9" fontId="21" fillId="2" borderId="7" xfId="1" applyNumberFormat="1" applyFont="1" applyFill="1" applyBorder="1"/>
    <xf numFmtId="9" fontId="21" fillId="2" borderId="0" xfId="1" applyNumberFormat="1" applyFont="1" applyFill="1" applyBorder="1"/>
    <xf numFmtId="9" fontId="21" fillId="0" borderId="9" xfId="1" applyNumberFormat="1" applyFont="1" applyFill="1" applyBorder="1"/>
    <xf numFmtId="9" fontId="21" fillId="0" borderId="3" xfId="1" applyNumberFormat="1" applyFont="1" applyFill="1" applyBorder="1"/>
    <xf numFmtId="171" fontId="0" fillId="0" borderId="0" xfId="2" applyNumberFormat="1" applyFont="1" applyFill="1" applyBorder="1"/>
    <xf numFmtId="172" fontId="0" fillId="58" borderId="1" xfId="1" applyNumberFormat="1" applyFont="1" applyFill="1" applyBorder="1" applyAlignment="1">
      <alignment horizontal="center" wrapText="1"/>
    </xf>
    <xf numFmtId="172" fontId="0" fillId="11" borderId="1" xfId="1" applyNumberFormat="1" applyFont="1" applyFill="1" applyBorder="1" applyAlignment="1">
      <alignment horizontal="center" wrapText="1"/>
    </xf>
    <xf numFmtId="9" fontId="21" fillId="12" borderId="4" xfId="1" applyNumberFormat="1" applyFont="1" applyFill="1" applyBorder="1"/>
    <xf numFmtId="9" fontId="21" fillId="60" borderId="7" xfId="1" applyNumberFormat="1" applyFont="1" applyFill="1" applyBorder="1"/>
    <xf numFmtId="9" fontId="21" fillId="12" borderId="9" xfId="1" applyNumberFormat="1" applyFont="1" applyFill="1" applyBorder="1"/>
    <xf numFmtId="0" fontId="74" fillId="0" borderId="0" xfId="0" applyFont="1" applyFill="1" applyBorder="1" applyAlignment="1"/>
    <xf numFmtId="0" fontId="74" fillId="0" borderId="0" xfId="0" applyFont="1" applyFill="1" applyBorder="1" applyAlignment="1">
      <alignment horizontal="left" indent="1"/>
    </xf>
    <xf numFmtId="0" fontId="74" fillId="0" borderId="0" xfId="0" applyFont="1" applyFill="1" applyBorder="1" applyAlignment="1">
      <alignment horizontal="left" indent="2"/>
    </xf>
    <xf numFmtId="0" fontId="74" fillId="0" borderId="0" xfId="0" applyFont="1" applyFill="1" applyBorder="1" applyAlignment="1">
      <alignment horizontal="left" indent="4"/>
    </xf>
    <xf numFmtId="0" fontId="74" fillId="5" borderId="0" xfId="0" applyFont="1" applyFill="1" applyBorder="1" applyAlignment="1">
      <alignment horizontal="left" indent="2"/>
    </xf>
    <xf numFmtId="0" fontId="74" fillId="60" borderId="0" xfId="0" applyFont="1" applyFill="1" applyBorder="1" applyAlignment="1">
      <alignment horizontal="left" indent="2"/>
    </xf>
    <xf numFmtId="0" fontId="74" fillId="59" borderId="0" xfId="0" applyFont="1" applyFill="1" applyBorder="1" applyAlignment="1">
      <alignment horizontal="left" indent="2"/>
    </xf>
    <xf numFmtId="0" fontId="74" fillId="62" borderId="0" xfId="0" applyFont="1" applyFill="1" applyBorder="1" applyAlignment="1">
      <alignment horizontal="left" indent="2"/>
    </xf>
    <xf numFmtId="165" fontId="17" fillId="18" borderId="0" xfId="0" applyNumberFormat="1" applyFont="1" applyFill="1"/>
    <xf numFmtId="43" fontId="17" fillId="18" borderId="0" xfId="1" applyFont="1" applyFill="1"/>
    <xf numFmtId="0" fontId="0" fillId="11" borderId="0" xfId="0" applyFill="1" applyAlignment="1">
      <alignment horizontal="left"/>
    </xf>
    <xf numFmtId="169" fontId="38" fillId="11" borderId="0" xfId="0" applyNumberFormat="1" applyFont="1" applyFill="1" applyAlignment="1">
      <alignment horizontal="left"/>
    </xf>
    <xf numFmtId="0" fontId="36" fillId="11" borderId="0" xfId="0" applyFont="1" applyFill="1" applyAlignment="1">
      <alignment horizontal="left"/>
    </xf>
    <xf numFmtId="0" fontId="36" fillId="0" borderId="0" xfId="0" applyFont="1" applyAlignment="1">
      <alignment horizontal="left"/>
    </xf>
    <xf numFmtId="169" fontId="39" fillId="11" borderId="0" xfId="0" applyNumberFormat="1" applyFont="1" applyFill="1" applyBorder="1" applyAlignment="1">
      <alignment horizontal="left"/>
    </xf>
    <xf numFmtId="169" fontId="37" fillId="11" borderId="0" xfId="0" applyNumberFormat="1" applyFont="1" applyFill="1" applyAlignment="1">
      <alignment horizontal="left"/>
    </xf>
    <xf numFmtId="4" fontId="17" fillId="0" borderId="0" xfId="1" applyNumberFormat="1" applyFont="1" applyAlignment="1">
      <alignment horizontal="right"/>
    </xf>
    <xf numFmtId="0" fontId="17" fillId="22" borderId="1" xfId="0" applyFont="1" applyFill="1" applyBorder="1" applyAlignment="1">
      <alignment horizontal="center"/>
    </xf>
    <xf numFmtId="0" fontId="17" fillId="0" borderId="0" xfId="0" applyFont="1" applyFill="1" applyAlignment="1">
      <alignment horizontal="left" indent="2"/>
    </xf>
    <xf numFmtId="0" fontId="0" fillId="0" borderId="0" xfId="0" applyFont="1" applyAlignment="1">
      <alignment horizontal="left" indent="4"/>
    </xf>
    <xf numFmtId="171" fontId="20" fillId="0" borderId="3" xfId="2" applyNumberFormat="1" applyFont="1" applyFill="1" applyBorder="1"/>
    <xf numFmtId="3" fontId="36" fillId="0" borderId="0" xfId="1" applyNumberFormat="1" applyFont="1" applyBorder="1"/>
    <xf numFmtId="3" fontId="63" fillId="0" borderId="3" xfId="1" applyNumberFormat="1" applyFont="1" applyBorder="1"/>
    <xf numFmtId="174" fontId="63" fillId="0" borderId="3" xfId="1" applyNumberFormat="1" applyFont="1" applyBorder="1"/>
    <xf numFmtId="0" fontId="17" fillId="16" borderId="2" xfId="5" applyFont="1" applyFill="1" applyBorder="1"/>
    <xf numFmtId="0" fontId="20" fillId="16" borderId="12" xfId="5" applyFont="1" applyFill="1" applyBorder="1"/>
    <xf numFmtId="0" fontId="20" fillId="0" borderId="0" xfId="5" applyFont="1" applyBorder="1"/>
    <xf numFmtId="0" fontId="20" fillId="0" borderId="0" xfId="5" applyFont="1" applyBorder="1" applyAlignment="1">
      <alignment horizontal="center"/>
    </xf>
    <xf numFmtId="0" fontId="20" fillId="0" borderId="0" xfId="5" applyFont="1" applyBorder="1" applyAlignment="1">
      <alignment horizontal="left"/>
    </xf>
    <xf numFmtId="0" fontId="20" fillId="0" borderId="0" xfId="5" applyFont="1" applyBorder="1" applyAlignment="1">
      <alignment horizontal="left" indent="1"/>
    </xf>
    <xf numFmtId="0" fontId="20" fillId="0" borderId="0" xfId="5" applyFont="1" applyBorder="1" applyAlignment="1">
      <alignment wrapText="1"/>
    </xf>
    <xf numFmtId="0" fontId="17" fillId="0" borderId="0" xfId="5" applyFont="1" applyBorder="1" applyAlignment="1">
      <alignment wrapText="1"/>
    </xf>
    <xf numFmtId="0" fontId="20" fillId="0" borderId="0" xfId="5" applyFont="1" applyBorder="1" applyAlignment="1">
      <alignment horizontal="center" wrapText="1"/>
    </xf>
    <xf numFmtId="0" fontId="20" fillId="0" borderId="0" xfId="5" applyFont="1" applyBorder="1" applyAlignment="1">
      <alignment horizontal="left" wrapText="1"/>
    </xf>
    <xf numFmtId="49" fontId="21" fillId="0" borderId="0" xfId="5" applyNumberFormat="1" applyFont="1" applyFill="1" applyBorder="1" applyAlignment="1">
      <alignment horizontal="left" vertical="center" indent="2"/>
    </xf>
    <xf numFmtId="0" fontId="20" fillId="0" borderId="0" xfId="5" applyFont="1" applyFill="1" applyBorder="1"/>
    <xf numFmtId="0" fontId="20" fillId="0" borderId="0" xfId="5" applyFont="1" applyFill="1" applyBorder="1" applyAlignment="1">
      <alignment horizontal="center"/>
    </xf>
    <xf numFmtId="176" fontId="21" fillId="0" borderId="0" xfId="5" applyNumberFormat="1" applyFont="1" applyFill="1" applyBorder="1" applyAlignment="1">
      <alignment horizontal="left" vertical="center"/>
    </xf>
    <xf numFmtId="0" fontId="20" fillId="0" borderId="0" xfId="5" applyFont="1" applyFill="1" applyBorder="1" applyAlignment="1">
      <alignment horizontal="left"/>
    </xf>
    <xf numFmtId="165" fontId="21" fillId="0" borderId="0" xfId="1" applyNumberFormat="1" applyFont="1" applyFill="1" applyBorder="1" applyAlignment="1">
      <alignment horizontal="right" vertical="center"/>
    </xf>
    <xf numFmtId="174" fontId="21" fillId="0" borderId="0" xfId="5" applyNumberFormat="1" applyFont="1" applyFill="1" applyBorder="1" applyAlignment="1">
      <alignment horizontal="right" vertical="center"/>
    </xf>
    <xf numFmtId="172" fontId="21" fillId="0" borderId="0" xfId="1" applyNumberFormat="1" applyFont="1" applyFill="1" applyBorder="1" applyAlignment="1">
      <alignment horizontal="right" vertical="center"/>
    </xf>
    <xf numFmtId="177" fontId="21" fillId="0" borderId="0" xfId="5" applyNumberFormat="1" applyFont="1" applyFill="1" applyBorder="1" applyAlignment="1">
      <alignment horizontal="center" vertical="center"/>
    </xf>
    <xf numFmtId="176" fontId="21" fillId="0" borderId="0" xfId="5" applyNumberFormat="1" applyFont="1" applyFill="1" applyBorder="1" applyAlignment="1">
      <alignment horizontal="center" vertical="center"/>
    </xf>
    <xf numFmtId="0" fontId="21" fillId="0" borderId="0" xfId="5" applyFont="1" applyFill="1" applyBorder="1" applyAlignment="1">
      <alignment vertical="center"/>
    </xf>
    <xf numFmtId="0" fontId="17" fillId="0" borderId="0" xfId="5" applyFont="1" applyFill="1" applyBorder="1" applyAlignment="1">
      <alignment horizontal="left"/>
    </xf>
    <xf numFmtId="165" fontId="20" fillId="0" borderId="0" xfId="1" applyNumberFormat="1" applyFont="1" applyFill="1" applyBorder="1" applyAlignment="1">
      <alignment horizontal="right"/>
    </xf>
    <xf numFmtId="0" fontId="17" fillId="0" borderId="0" xfId="5" applyFont="1" applyFill="1" applyBorder="1" applyAlignment="1">
      <alignment horizontal="left" indent="1"/>
    </xf>
    <xf numFmtId="0" fontId="20" fillId="0" borderId="0" xfId="5" applyFont="1" applyFill="1" applyBorder="1" applyAlignment="1">
      <alignment horizontal="left" indent="2"/>
    </xf>
    <xf numFmtId="0" fontId="20" fillId="57" borderId="0" xfId="5" applyFont="1" applyFill="1" applyBorder="1" applyAlignment="1">
      <alignment horizontal="left" indent="2"/>
    </xf>
    <xf numFmtId="0" fontId="20" fillId="57" borderId="0" xfId="5" applyFont="1" applyFill="1" applyBorder="1"/>
    <xf numFmtId="0" fontId="20" fillId="57" borderId="0" xfId="5" applyFont="1" applyFill="1" applyBorder="1" applyAlignment="1">
      <alignment horizontal="center"/>
    </xf>
    <xf numFmtId="0" fontId="20" fillId="57" borderId="0" xfId="5" applyFont="1" applyFill="1" applyBorder="1" applyAlignment="1">
      <alignment horizontal="left"/>
    </xf>
    <xf numFmtId="165" fontId="20" fillId="57" borderId="0" xfId="1" applyNumberFormat="1" applyFont="1" applyFill="1" applyBorder="1" applyAlignment="1">
      <alignment horizontal="right"/>
    </xf>
    <xf numFmtId="174" fontId="21" fillId="57" borderId="0" xfId="5" applyNumberFormat="1" applyFont="1" applyFill="1" applyBorder="1" applyAlignment="1">
      <alignment horizontal="right" vertical="center"/>
    </xf>
    <xf numFmtId="172" fontId="21" fillId="57" borderId="0" xfId="1" applyNumberFormat="1" applyFont="1" applyFill="1" applyBorder="1" applyAlignment="1">
      <alignment horizontal="right" vertical="center"/>
    </xf>
    <xf numFmtId="0" fontId="17" fillId="0" borderId="0" xfId="5" applyFont="1" applyFill="1" applyBorder="1"/>
    <xf numFmtId="165" fontId="20" fillId="0" borderId="0" xfId="1" applyNumberFormat="1" applyFont="1" applyBorder="1"/>
    <xf numFmtId="165" fontId="20" fillId="0" borderId="0" xfId="1" applyNumberFormat="1" applyFont="1" applyBorder="1" applyAlignment="1">
      <alignment horizontal="left"/>
    </xf>
    <xf numFmtId="172" fontId="20" fillId="0" borderId="0" xfId="1" applyNumberFormat="1" applyFont="1" applyBorder="1"/>
    <xf numFmtId="0" fontId="17" fillId="0" borderId="0" xfId="5" applyFont="1" applyBorder="1"/>
    <xf numFmtId="0" fontId="20" fillId="20" borderId="0" xfId="5" applyFont="1" applyFill="1" applyBorder="1"/>
    <xf numFmtId="0" fontId="20" fillId="20" borderId="0" xfId="5" applyFont="1" applyFill="1" applyBorder="1" applyAlignment="1">
      <alignment horizontal="left"/>
    </xf>
    <xf numFmtId="0" fontId="29" fillId="20" borderId="0" xfId="5" applyFont="1" applyFill="1" applyBorder="1" applyAlignment="1">
      <alignment horizontal="right"/>
    </xf>
    <xf numFmtId="0" fontId="30" fillId="0" borderId="0" xfId="5" applyFont="1" applyBorder="1" applyAlignment="1">
      <alignment horizontal="center"/>
    </xf>
    <xf numFmtId="0" fontId="20" fillId="0" borderId="1" xfId="5" applyFont="1" applyBorder="1" applyAlignment="1">
      <alignment horizontal="center"/>
    </xf>
    <xf numFmtId="0" fontId="20" fillId="0" borderId="13" xfId="5" applyFont="1" applyBorder="1" applyAlignment="1">
      <alignment horizontal="center"/>
    </xf>
    <xf numFmtId="0" fontId="17" fillId="0" borderId="13" xfId="5" applyFont="1" applyBorder="1" applyAlignment="1">
      <alignment horizontal="center"/>
    </xf>
    <xf numFmtId="0" fontId="17" fillId="0" borderId="1" xfId="5" applyFont="1" applyBorder="1" applyAlignment="1">
      <alignment horizontal="center"/>
    </xf>
    <xf numFmtId="0" fontId="20" fillId="0" borderId="13" xfId="5" applyFont="1" applyBorder="1"/>
    <xf numFmtId="172" fontId="20" fillId="0" borderId="4" xfId="1" applyNumberFormat="1" applyFont="1" applyBorder="1" applyAlignment="1">
      <alignment horizontal="left"/>
    </xf>
    <xf numFmtId="172" fontId="20" fillId="0" borderId="5" xfId="1" applyNumberFormat="1" applyFont="1" applyBorder="1" applyAlignment="1">
      <alignment horizontal="left"/>
    </xf>
    <xf numFmtId="172" fontId="20" fillId="0" borderId="6" xfId="5" applyNumberFormat="1" applyFont="1" applyBorder="1"/>
    <xf numFmtId="172" fontId="17" fillId="0" borderId="6" xfId="5" applyNumberFormat="1" applyFont="1" applyBorder="1"/>
    <xf numFmtId="0" fontId="20" fillId="0" borderId="14" xfId="5" applyFont="1" applyBorder="1"/>
    <xf numFmtId="172" fontId="20" fillId="0" borderId="7" xfId="1" applyNumberFormat="1" applyFont="1" applyBorder="1" applyAlignment="1">
      <alignment horizontal="left"/>
    </xf>
    <xf numFmtId="172" fontId="20" fillId="0" borderId="0" xfId="1" applyNumberFormat="1" applyFont="1" applyBorder="1" applyAlignment="1">
      <alignment horizontal="left"/>
    </xf>
    <xf numFmtId="172" fontId="20" fillId="0" borderId="8" xfId="5" applyNumberFormat="1" applyFont="1" applyBorder="1"/>
    <xf numFmtId="172" fontId="17" fillId="0" borderId="8" xfId="5" applyNumberFormat="1" applyFont="1" applyBorder="1"/>
    <xf numFmtId="0" fontId="17" fillId="0" borderId="15" xfId="5" applyFont="1" applyBorder="1"/>
    <xf numFmtId="0" fontId="17" fillId="0" borderId="3" xfId="5" applyFont="1" applyBorder="1" applyAlignment="1">
      <alignment horizontal="center"/>
    </xf>
    <xf numFmtId="172" fontId="17" fillId="0" borderId="9" xfId="5" applyNumberFormat="1" applyFont="1" applyBorder="1" applyAlignment="1">
      <alignment horizontal="left"/>
    </xf>
    <xf numFmtId="172" fontId="17" fillId="0" borderId="3" xfId="5" applyNumberFormat="1" applyFont="1" applyBorder="1" applyAlignment="1">
      <alignment horizontal="left"/>
    </xf>
    <xf numFmtId="172" fontId="17" fillId="0" borderId="10" xfId="5" applyNumberFormat="1" applyFont="1" applyBorder="1" applyAlignment="1">
      <alignment horizontal="left"/>
    </xf>
    <xf numFmtId="0" fontId="20" fillId="16" borderId="11" xfId="5" applyFont="1" applyFill="1" applyBorder="1"/>
    <xf numFmtId="0" fontId="20" fillId="16" borderId="11" xfId="5" applyFont="1" applyFill="1" applyBorder="1" applyAlignment="1">
      <alignment horizontal="center"/>
    </xf>
    <xf numFmtId="0" fontId="20" fillId="16" borderId="11" xfId="5" applyFont="1" applyFill="1" applyBorder="1" applyAlignment="1">
      <alignment horizontal="left"/>
    </xf>
    <xf numFmtId="0" fontId="22" fillId="0" borderId="0" xfId="5" applyFont="1" applyBorder="1" applyAlignment="1">
      <alignment horizontal="center"/>
    </xf>
    <xf numFmtId="0" fontId="20" fillId="8" borderId="1" xfId="5" applyFont="1" applyFill="1" applyBorder="1" applyAlignment="1">
      <alignment horizontal="center"/>
    </xf>
    <xf numFmtId="0" fontId="20" fillId="9" borderId="1" xfId="5" applyFont="1" applyFill="1" applyBorder="1" applyAlignment="1">
      <alignment horizontal="center"/>
    </xf>
    <xf numFmtId="0" fontId="67" fillId="0" borderId="0" xfId="5" applyFont="1" applyBorder="1" applyAlignment="1">
      <alignment horizontal="center"/>
    </xf>
    <xf numFmtId="169" fontId="20" fillId="0" borderId="0" xfId="5" applyNumberFormat="1" applyFont="1" applyFill="1" applyBorder="1" applyAlignment="1">
      <alignment horizontal="right" indent="1"/>
    </xf>
    <xf numFmtId="169" fontId="20" fillId="0" borderId="0" xfId="5" applyNumberFormat="1" applyFont="1" applyBorder="1"/>
    <xf numFmtId="0" fontId="21" fillId="0" borderId="0" xfId="5" applyFont="1" applyBorder="1" applyAlignment="1">
      <alignment horizontal="left" indent="1"/>
    </xf>
    <xf numFmtId="0" fontId="21" fillId="0" borderId="0" xfId="5" applyFont="1" applyBorder="1"/>
    <xf numFmtId="0" fontId="20" fillId="0" borderId="15" xfId="5" applyFont="1" applyBorder="1"/>
    <xf numFmtId="0" fontId="0" fillId="0" borderId="0" xfId="5" applyFont="1" applyBorder="1"/>
    <xf numFmtId="0" fontId="0" fillId="0" borderId="0" xfId="5" applyFont="1" applyBorder="1" applyAlignment="1">
      <alignment horizontal="center"/>
    </xf>
    <xf numFmtId="169" fontId="21" fillId="0" borderId="0" xfId="5" applyNumberFormat="1" applyFont="1" applyBorder="1" applyAlignment="1">
      <alignment horizontal="right" vertical="center" indent="1"/>
    </xf>
    <xf numFmtId="169" fontId="21" fillId="0" borderId="0" xfId="5" applyNumberFormat="1" applyFont="1" applyFill="1" applyBorder="1" applyAlignment="1">
      <alignment horizontal="right" vertical="center" indent="1"/>
    </xf>
    <xf numFmtId="0" fontId="17" fillId="12" borderId="1" xfId="5" applyFont="1" applyFill="1" applyBorder="1" applyAlignment="1">
      <alignment horizontal="center" wrapText="1"/>
    </xf>
    <xf numFmtId="0" fontId="17" fillId="58" borderId="1" xfId="5" applyFont="1" applyFill="1" applyBorder="1" applyAlignment="1">
      <alignment horizontal="center" wrapText="1"/>
    </xf>
    <xf numFmtId="0" fontId="29" fillId="20" borderId="0" xfId="5" applyFont="1" applyFill="1" applyBorder="1" applyAlignment="1">
      <alignment horizontal="left"/>
    </xf>
    <xf numFmtId="169" fontId="20" fillId="0" borderId="0" xfId="5" applyNumberFormat="1" applyFont="1" applyFill="1" applyAlignment="1">
      <alignment horizontal="left" indent="4"/>
    </xf>
    <xf numFmtId="165" fontId="20" fillId="16" borderId="0" xfId="1" applyNumberFormat="1" applyFont="1" applyFill="1" applyBorder="1" applyAlignment="1">
      <alignment horizontal="right"/>
    </xf>
    <xf numFmtId="0" fontId="20" fillId="16" borderId="0" xfId="5" applyFont="1" applyFill="1" applyBorder="1" applyAlignment="1">
      <alignment horizontal="left"/>
    </xf>
    <xf numFmtId="0" fontId="20" fillId="16" borderId="0" xfId="5" applyFont="1" applyFill="1" applyBorder="1" applyAlignment="1">
      <alignment horizontal="center"/>
    </xf>
    <xf numFmtId="0" fontId="0" fillId="0" borderId="0" xfId="5" applyFont="1" applyBorder="1" applyAlignment="1">
      <alignment horizontal="right"/>
    </xf>
    <xf numFmtId="0" fontId="29" fillId="20" borderId="0" xfId="0" applyFont="1" applyFill="1" applyAlignment="1">
      <alignment horizontal="left"/>
    </xf>
    <xf numFmtId="169" fontId="20" fillId="0" borderId="5" xfId="5" applyNumberFormat="1" applyFont="1" applyFill="1" applyBorder="1" applyAlignment="1">
      <alignment horizontal="right"/>
    </xf>
    <xf numFmtId="169" fontId="20" fillId="0" borderId="6" xfId="5" applyNumberFormat="1" applyFont="1" applyFill="1" applyBorder="1" applyAlignment="1">
      <alignment horizontal="right"/>
    </xf>
    <xf numFmtId="169" fontId="20" fillId="0" borderId="4" xfId="5" applyNumberFormat="1" applyFont="1" applyFill="1" applyBorder="1" applyAlignment="1">
      <alignment horizontal="right"/>
    </xf>
    <xf numFmtId="169" fontId="20" fillId="0" borderId="0" xfId="5" applyNumberFormat="1" applyFont="1" applyFill="1" applyBorder="1" applyAlignment="1">
      <alignment horizontal="right"/>
    </xf>
    <xf numFmtId="169" fontId="20" fillId="0" borderId="8" xfId="5" applyNumberFormat="1" applyFont="1" applyFill="1" applyBorder="1" applyAlignment="1">
      <alignment horizontal="right"/>
    </xf>
    <xf numFmtId="169" fontId="20" fillId="0" borderId="7" xfId="5" applyNumberFormat="1" applyFont="1" applyFill="1" applyBorder="1" applyAlignment="1">
      <alignment horizontal="right"/>
    </xf>
    <xf numFmtId="169" fontId="20" fillId="0" borderId="3" xfId="5" applyNumberFormat="1" applyFont="1" applyFill="1" applyBorder="1" applyAlignment="1">
      <alignment horizontal="right"/>
    </xf>
    <xf numFmtId="169" fontId="20" fillId="0" borderId="10" xfId="5" applyNumberFormat="1" applyFont="1" applyFill="1" applyBorder="1" applyAlignment="1">
      <alignment horizontal="right"/>
    </xf>
    <xf numFmtId="169" fontId="20" fillId="0" borderId="9" xfId="5" applyNumberFormat="1" applyFont="1" applyFill="1" applyBorder="1" applyAlignment="1">
      <alignment horizontal="right"/>
    </xf>
    <xf numFmtId="0" fontId="11" fillId="0" borderId="0" xfId="0" applyFont="1" applyFill="1" applyAlignment="1">
      <alignment horizontal="left"/>
    </xf>
    <xf numFmtId="0" fontId="0" fillId="0" borderId="0" xfId="5" applyFont="1" applyFill="1" applyBorder="1" applyAlignment="1">
      <alignment horizontal="left"/>
    </xf>
    <xf numFmtId="178" fontId="21" fillId="0" borderId="0" xfId="5" applyNumberFormat="1" applyFont="1" applyFill="1" applyBorder="1" applyAlignment="1">
      <alignment horizontal="right" vertical="center"/>
    </xf>
    <xf numFmtId="179" fontId="21" fillId="0" borderId="0" xfId="1" applyNumberFormat="1" applyFont="1" applyFill="1" applyBorder="1" applyAlignment="1">
      <alignment horizontal="right" vertical="center"/>
    </xf>
    <xf numFmtId="164" fontId="10" fillId="0" borderId="0" xfId="0" applyNumberFormat="1" applyFont="1" applyAlignment="1"/>
    <xf numFmtId="172" fontId="17" fillId="0" borderId="0" xfId="1" applyNumberFormat="1" applyFont="1" applyBorder="1"/>
    <xf numFmtId="0" fontId="67" fillId="0" borderId="0" xfId="5" applyFont="1" applyBorder="1" applyAlignment="1">
      <alignment horizontal="righ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indent="1"/>
    </xf>
    <xf numFmtId="0" fontId="9" fillId="0" borderId="0" xfId="0" applyFont="1" applyAlignment="1"/>
    <xf numFmtId="3" fontId="41" fillId="0" borderId="0" xfId="0" applyNumberFormat="1" applyFont="1" applyFill="1" applyAlignment="1">
      <alignment horizontal="right"/>
    </xf>
    <xf numFmtId="0" fontId="41" fillId="0" borderId="0" xfId="0" applyFont="1" applyFill="1" applyBorder="1" applyAlignment="1">
      <alignment horizontal="left" wrapText="1" indent="1"/>
    </xf>
    <xf numFmtId="0" fontId="17" fillId="0" borderId="4" xfId="0" applyFont="1" applyBorder="1"/>
    <xf numFmtId="0" fontId="0" fillId="0" borderId="7" xfId="0" applyBorder="1" applyAlignment="1">
      <alignment horizontal="left" indent="1"/>
    </xf>
    <xf numFmtId="0" fontId="17" fillId="0" borderId="7" xfId="0" applyFont="1" applyBorder="1"/>
    <xf numFmtId="0" fontId="0" fillId="0" borderId="9" xfId="0" applyBorder="1" applyAlignment="1">
      <alignment horizontal="left" indent="1"/>
    </xf>
    <xf numFmtId="0" fontId="30" fillId="0" borderId="7" xfId="0" applyFont="1" applyBorder="1" applyAlignment="1">
      <alignment horizontal="center"/>
    </xf>
    <xf numFmtId="0" fontId="30" fillId="0" borderId="0" xfId="0" applyFont="1" applyBorder="1" applyAlignment="1">
      <alignment horizontal="right"/>
    </xf>
    <xf numFmtId="0" fontId="30" fillId="0" borderId="0" xfId="0" applyFont="1" applyBorder="1" applyAlignment="1">
      <alignment horizontal="center"/>
    </xf>
    <xf numFmtId="3" fontId="63" fillId="0" borderId="7" xfId="1" applyNumberFormat="1" applyFont="1" applyBorder="1"/>
    <xf numFmtId="171" fontId="0" fillId="0" borderId="7" xfId="2" applyNumberFormat="1" applyFont="1" applyBorder="1"/>
    <xf numFmtId="174" fontId="63" fillId="0" borderId="10" xfId="1" applyNumberFormat="1" applyFont="1" applyBorder="1"/>
    <xf numFmtId="0" fontId="31" fillId="69" borderId="2" xfId="0" applyFont="1" applyFill="1" applyBorder="1" applyAlignment="1">
      <alignment horizontal="left"/>
    </xf>
    <xf numFmtId="0" fontId="30" fillId="69" borderId="11" xfId="0" applyFont="1" applyFill="1" applyBorder="1" applyAlignment="1">
      <alignment horizontal="center"/>
    </xf>
    <xf numFmtId="0" fontId="0" fillId="69" borderId="11" xfId="0" applyFill="1" applyBorder="1"/>
    <xf numFmtId="0" fontId="0" fillId="69" borderId="12" xfId="0" applyFill="1" applyBorder="1"/>
    <xf numFmtId="0" fontId="30" fillId="19" borderId="11" xfId="0" applyFont="1" applyFill="1" applyBorder="1" applyAlignment="1">
      <alignment horizontal="center"/>
    </xf>
    <xf numFmtId="0" fontId="0" fillId="19" borderId="11" xfId="0" applyFill="1" applyBorder="1"/>
    <xf numFmtId="0" fontId="0" fillId="19" borderId="12" xfId="0" applyFill="1" applyBorder="1"/>
    <xf numFmtId="0" fontId="31" fillId="19" borderId="11" xfId="0" applyFont="1" applyFill="1" applyBorder="1" applyAlignment="1">
      <alignment horizontal="left"/>
    </xf>
    <xf numFmtId="0" fontId="31" fillId="69" borderId="11" xfId="0" applyFont="1" applyFill="1" applyBorder="1" applyAlignment="1">
      <alignment horizontal="left"/>
    </xf>
    <xf numFmtId="0" fontId="8" fillId="0" borderId="0" xfId="0" applyFont="1" applyAlignment="1">
      <alignment horizontal="left" indent="1"/>
    </xf>
    <xf numFmtId="0" fontId="29" fillId="20" borderId="0" xfId="0" applyFont="1" applyFill="1"/>
    <xf numFmtId="0" fontId="21" fillId="0" borderId="13" xfId="0" applyFont="1" applyBorder="1" applyAlignment="1">
      <alignment horizontal="center"/>
    </xf>
    <xf numFmtId="0" fontId="21" fillId="0" borderId="13" xfId="0" applyFont="1" applyFill="1" applyBorder="1" applyAlignment="1">
      <alignment horizontal="center"/>
    </xf>
    <xf numFmtId="0" fontId="0" fillId="0" borderId="1" xfId="0" applyBorder="1"/>
    <xf numFmtId="0" fontId="29" fillId="0" borderId="0" xfId="0" applyFont="1" applyAlignment="1">
      <alignment horizontal="right" indent="1"/>
    </xf>
    <xf numFmtId="0" fontId="29" fillId="23" borderId="0" xfId="0" applyFont="1" applyFill="1" applyBorder="1" applyAlignment="1">
      <alignment horizontal="left"/>
    </xf>
    <xf numFmtId="169" fontId="23" fillId="0" borderId="0" xfId="0" applyNumberFormat="1" applyFont="1"/>
    <xf numFmtId="180" fontId="0" fillId="0" borderId="0" xfId="0" applyNumberFormat="1" applyAlignment="1">
      <alignment horizontal="left"/>
    </xf>
    <xf numFmtId="4" fontId="0" fillId="0" borderId="8" xfId="1" applyNumberFormat="1" applyFont="1" applyBorder="1"/>
    <xf numFmtId="4" fontId="17" fillId="0" borderId="8" xfId="1" applyNumberFormat="1" applyFont="1" applyBorder="1"/>
    <xf numFmtId="4" fontId="0" fillId="0" borderId="8" xfId="0" applyNumberFormat="1" applyBorder="1"/>
    <xf numFmtId="4" fontId="0" fillId="0" borderId="10" xfId="0" applyNumberFormat="1" applyBorder="1"/>
    <xf numFmtId="0" fontId="0" fillId="0" borderId="7" xfId="0" applyFont="1" applyBorder="1"/>
    <xf numFmtId="171" fontId="20" fillId="0" borderId="9" xfId="2" applyNumberFormat="1" applyFont="1" applyBorder="1"/>
    <xf numFmtId="171" fontId="20" fillId="0" borderId="8" xfId="2" applyNumberFormat="1" applyFont="1" applyFill="1" applyBorder="1"/>
    <xf numFmtId="171" fontId="20" fillId="0" borderId="10" xfId="2" applyNumberFormat="1" applyFont="1" applyFill="1" applyBorder="1"/>
    <xf numFmtId="4" fontId="0" fillId="0" borderId="7" xfId="0" applyNumberFormat="1" applyBorder="1" applyAlignment="1">
      <alignment horizontal="right" indent="1"/>
    </xf>
    <xf numFmtId="0" fontId="30" fillId="22" borderId="11" xfId="0" applyFont="1" applyFill="1" applyBorder="1" applyAlignment="1">
      <alignment horizontal="center"/>
    </xf>
    <xf numFmtId="0" fontId="0" fillId="16" borderId="0" xfId="0" applyFill="1"/>
    <xf numFmtId="0" fontId="0" fillId="16" borderId="4" xfId="0" applyFill="1" applyBorder="1"/>
    <xf numFmtId="0" fontId="0" fillId="16" borderId="7" xfId="0" applyFill="1" applyBorder="1"/>
    <xf numFmtId="0" fontId="0" fillId="16" borderId="9" xfId="0" applyFill="1" applyBorder="1"/>
    <xf numFmtId="0" fontId="0" fillId="0" borderId="2" xfId="0" applyBorder="1"/>
    <xf numFmtId="2" fontId="0" fillId="16" borderId="5" xfId="0" applyNumberFormat="1" applyFill="1" applyBorder="1"/>
    <xf numFmtId="1" fontId="0" fillId="16" borderId="5" xfId="0" applyNumberFormat="1" applyFill="1" applyBorder="1"/>
    <xf numFmtId="1" fontId="0" fillId="16" borderId="0" xfId="0" applyNumberFormat="1" applyFill="1" applyBorder="1"/>
    <xf numFmtId="1" fontId="0" fillId="16" borderId="4" xfId="0" applyNumberFormat="1" applyFill="1" applyBorder="1"/>
    <xf numFmtId="1" fontId="0" fillId="16" borderId="6" xfId="0" applyNumberFormat="1" applyFill="1" applyBorder="1"/>
    <xf numFmtId="1" fontId="0" fillId="16" borderId="7" xfId="0" applyNumberFormat="1" applyFill="1" applyBorder="1"/>
    <xf numFmtId="1" fontId="0" fillId="16" borderId="8" xfId="0" applyNumberFormat="1" applyFill="1" applyBorder="1"/>
    <xf numFmtId="1" fontId="0" fillId="16" borderId="9" xfId="0" applyNumberFormat="1" applyFill="1" applyBorder="1"/>
    <xf numFmtId="1" fontId="0" fillId="16" borderId="3" xfId="0" applyNumberFormat="1" applyFill="1" applyBorder="1"/>
    <xf numFmtId="1" fontId="0" fillId="16" borderId="10" xfId="0" applyNumberFormat="1" applyFill="1" applyBorder="1"/>
    <xf numFmtId="1" fontId="0" fillId="0" borderId="2" xfId="0" applyNumberFormat="1" applyFill="1" applyBorder="1"/>
    <xf numFmtId="1" fontId="0" fillId="0" borderId="11" xfId="0" applyNumberFormat="1" applyFill="1" applyBorder="1"/>
    <xf numFmtId="1" fontId="0" fillId="0" borderId="12" xfId="0" applyNumberFormat="1" applyFill="1" applyBorder="1"/>
    <xf numFmtId="0" fontId="0" fillId="0" borderId="13" xfId="0" applyBorder="1" applyAlignment="1">
      <alignment horizontal="center"/>
    </xf>
    <xf numFmtId="2" fontId="0" fillId="16" borderId="4" xfId="0" applyNumberFormat="1" applyFill="1" applyBorder="1"/>
    <xf numFmtId="2" fontId="0" fillId="16" borderId="6" xfId="0" applyNumberFormat="1" applyFill="1" applyBorder="1"/>
    <xf numFmtId="2" fontId="0" fillId="16" borderId="7" xfId="0" applyNumberFormat="1" applyFill="1" applyBorder="1"/>
    <xf numFmtId="2" fontId="0" fillId="16" borderId="0" xfId="0" applyNumberFormat="1" applyFill="1" applyBorder="1"/>
    <xf numFmtId="2" fontId="0" fillId="16" borderId="8" xfId="0" applyNumberFormat="1" applyFill="1" applyBorder="1"/>
    <xf numFmtId="2" fontId="0" fillId="16" borderId="9" xfId="0" applyNumberFormat="1" applyFill="1" applyBorder="1"/>
    <xf numFmtId="2" fontId="0" fillId="16" borderId="3" xfId="0" applyNumberFormat="1" applyFill="1" applyBorder="1"/>
    <xf numFmtId="2" fontId="0" fillId="16" borderId="10" xfId="0" applyNumberFormat="1" applyFill="1" applyBorder="1"/>
    <xf numFmtId="2" fontId="0" fillId="0" borderId="2" xfId="0" applyNumberFormat="1" applyFill="1" applyBorder="1"/>
    <xf numFmtId="2" fontId="0" fillId="0" borderId="11" xfId="0" applyNumberFormat="1" applyFill="1" applyBorder="1"/>
    <xf numFmtId="2" fontId="0" fillId="0" borderId="12" xfId="0" applyNumberFormat="1" applyFill="1" applyBorder="1"/>
    <xf numFmtId="0" fontId="0" fillId="16" borderId="0" xfId="0" applyFill="1" applyAlignment="1">
      <alignment horizontal="center"/>
    </xf>
    <xf numFmtId="0" fontId="0" fillId="70" borderId="4" xfId="0" applyFill="1" applyBorder="1"/>
    <xf numFmtId="0" fontId="0" fillId="70" borderId="5" xfId="0" applyFill="1" applyBorder="1"/>
    <xf numFmtId="0" fontId="0" fillId="70" borderId="6" xfId="0" applyFill="1" applyBorder="1"/>
    <xf numFmtId="0" fontId="0" fillId="70" borderId="7" xfId="0" applyFill="1" applyBorder="1"/>
    <xf numFmtId="0" fontId="0" fillId="70" borderId="0" xfId="0" applyFill="1" applyBorder="1"/>
    <xf numFmtId="0" fontId="75" fillId="70" borderId="0" xfId="0" applyFont="1" applyFill="1" applyBorder="1" applyAlignment="1">
      <alignment horizontal="center"/>
    </xf>
    <xf numFmtId="0" fontId="0" fillId="70" borderId="8" xfId="0" applyFill="1" applyBorder="1"/>
    <xf numFmtId="0" fontId="0" fillId="70" borderId="30" xfId="0" applyFont="1" applyFill="1" applyBorder="1"/>
    <xf numFmtId="0" fontId="0" fillId="70" borderId="28" xfId="0" applyFont="1" applyFill="1" applyBorder="1"/>
    <xf numFmtId="0" fontId="75" fillId="70" borderId="28" xfId="0" applyFont="1" applyFill="1" applyBorder="1"/>
    <xf numFmtId="0" fontId="0" fillId="70" borderId="31" xfId="0" applyFont="1" applyFill="1" applyBorder="1"/>
    <xf numFmtId="0" fontId="75" fillId="70" borderId="7" xfId="0" applyFont="1" applyFill="1" applyBorder="1" applyAlignment="1">
      <alignment horizontal="left" indent="1"/>
    </xf>
    <xf numFmtId="172" fontId="75" fillId="70" borderId="0" xfId="1" applyNumberFormat="1" applyFont="1" applyFill="1" applyBorder="1"/>
    <xf numFmtId="0" fontId="76" fillId="70" borderId="7" xfId="0" applyFont="1" applyFill="1" applyBorder="1" applyAlignment="1">
      <alignment horizontal="left" indent="1"/>
    </xf>
    <xf numFmtId="2" fontId="76" fillId="70" borderId="0" xfId="0" applyNumberFormat="1" applyFont="1" applyFill="1" applyBorder="1"/>
    <xf numFmtId="0" fontId="76" fillId="70" borderId="0" xfId="0" applyFont="1" applyFill="1" applyBorder="1"/>
    <xf numFmtId="0" fontId="75" fillId="70" borderId="30" xfId="0" applyFont="1" applyFill="1" applyBorder="1"/>
    <xf numFmtId="0" fontId="0" fillId="70" borderId="28" xfId="0" applyFill="1" applyBorder="1"/>
    <xf numFmtId="0" fontId="77" fillId="70" borderId="28" xfId="0" applyFont="1" applyFill="1" applyBorder="1"/>
    <xf numFmtId="0" fontId="0" fillId="70" borderId="31" xfId="0" applyFill="1" applyBorder="1"/>
    <xf numFmtId="0" fontId="75" fillId="70" borderId="7" xfId="0" applyFont="1" applyFill="1" applyBorder="1" applyAlignment="1">
      <alignment horizontal="left" indent="3"/>
    </xf>
    <xf numFmtId="0" fontId="75" fillId="70" borderId="30" xfId="0" applyFont="1" applyFill="1" applyBorder="1" applyAlignment="1">
      <alignment horizontal="left" indent="3"/>
    </xf>
    <xf numFmtId="172" fontId="75" fillId="70" borderId="28" xfId="1" applyNumberFormat="1" applyFont="1" applyFill="1" applyBorder="1"/>
    <xf numFmtId="0" fontId="75" fillId="70" borderId="28" xfId="0" applyFont="1" applyFill="1" applyBorder="1" applyAlignment="1">
      <alignment horizontal="center"/>
    </xf>
    <xf numFmtId="0" fontId="0" fillId="70" borderId="9" xfId="0" applyFill="1" applyBorder="1"/>
    <xf numFmtId="0" fontId="0" fillId="70" borderId="3" xfId="0" applyFill="1" applyBorder="1"/>
    <xf numFmtId="0" fontId="0" fillId="70" borderId="10" xfId="0" applyFill="1" applyBorder="1"/>
    <xf numFmtId="0" fontId="0" fillId="71" borderId="0" xfId="0" applyFill="1"/>
    <xf numFmtId="0" fontId="17" fillId="71" borderId="0" xfId="0" applyFont="1" applyFill="1"/>
    <xf numFmtId="1" fontId="76" fillId="70" borderId="0" xfId="0" applyNumberFormat="1" applyFont="1" applyFill="1" applyBorder="1"/>
    <xf numFmtId="0" fontId="75" fillId="70" borderId="7" xfId="0" applyFont="1" applyFill="1" applyBorder="1"/>
    <xf numFmtId="0" fontId="75" fillId="70" borderId="0" xfId="0" applyFont="1" applyFill="1" applyBorder="1"/>
    <xf numFmtId="0" fontId="77" fillId="70" borderId="8" xfId="0" applyFont="1" applyFill="1" applyBorder="1"/>
    <xf numFmtId="0" fontId="76" fillId="70" borderId="31" xfId="0" applyFont="1" applyFill="1" applyBorder="1"/>
    <xf numFmtId="164" fontId="75" fillId="70" borderId="0" xfId="0" applyNumberFormat="1" applyFont="1" applyFill="1" applyBorder="1"/>
    <xf numFmtId="0" fontId="76" fillId="70" borderId="8" xfId="0" applyFont="1" applyFill="1" applyBorder="1"/>
    <xf numFmtId="171" fontId="75" fillId="70" borderId="0" xfId="2" applyNumberFormat="1" applyFont="1" applyFill="1" applyBorder="1"/>
    <xf numFmtId="164" fontId="75" fillId="70" borderId="28" xfId="0" applyNumberFormat="1" applyFont="1" applyFill="1" applyBorder="1"/>
    <xf numFmtId="171" fontId="75" fillId="70" borderId="28" xfId="2" applyNumberFormat="1" applyFont="1" applyFill="1" applyBorder="1"/>
    <xf numFmtId="2" fontId="76" fillId="70" borderId="28" xfId="0" applyNumberFormat="1" applyFont="1" applyFill="1" applyBorder="1"/>
    <xf numFmtId="0" fontId="77" fillId="70" borderId="31" xfId="0" applyFont="1" applyFill="1" applyBorder="1"/>
    <xf numFmtId="0" fontId="77" fillId="70" borderId="0" xfId="0" applyFont="1" applyFill="1" applyBorder="1"/>
    <xf numFmtId="0" fontId="75" fillId="8" borderId="30" xfId="0" applyFont="1" applyFill="1" applyBorder="1" applyAlignment="1">
      <alignment horizontal="left" indent="1"/>
    </xf>
    <xf numFmtId="0" fontId="75" fillId="8" borderId="28" xfId="0" applyFont="1" applyFill="1" applyBorder="1"/>
    <xf numFmtId="0" fontId="76" fillId="8" borderId="31" xfId="0" applyFont="1" applyFill="1" applyBorder="1"/>
    <xf numFmtId="0" fontId="75" fillId="9" borderId="30" xfId="0" applyFont="1" applyFill="1" applyBorder="1" applyAlignment="1">
      <alignment horizontal="left" indent="1"/>
    </xf>
    <xf numFmtId="0" fontId="75" fillId="9" borderId="28" xfId="0" applyFont="1" applyFill="1" applyBorder="1"/>
    <xf numFmtId="0" fontId="77" fillId="9" borderId="31" xfId="0" applyFont="1" applyFill="1" applyBorder="1"/>
    <xf numFmtId="0" fontId="77" fillId="70" borderId="0" xfId="0" applyFont="1" applyFill="1" applyBorder="1" applyAlignment="1">
      <alignment horizontal="right"/>
    </xf>
    <xf numFmtId="1" fontId="76" fillId="70" borderId="28" xfId="0" applyNumberFormat="1" applyFont="1" applyFill="1" applyBorder="1"/>
    <xf numFmtId="0" fontId="75" fillId="2" borderId="32" xfId="0" applyFont="1" applyFill="1" applyBorder="1" applyAlignment="1">
      <alignment horizontal="left" indent="1"/>
    </xf>
    <xf numFmtId="0" fontId="0" fillId="2" borderId="29" xfId="0" applyFill="1" applyBorder="1"/>
    <xf numFmtId="0" fontId="77" fillId="2" borderId="29" xfId="0" applyFont="1" applyFill="1" applyBorder="1"/>
    <xf numFmtId="0" fontId="75" fillId="2" borderId="29" xfId="0" applyFont="1" applyFill="1" applyBorder="1"/>
    <xf numFmtId="0" fontId="0" fillId="2" borderId="33" xfId="0" applyFill="1" applyBorder="1"/>
    <xf numFmtId="0" fontId="0" fillId="70" borderId="0" xfId="0" applyFill="1" applyBorder="1" applyAlignment="1">
      <alignment horizontal="center"/>
    </xf>
    <xf numFmtId="0" fontId="0" fillId="70" borderId="28" xfId="0" applyFont="1" applyFill="1" applyBorder="1" applyAlignment="1">
      <alignment horizontal="center"/>
    </xf>
    <xf numFmtId="0" fontId="22" fillId="0" borderId="0" xfId="0" applyFont="1"/>
    <xf numFmtId="0" fontId="22" fillId="0" borderId="0" xfId="0" applyFont="1" applyAlignment="1">
      <alignment horizontal="left" indent="1"/>
    </xf>
    <xf numFmtId="4" fontId="23" fillId="0" borderId="0" xfId="0" applyNumberFormat="1" applyFont="1" applyFill="1"/>
    <xf numFmtId="4" fontId="23" fillId="0" borderId="0" xfId="1" applyNumberFormat="1" applyFont="1" applyFill="1"/>
    <xf numFmtId="0" fontId="23" fillId="0" borderId="0" xfId="0" applyFont="1" applyFill="1"/>
    <xf numFmtId="3" fontId="23" fillId="0" borderId="0" xfId="0" applyNumberFormat="1" applyFont="1"/>
    <xf numFmtId="4" fontId="23" fillId="0" borderId="0" xfId="0" applyNumberFormat="1" applyFont="1"/>
    <xf numFmtId="174" fontId="78" fillId="0" borderId="0" xfId="0" applyNumberFormat="1" applyFont="1"/>
    <xf numFmtId="0" fontId="23" fillId="0" borderId="0" xfId="0" applyFont="1" applyAlignment="1">
      <alignment horizontal="right"/>
    </xf>
    <xf numFmtId="0" fontId="0" fillId="16" borderId="5" xfId="0" applyFill="1" applyBorder="1"/>
    <xf numFmtId="171" fontId="22" fillId="0" borderId="0" xfId="2" applyNumberFormat="1" applyFont="1" applyFill="1" applyBorder="1" applyAlignment="1">
      <alignment horizontal="center"/>
    </xf>
    <xf numFmtId="171" fontId="17" fillId="17" borderId="16" xfId="2" applyNumberFormat="1" applyFont="1" applyFill="1" applyBorder="1" applyAlignment="1">
      <alignment horizontal="center"/>
    </xf>
    <xf numFmtId="0" fontId="0" fillId="16" borderId="2" xfId="5" applyFont="1" applyFill="1" applyBorder="1"/>
    <xf numFmtId="0" fontId="0" fillId="0" borderId="13" xfId="0" applyBorder="1" applyAlignment="1">
      <alignment horizontal="center"/>
    </xf>
    <xf numFmtId="0" fontId="0" fillId="0" borderId="0" xfId="5" applyFont="1" applyBorder="1" applyAlignment="1">
      <alignment horizontal="left"/>
    </xf>
    <xf numFmtId="172" fontId="21" fillId="16" borderId="0" xfId="1" applyNumberFormat="1" applyFont="1" applyFill="1" applyBorder="1" applyAlignment="1">
      <alignment horizontal="right" vertical="center"/>
    </xf>
    <xf numFmtId="3" fontId="0" fillId="0" borderId="7" xfId="0" applyNumberFormat="1" applyFill="1" applyBorder="1"/>
    <xf numFmtId="174" fontId="63" fillId="0" borderId="8" xfId="1" applyNumberFormat="1" applyFont="1" applyFill="1" applyBorder="1"/>
    <xf numFmtId="174" fontId="0" fillId="0" borderId="8" xfId="0" applyNumberFormat="1" applyFill="1" applyBorder="1"/>
    <xf numFmtId="3" fontId="0" fillId="0" borderId="9" xfId="0" applyNumberFormat="1" applyFill="1" applyBorder="1"/>
    <xf numFmtId="4" fontId="0" fillId="0" borderId="3" xfId="0" applyNumberFormat="1" applyFill="1" applyBorder="1"/>
    <xf numFmtId="174" fontId="63" fillId="0" borderId="10" xfId="1" applyNumberFormat="1" applyFont="1" applyFill="1" applyBorder="1"/>
    <xf numFmtId="169" fontId="63" fillId="0" borderId="8" xfId="0" applyNumberFormat="1" applyFont="1" applyFill="1" applyBorder="1"/>
    <xf numFmtId="3" fontId="0" fillId="0" borderId="3" xfId="0" applyNumberFormat="1" applyFill="1" applyBorder="1"/>
    <xf numFmtId="169" fontId="63" fillId="0" borderId="10" xfId="0" applyNumberFormat="1" applyFont="1" applyFill="1" applyBorder="1"/>
    <xf numFmtId="0" fontId="0" fillId="0" borderId="0" xfId="0" applyFont="1" applyAlignment="1">
      <alignment horizontal="center"/>
    </xf>
    <xf numFmtId="171" fontId="20" fillId="0" borderId="0" xfId="2" applyNumberFormat="1" applyFont="1" applyAlignment="1">
      <alignment horizontal="center"/>
    </xf>
    <xf numFmtId="0" fontId="7" fillId="0" borderId="0" xfId="0" applyFont="1" applyAlignment="1"/>
    <xf numFmtId="1" fontId="15" fillId="0" borderId="0" xfId="0" applyNumberFormat="1" applyFont="1" applyAlignment="1"/>
    <xf numFmtId="3" fontId="15" fillId="0" borderId="0" xfId="0" applyNumberFormat="1" applyFont="1" applyFill="1" applyAlignment="1"/>
    <xf numFmtId="0" fontId="20" fillId="8" borderId="13" xfId="5" applyFont="1" applyFill="1" applyBorder="1" applyAlignment="1">
      <alignment horizontal="center"/>
    </xf>
    <xf numFmtId="0" fontId="20" fillId="9" borderId="13" xfId="5" applyFont="1" applyFill="1" applyBorder="1" applyAlignment="1">
      <alignment horizontal="center"/>
    </xf>
    <xf numFmtId="0" fontId="0" fillId="58" borderId="13" xfId="0" applyFill="1" applyBorder="1" applyAlignment="1">
      <alignment horizontal="center" wrapText="1"/>
    </xf>
    <xf numFmtId="0" fontId="0" fillId="11" borderId="13" xfId="0" applyFill="1" applyBorder="1" applyAlignment="1">
      <alignment horizontal="center" wrapText="1"/>
    </xf>
    <xf numFmtId="0" fontId="35" fillId="58" borderId="1" xfId="0" applyFont="1" applyFill="1" applyBorder="1" applyAlignment="1">
      <alignment horizontal="center" wrapText="1"/>
    </xf>
    <xf numFmtId="0" fontId="6" fillId="0" borderId="0" xfId="0" applyFont="1" applyAlignment="1">
      <alignment horizontal="center"/>
    </xf>
    <xf numFmtId="164" fontId="5" fillId="0" borderId="0" xfId="0" applyNumberFormat="1" applyFont="1" applyAlignment="1"/>
    <xf numFmtId="166" fontId="5" fillId="0" borderId="0" xfId="0" applyNumberFormat="1" applyFont="1" applyAlignment="1"/>
    <xf numFmtId="0" fontId="25" fillId="0" borderId="0" xfId="0" applyFont="1" applyBorder="1" applyAlignment="1"/>
    <xf numFmtId="0" fontId="0" fillId="0" borderId="14" xfId="0" applyBorder="1" applyAlignment="1">
      <alignment horizontal="center"/>
    </xf>
    <xf numFmtId="2" fontId="0" fillId="0" borderId="1" xfId="0" applyNumberFormat="1" applyFill="1" applyBorder="1"/>
    <xf numFmtId="0" fontId="17" fillId="0" borderId="0" xfId="0" applyFont="1" applyAlignment="1">
      <alignment horizontal="right"/>
    </xf>
    <xf numFmtId="0" fontId="75" fillId="70" borderId="0" xfId="0" applyFont="1" applyFill="1" applyBorder="1" applyAlignment="1">
      <alignment horizontal="center"/>
    </xf>
    <xf numFmtId="0" fontId="6" fillId="0" borderId="0" xfId="0" applyFont="1" applyFill="1" applyAlignment="1">
      <alignment horizontal="center"/>
    </xf>
    <xf numFmtId="0" fontId="35" fillId="0" borderId="0" xfId="0" applyFont="1" applyFill="1" applyAlignment="1">
      <alignment horizontal="left"/>
    </xf>
    <xf numFmtId="0" fontId="35" fillId="0" borderId="0" xfId="0" applyFont="1" applyFill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right"/>
    </xf>
    <xf numFmtId="0" fontId="4" fillId="0" borderId="0" xfId="0" applyFont="1" applyAlignment="1">
      <alignment horizontal="left" indent="1"/>
    </xf>
    <xf numFmtId="0" fontId="4" fillId="0" borderId="0" xfId="0" applyFont="1" applyFill="1" applyAlignment="1">
      <alignment horizontal="left" indent="1"/>
    </xf>
    <xf numFmtId="0" fontId="4" fillId="0" borderId="0" xfId="0" applyFont="1" applyFill="1"/>
    <xf numFmtId="0" fontId="4" fillId="0" borderId="0" xfId="0" applyFont="1"/>
    <xf numFmtId="0" fontId="4" fillId="0" borderId="0" xfId="0" applyFont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0" xfId="0" applyFont="1" applyFill="1" applyAlignment="1">
      <alignment horizontal="left"/>
    </xf>
    <xf numFmtId="0" fontId="4" fillId="0" borderId="0" xfId="0" applyFont="1" applyAlignment="1">
      <alignment horizontal="center" wrapText="1"/>
    </xf>
    <xf numFmtId="0" fontId="35" fillId="11" borderId="1" xfId="0" applyFont="1" applyFill="1" applyBorder="1" applyAlignment="1">
      <alignment horizontal="center" wrapText="1"/>
    </xf>
    <xf numFmtId="0" fontId="35" fillId="8" borderId="1" xfId="0" applyFont="1" applyFill="1" applyBorder="1" applyAlignment="1">
      <alignment horizontal="center" wrapText="1"/>
    </xf>
    <xf numFmtId="0" fontId="35" fillId="9" borderId="1" xfId="0" applyFont="1" applyFill="1" applyBorder="1" applyAlignment="1">
      <alignment horizontal="center" wrapText="1"/>
    </xf>
    <xf numFmtId="0" fontId="4" fillId="0" borderId="0" xfId="0" applyFont="1" applyAlignment="1"/>
    <xf numFmtId="0" fontId="41" fillId="0" borderId="0" xfId="0" applyFont="1" applyFill="1" applyBorder="1" applyAlignment="1">
      <alignment horizontal="left" indent="2"/>
    </xf>
    <xf numFmtId="0" fontId="40" fillId="0" borderId="0" xfId="0" applyFont="1" applyBorder="1" applyAlignment="1">
      <alignment horizontal="left" indent="2"/>
    </xf>
    <xf numFmtId="0" fontId="35" fillId="0" borderId="0" xfId="0" applyFont="1" applyFill="1" applyBorder="1" applyAlignment="1">
      <alignment horizontal="left"/>
    </xf>
    <xf numFmtId="0" fontId="41" fillId="0" borderId="0" xfId="0" applyFont="1" applyBorder="1" applyAlignment="1">
      <alignment horizontal="left"/>
    </xf>
    <xf numFmtId="0" fontId="40" fillId="0" borderId="0" xfId="0" applyFont="1" applyBorder="1" applyAlignment="1">
      <alignment horizontal="left"/>
    </xf>
    <xf numFmtId="43" fontId="4" fillId="0" borderId="0" xfId="1" applyFont="1"/>
    <xf numFmtId="0" fontId="40" fillId="0" borderId="0" xfId="0" applyFont="1" applyFill="1" applyBorder="1" applyAlignment="1">
      <alignment horizontal="left" indent="2"/>
    </xf>
    <xf numFmtId="0" fontId="40" fillId="0" borderId="0" xfId="0" applyFont="1" applyFill="1" applyBorder="1" applyAlignment="1">
      <alignment horizontal="left"/>
    </xf>
    <xf numFmtId="0" fontId="40" fillId="0" borderId="0" xfId="0" applyFont="1" applyFill="1" applyBorder="1" applyAlignment="1">
      <alignment horizontal="center"/>
    </xf>
    <xf numFmtId="0" fontId="35" fillId="0" borderId="0" xfId="0" applyFont="1" applyBorder="1" applyAlignment="1">
      <alignment horizontal="center"/>
    </xf>
    <xf numFmtId="0" fontId="40" fillId="0" borderId="0" xfId="0" applyFont="1" applyFill="1" applyBorder="1" applyAlignment="1">
      <alignment horizontal="left" indent="1"/>
    </xf>
    <xf numFmtId="0" fontId="40" fillId="0" borderId="0" xfId="0" applyFont="1" applyBorder="1" applyAlignment="1"/>
    <xf numFmtId="0" fontId="35" fillId="0" borderId="0" xfId="0" applyFont="1" applyAlignment="1">
      <alignment horizontal="left" indent="2"/>
    </xf>
    <xf numFmtId="0" fontId="35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35" fillId="0" borderId="0" xfId="0" applyFont="1" applyAlignment="1">
      <alignment horizontal="left"/>
    </xf>
    <xf numFmtId="0" fontId="4" fillId="0" borderId="0" xfId="0" applyFont="1" applyBorder="1"/>
    <xf numFmtId="0" fontId="4" fillId="0" borderId="0" xfId="0" applyFont="1" applyBorder="1" applyAlignment="1">
      <alignment horizontal="right"/>
    </xf>
    <xf numFmtId="0" fontId="4" fillId="0" borderId="0" xfId="0" applyFont="1" applyFill="1" applyBorder="1" applyAlignment="1">
      <alignment horizontal="right"/>
    </xf>
    <xf numFmtId="0" fontId="4" fillId="0" borderId="0" xfId="0" applyFont="1" applyFill="1" applyAlignment="1">
      <alignment horizontal="center"/>
    </xf>
    <xf numFmtId="0" fontId="4" fillId="71" borderId="1" xfId="0" applyFont="1" applyFill="1" applyBorder="1" applyAlignment="1">
      <alignment horizontal="center" wrapText="1"/>
    </xf>
    <xf numFmtId="0" fontId="64" fillId="0" borderId="0" xfId="0" applyFont="1" applyAlignment="1">
      <alignment horizontal="right"/>
    </xf>
    <xf numFmtId="0" fontId="4" fillId="0" borderId="0" xfId="0" applyFont="1" applyFill="1" applyBorder="1" applyAlignment="1">
      <alignment horizontal="center" wrapText="1"/>
    </xf>
    <xf numFmtId="0" fontId="35" fillId="0" borderId="0" xfId="0" applyFont="1" applyFill="1" applyBorder="1" applyAlignment="1">
      <alignment horizontal="center"/>
    </xf>
    <xf numFmtId="165" fontId="4" fillId="0" borderId="0" xfId="1" applyNumberFormat="1" applyFont="1" applyAlignment="1"/>
    <xf numFmtId="0" fontId="64" fillId="0" borderId="0" xfId="0" applyFont="1" applyFill="1" applyAlignment="1">
      <alignment horizontal="center"/>
    </xf>
    <xf numFmtId="0" fontId="64" fillId="0" borderId="0" xfId="0" applyFont="1" applyBorder="1" applyAlignment="1">
      <alignment horizontal="center"/>
    </xf>
    <xf numFmtId="165" fontId="64" fillId="0" borderId="0" xfId="1" applyNumberFormat="1" applyFont="1" applyAlignment="1">
      <alignment horizontal="center"/>
    </xf>
    <xf numFmtId="0" fontId="79" fillId="0" borderId="0" xfId="0" applyFont="1" applyAlignment="1">
      <alignment horizontal="center"/>
    </xf>
    <xf numFmtId="43" fontId="4" fillId="0" borderId="0" xfId="1" applyFont="1" applyAlignment="1"/>
    <xf numFmtId="169" fontId="4" fillId="0" borderId="0" xfId="0" applyNumberFormat="1" applyFont="1" applyAlignment="1"/>
    <xf numFmtId="0" fontId="4" fillId="8" borderId="1" xfId="0" applyFont="1" applyFill="1" applyBorder="1" applyAlignment="1">
      <alignment horizontal="center" wrapText="1"/>
    </xf>
    <xf numFmtId="0" fontId="4" fillId="9" borderId="1" xfId="0" applyFont="1" applyFill="1" applyBorder="1" applyAlignment="1">
      <alignment horizontal="center" wrapText="1"/>
    </xf>
    <xf numFmtId="0" fontId="4" fillId="72" borderId="1" xfId="0" applyFont="1" applyFill="1" applyBorder="1"/>
    <xf numFmtId="0" fontId="4" fillId="72" borderId="1" xfId="0" applyFont="1" applyFill="1" applyBorder="1" applyAlignment="1">
      <alignment horizontal="center" wrapText="1"/>
    </xf>
    <xf numFmtId="0" fontId="4" fillId="0" borderId="0" xfId="0" applyFont="1" applyFill="1" applyBorder="1"/>
    <xf numFmtId="0" fontId="15" fillId="16" borderId="11" xfId="0" applyFont="1" applyFill="1" applyBorder="1" applyAlignment="1">
      <alignment horizontal="left" indent="1"/>
    </xf>
    <xf numFmtId="4" fontId="41" fillId="0" borderId="0" xfId="1" applyNumberFormat="1" applyFont="1" applyFill="1" applyBorder="1" applyAlignment="1">
      <alignment horizontal="right"/>
    </xf>
    <xf numFmtId="4" fontId="40" fillId="0" borderId="0" xfId="1" applyNumberFormat="1" applyFont="1" applyFill="1" applyBorder="1" applyAlignment="1">
      <alignment horizontal="right"/>
    </xf>
    <xf numFmtId="4" fontId="41" fillId="0" borderId="0" xfId="0" applyNumberFormat="1" applyFont="1" applyFill="1" applyBorder="1" applyAlignment="1">
      <alignment horizontal="right"/>
    </xf>
    <xf numFmtId="4" fontId="40" fillId="0" borderId="0" xfId="0" applyNumberFormat="1" applyFont="1" applyFill="1" applyBorder="1" applyAlignment="1">
      <alignment horizontal="right"/>
    </xf>
    <xf numFmtId="4" fontId="41" fillId="0" borderId="0" xfId="0" applyNumberFormat="1" applyFont="1" applyBorder="1" applyAlignment="1">
      <alignment horizontal="right"/>
    </xf>
    <xf numFmtId="4" fontId="4" fillId="0" borderId="0" xfId="0" applyNumberFormat="1" applyFont="1" applyAlignment="1">
      <alignment horizontal="right"/>
    </xf>
    <xf numFmtId="4" fontId="35" fillId="0" borderId="0" xfId="0" applyNumberFormat="1" applyFont="1" applyAlignment="1">
      <alignment horizontal="right"/>
    </xf>
    <xf numFmtId="4" fontId="35" fillId="0" borderId="0" xfId="1" applyNumberFormat="1" applyFont="1" applyAlignment="1">
      <alignment horizontal="right"/>
    </xf>
    <xf numFmtId="0" fontId="80" fillId="9" borderId="1" xfId="0" applyFont="1" applyFill="1" applyBorder="1" applyAlignment="1">
      <alignment horizontal="center"/>
    </xf>
    <xf numFmtId="0" fontId="80" fillId="8" borderId="1" xfId="0" applyFont="1" applyFill="1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9" borderId="1" xfId="0" applyFill="1" applyBorder="1" applyAlignment="1">
      <alignment horizontal="center"/>
    </xf>
    <xf numFmtId="0" fontId="17" fillId="73" borderId="0" xfId="0" applyFont="1" applyFill="1" applyAlignment="1">
      <alignment horizontal="center"/>
    </xf>
    <xf numFmtId="0" fontId="35" fillId="0" borderId="0" xfId="0" applyFont="1"/>
    <xf numFmtId="0" fontId="0" fillId="0" borderId="13" xfId="0" applyBorder="1" applyAlignment="1">
      <alignment horizontal="center"/>
    </xf>
    <xf numFmtId="172" fontId="0" fillId="0" borderId="0" xfId="0" applyNumberFormat="1"/>
    <xf numFmtId="164" fontId="0" fillId="16" borderId="4" xfId="0" applyNumberFormat="1" applyFill="1" applyBorder="1"/>
    <xf numFmtId="164" fontId="0" fillId="16" borderId="5" xfId="0" applyNumberFormat="1" applyFill="1" applyBorder="1"/>
    <xf numFmtId="164" fontId="0" fillId="16" borderId="6" xfId="0" applyNumberFormat="1" applyFill="1" applyBorder="1"/>
    <xf numFmtId="164" fontId="0" fillId="16" borderId="7" xfId="0" applyNumberFormat="1" applyFill="1" applyBorder="1"/>
    <xf numFmtId="164" fontId="0" fillId="16" borderId="0" xfId="0" applyNumberFormat="1" applyFill="1" applyBorder="1"/>
    <xf numFmtId="164" fontId="0" fillId="16" borderId="8" xfId="0" applyNumberFormat="1" applyFill="1" applyBorder="1"/>
    <xf numFmtId="165" fontId="0" fillId="0" borderId="2" xfId="1" applyNumberFormat="1" applyFont="1" applyFill="1" applyBorder="1"/>
    <xf numFmtId="165" fontId="0" fillId="0" borderId="1" xfId="1" applyNumberFormat="1" applyFont="1" applyFill="1" applyBorder="1"/>
    <xf numFmtId="165" fontId="0" fillId="16" borderId="4" xfId="1" applyNumberFormat="1" applyFont="1" applyFill="1" applyBorder="1"/>
    <xf numFmtId="165" fontId="0" fillId="16" borderId="5" xfId="1" applyNumberFormat="1" applyFont="1" applyFill="1" applyBorder="1"/>
    <xf numFmtId="165" fontId="0" fillId="16" borderId="6" xfId="1" applyNumberFormat="1" applyFont="1" applyFill="1" applyBorder="1"/>
    <xf numFmtId="165" fontId="0" fillId="16" borderId="7" xfId="1" applyNumberFormat="1" applyFont="1" applyFill="1" applyBorder="1"/>
    <xf numFmtId="165" fontId="0" fillId="16" borderId="0" xfId="1" applyNumberFormat="1" applyFont="1" applyFill="1" applyBorder="1"/>
    <xf numFmtId="165" fontId="0" fillId="16" borderId="8" xfId="1" applyNumberFormat="1" applyFont="1" applyFill="1" applyBorder="1"/>
    <xf numFmtId="165" fontId="0" fillId="16" borderId="9" xfId="1" applyNumberFormat="1" applyFont="1" applyFill="1" applyBorder="1"/>
    <xf numFmtId="165" fontId="0" fillId="16" borderId="3" xfId="1" applyNumberFormat="1" applyFont="1" applyFill="1" applyBorder="1"/>
    <xf numFmtId="165" fontId="0" fillId="16" borderId="10" xfId="1" applyNumberFormat="1" applyFont="1" applyFill="1" applyBorder="1"/>
    <xf numFmtId="165" fontId="0" fillId="0" borderId="11" xfId="1" applyNumberFormat="1" applyFont="1" applyFill="1" applyBorder="1"/>
    <xf numFmtId="165" fontId="0" fillId="0" borderId="12" xfId="1" applyNumberFormat="1" applyFont="1" applyFill="1" applyBorder="1"/>
    <xf numFmtId="0" fontId="35" fillId="0" borderId="0" xfId="0" applyFont="1" applyFill="1" applyBorder="1" applyAlignment="1">
      <alignment horizontal="center" wrapText="1"/>
    </xf>
    <xf numFmtId="0" fontId="35" fillId="8" borderId="2" xfId="0" applyFont="1" applyFill="1" applyBorder="1" applyAlignment="1">
      <alignment horizontal="center" wrapText="1"/>
    </xf>
    <xf numFmtId="0" fontId="35" fillId="9" borderId="12" xfId="0" applyFont="1" applyFill="1" applyBorder="1" applyAlignment="1">
      <alignment horizontal="center" wrapText="1"/>
    </xf>
    <xf numFmtId="0" fontId="43" fillId="16" borderId="12" xfId="0" applyFont="1" applyFill="1" applyBorder="1" applyAlignment="1">
      <alignment horizontal="right" indent="1"/>
    </xf>
    <xf numFmtId="0" fontId="3" fillId="0" borderId="4" xfId="0" applyFont="1" applyBorder="1" applyAlignment="1">
      <alignment horizontal="left"/>
    </xf>
    <xf numFmtId="0" fontId="64" fillId="0" borderId="5" xfId="0" applyFont="1" applyBorder="1" applyAlignment="1">
      <alignment horizontal="center"/>
    </xf>
    <xf numFmtId="0" fontId="4" fillId="0" borderId="5" xfId="0" applyFont="1" applyBorder="1"/>
    <xf numFmtId="0" fontId="4" fillId="0" borderId="6" xfId="0" applyFont="1" applyBorder="1"/>
    <xf numFmtId="0" fontId="64" fillId="0" borderId="3" xfId="0" applyFont="1" applyBorder="1" applyAlignment="1">
      <alignment horizontal="center"/>
    </xf>
    <xf numFmtId="0" fontId="4" fillId="0" borderId="3" xfId="0" applyFont="1" applyBorder="1"/>
    <xf numFmtId="0" fontId="4" fillId="0" borderId="10" xfId="0" applyFont="1" applyBorder="1"/>
    <xf numFmtId="43" fontId="75" fillId="70" borderId="0" xfId="1" applyNumberFormat="1" applyFont="1" applyFill="1" applyBorder="1"/>
    <xf numFmtId="172" fontId="0" fillId="70" borderId="0" xfId="0" applyNumberFormat="1" applyFill="1" applyBorder="1"/>
    <xf numFmtId="43" fontId="75" fillId="70" borderId="28" xfId="1" applyNumberFormat="1" applyFont="1" applyFill="1" applyBorder="1"/>
    <xf numFmtId="172" fontId="0" fillId="70" borderId="28" xfId="0" applyNumberFormat="1" applyFill="1" applyBorder="1"/>
    <xf numFmtId="43" fontId="75" fillId="70" borderId="28" xfId="0" applyNumberFormat="1" applyFont="1" applyFill="1" applyBorder="1"/>
    <xf numFmtId="2" fontId="75" fillId="70" borderId="0" xfId="0" applyNumberFormat="1" applyFont="1" applyFill="1" applyBorder="1"/>
    <xf numFmtId="2" fontId="75" fillId="70" borderId="28" xfId="0" applyNumberFormat="1" applyFont="1" applyFill="1" applyBorder="1"/>
    <xf numFmtId="0" fontId="0" fillId="0" borderId="0" xfId="0" applyFont="1" applyAlignment="1">
      <alignment horizontal="left"/>
    </xf>
    <xf numFmtId="175" fontId="0" fillId="0" borderId="0" xfId="0" applyNumberFormat="1"/>
    <xf numFmtId="4" fontId="63" fillId="0" borderId="0" xfId="1" applyNumberFormat="1" applyFont="1"/>
    <xf numFmtId="4" fontId="69" fillId="0" borderId="0" xfId="0" applyNumberFormat="1" applyFont="1"/>
    <xf numFmtId="4" fontId="69" fillId="0" borderId="0" xfId="0" applyNumberFormat="1" applyFont="1" applyAlignment="1">
      <alignment horizontal="right"/>
    </xf>
    <xf numFmtId="0" fontId="3" fillId="9" borderId="1" xfId="0" applyFont="1" applyFill="1" applyBorder="1" applyAlignment="1">
      <alignment horizontal="center" wrapText="1"/>
    </xf>
    <xf numFmtId="0" fontId="41" fillId="8" borderId="1" xfId="0" applyFont="1" applyFill="1" applyBorder="1" applyAlignment="1">
      <alignment horizontal="center" wrapText="1"/>
    </xf>
    <xf numFmtId="4" fontId="41" fillId="0" borderId="0" xfId="0" applyNumberFormat="1" applyFont="1" applyFill="1" applyBorder="1" applyAlignment="1">
      <alignment horizontal="left"/>
    </xf>
    <xf numFmtId="4" fontId="35" fillId="0" borderId="0" xfId="0" applyNumberFormat="1" applyFont="1" applyAlignment="1">
      <alignment horizontal="left" indent="1"/>
    </xf>
    <xf numFmtId="0" fontId="4" fillId="12" borderId="11" xfId="0" applyFont="1" applyFill="1" applyBorder="1"/>
    <xf numFmtId="0" fontId="64" fillId="12" borderId="11" xfId="0" applyFont="1" applyFill="1" applyBorder="1" applyAlignment="1">
      <alignment horizontal="center"/>
    </xf>
    <xf numFmtId="0" fontId="4" fillId="12" borderId="12" xfId="0" applyFont="1" applyFill="1" applyBorder="1"/>
    <xf numFmtId="0" fontId="2" fillId="58" borderId="0" xfId="0" applyFont="1" applyFill="1" applyAlignment="1">
      <alignment horizontal="center" wrapText="1"/>
    </xf>
    <xf numFmtId="0" fontId="35" fillId="6" borderId="2" xfId="0" applyFont="1" applyFill="1" applyBorder="1" applyAlignment="1"/>
    <xf numFmtId="0" fontId="15" fillId="6" borderId="12" xfId="0" applyFont="1" applyFill="1" applyBorder="1" applyAlignment="1"/>
    <xf numFmtId="0" fontId="81" fillId="0" borderId="0" xfId="0" applyFont="1" applyAlignment="1">
      <alignment horizontal="center"/>
    </xf>
    <xf numFmtId="0" fontId="41" fillId="20" borderId="0" xfId="0" applyFont="1" applyFill="1" applyAlignment="1">
      <alignment horizontal="left" indent="1"/>
    </xf>
    <xf numFmtId="0" fontId="15" fillId="20" borderId="0" xfId="0" applyFont="1" applyFill="1" applyAlignment="1">
      <alignment horizontal="left"/>
    </xf>
    <xf numFmtId="0" fontId="43" fillId="20" borderId="0" xfId="0" applyFont="1" applyFill="1" applyAlignment="1"/>
    <xf numFmtId="0" fontId="2" fillId="71" borderId="1" xfId="0" applyFont="1" applyFill="1" applyBorder="1" applyAlignment="1">
      <alignment horizontal="center" wrapText="1"/>
    </xf>
    <xf numFmtId="3" fontId="66" fillId="0" borderId="0" xfId="0" applyNumberFormat="1" applyFont="1" applyFill="1" applyBorder="1" applyAlignment="1">
      <alignment horizontal="center"/>
    </xf>
    <xf numFmtId="3" fontId="82" fillId="0" borderId="0" xfId="0" applyNumberFormat="1" applyFont="1" applyFill="1" applyBorder="1" applyAlignment="1">
      <alignment horizontal="center"/>
    </xf>
    <xf numFmtId="3" fontId="66" fillId="0" borderId="0" xfId="0" applyNumberFormat="1" applyFont="1" applyBorder="1" applyAlignment="1">
      <alignment horizontal="center"/>
    </xf>
    <xf numFmtId="3" fontId="66" fillId="0" borderId="0" xfId="0" applyNumberFormat="1" applyFont="1" applyAlignment="1">
      <alignment horizontal="center"/>
    </xf>
    <xf numFmtId="3" fontId="82" fillId="0" borderId="0" xfId="0" applyNumberFormat="1" applyFont="1" applyAlignment="1">
      <alignment horizontal="center"/>
    </xf>
    <xf numFmtId="0" fontId="2" fillId="7" borderId="1" xfId="0" applyFont="1" applyFill="1" applyBorder="1" applyAlignment="1">
      <alignment horizontal="center" wrapText="1"/>
    </xf>
    <xf numFmtId="165" fontId="41" fillId="7" borderId="1" xfId="1" applyNumberFormat="1" applyFont="1" applyFill="1" applyBorder="1" applyAlignment="1">
      <alignment horizontal="center"/>
    </xf>
    <xf numFmtId="0" fontId="4" fillId="0" borderId="3" xfId="0" applyFont="1" applyFill="1" applyBorder="1" applyAlignment="1">
      <alignment horizontal="center"/>
    </xf>
    <xf numFmtId="0" fontId="0" fillId="12" borderId="11" xfId="0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3" xfId="0" applyFont="1" applyFill="1" applyBorder="1" applyAlignment="1">
      <alignment horizontal="right"/>
    </xf>
    <xf numFmtId="0" fontId="4" fillId="0" borderId="0" xfId="0" applyFont="1" applyFill="1" applyAlignment="1">
      <alignment horizontal="right"/>
    </xf>
    <xf numFmtId="0" fontId="35" fillId="0" borderId="0" xfId="0" applyFont="1" applyFill="1" applyAlignment="1">
      <alignment horizontal="right"/>
    </xf>
    <xf numFmtId="0" fontId="0" fillId="12" borderId="11" xfId="0" applyFill="1" applyBorder="1" applyAlignment="1">
      <alignment horizontal="right"/>
    </xf>
    <xf numFmtId="0" fontId="21" fillId="0" borderId="1" xfId="0" applyFont="1" applyBorder="1" applyAlignment="1">
      <alignment horizontal="right"/>
    </xf>
    <xf numFmtId="0" fontId="21" fillId="0" borderId="0" xfId="0" applyFont="1" applyAlignment="1">
      <alignment horizontal="right"/>
    </xf>
    <xf numFmtId="1" fontId="41" fillId="0" borderId="0" xfId="0" applyNumberFormat="1" applyFont="1" applyBorder="1" applyAlignment="1">
      <alignment horizontal="right"/>
    </xf>
    <xf numFmtId="1" fontId="40" fillId="0" borderId="0" xfId="1" applyNumberFormat="1" applyFont="1" applyFill="1" applyBorder="1" applyAlignment="1">
      <alignment horizontal="right"/>
    </xf>
    <xf numFmtId="1" fontId="41" fillId="0" borderId="0" xfId="1" applyNumberFormat="1" applyFont="1" applyFill="1" applyBorder="1" applyAlignment="1">
      <alignment horizontal="right"/>
    </xf>
    <xf numFmtId="1" fontId="40" fillId="0" borderId="0" xfId="0" applyNumberFormat="1" applyFont="1" applyFill="1" applyAlignment="1">
      <alignment horizontal="right"/>
    </xf>
    <xf numFmtId="1" fontId="41" fillId="0" borderId="0" xfId="0" applyNumberFormat="1" applyFont="1" applyFill="1" applyAlignment="1">
      <alignment horizontal="right"/>
    </xf>
    <xf numFmtId="3" fontId="64" fillId="0" borderId="0" xfId="0" applyNumberFormat="1" applyFont="1" applyAlignment="1">
      <alignment horizontal="center"/>
    </xf>
    <xf numFmtId="0" fontId="64" fillId="0" borderId="0" xfId="0" applyFont="1" applyAlignment="1">
      <alignment horizontal="left"/>
    </xf>
    <xf numFmtId="0" fontId="2" fillId="0" borderId="9" xfId="0" applyFont="1" applyBorder="1" applyAlignment="1">
      <alignment horizontal="left" indent="1"/>
    </xf>
    <xf numFmtId="0" fontId="35" fillId="7" borderId="1" xfId="0" applyFont="1" applyFill="1" applyBorder="1"/>
    <xf numFmtId="0" fontId="64" fillId="0" borderId="0" xfId="0" applyFont="1" applyFill="1" applyBorder="1" applyAlignment="1">
      <alignment horizontal="center" wrapText="1"/>
    </xf>
    <xf numFmtId="0" fontId="4" fillId="0" borderId="8" xfId="0" applyFont="1" applyBorder="1"/>
    <xf numFmtId="0" fontId="2" fillId="0" borderId="7" xfId="0" applyFont="1" applyBorder="1" applyAlignment="1">
      <alignment horizontal="left" indent="1"/>
    </xf>
    <xf numFmtId="0" fontId="4" fillId="0" borderId="3" xfId="0" applyFont="1" applyBorder="1" applyAlignment="1">
      <alignment horizontal="left"/>
    </xf>
    <xf numFmtId="0" fontId="2" fillId="0" borderId="7" xfId="0" applyFont="1" applyBorder="1"/>
    <xf numFmtId="0" fontId="2" fillId="18" borderId="2" xfId="0" applyFont="1" applyFill="1" applyBorder="1" applyAlignment="1">
      <alignment horizontal="left"/>
    </xf>
    <xf numFmtId="0" fontId="4" fillId="18" borderId="11" xfId="0" applyFont="1" applyFill="1" applyBorder="1" applyAlignment="1">
      <alignment horizontal="left"/>
    </xf>
    <xf numFmtId="0" fontId="4" fillId="18" borderId="11" xfId="0" applyFont="1" applyFill="1" applyBorder="1" applyAlignment="1">
      <alignment horizontal="right"/>
    </xf>
    <xf numFmtId="0" fontId="15" fillId="18" borderId="11" xfId="0" applyFont="1" applyFill="1" applyBorder="1" applyAlignment="1">
      <alignment horizontal="center"/>
    </xf>
    <xf numFmtId="0" fontId="15" fillId="18" borderId="11" xfId="0" applyFont="1" applyFill="1" applyBorder="1" applyAlignment="1">
      <alignment horizontal="right"/>
    </xf>
    <xf numFmtId="0" fontId="4" fillId="18" borderId="11" xfId="0" applyFont="1" applyFill="1" applyBorder="1" applyAlignment="1">
      <alignment horizontal="center"/>
    </xf>
    <xf numFmtId="0" fontId="4" fillId="18" borderId="12" xfId="0" applyFont="1" applyFill="1" applyBorder="1"/>
    <xf numFmtId="164" fontId="0" fillId="0" borderId="2" xfId="0" applyNumberFormat="1" applyFill="1" applyBorder="1"/>
    <xf numFmtId="164" fontId="0" fillId="0" borderId="11" xfId="0" applyNumberFormat="1" applyFill="1" applyBorder="1"/>
    <xf numFmtId="164" fontId="0" fillId="0" borderId="12" xfId="0" applyNumberFormat="1" applyFill="1" applyBorder="1"/>
    <xf numFmtId="0" fontId="22" fillId="71" borderId="0" xfId="0" applyFont="1" applyFill="1" applyAlignment="1">
      <alignment horizontal="center"/>
    </xf>
    <xf numFmtId="171" fontId="0" fillId="16" borderId="4" xfId="2" applyNumberFormat="1" applyFont="1" applyFill="1" applyBorder="1"/>
    <xf numFmtId="171" fontId="0" fillId="16" borderId="0" xfId="2" applyNumberFormat="1" applyFont="1" applyFill="1" applyBorder="1"/>
    <xf numFmtId="171" fontId="0" fillId="16" borderId="5" xfId="2" applyNumberFormat="1" applyFont="1" applyFill="1" applyBorder="1"/>
    <xf numFmtId="171" fontId="0" fillId="16" borderId="6" xfId="2" applyNumberFormat="1" applyFont="1" applyFill="1" applyBorder="1"/>
    <xf numFmtId="171" fontId="0" fillId="16" borderId="7" xfId="2" applyNumberFormat="1" applyFont="1" applyFill="1" applyBorder="1"/>
    <xf numFmtId="171" fontId="0" fillId="16" borderId="8" xfId="2" applyNumberFormat="1" applyFont="1" applyFill="1" applyBorder="1"/>
    <xf numFmtId="171" fontId="0" fillId="16" borderId="9" xfId="2" applyNumberFormat="1" applyFont="1" applyFill="1" applyBorder="1"/>
    <xf numFmtId="171" fontId="0" fillId="16" borderId="3" xfId="2" applyNumberFormat="1" applyFont="1" applyFill="1" applyBorder="1"/>
    <xf numFmtId="171" fontId="0" fillId="16" borderId="10" xfId="2" applyNumberFormat="1" applyFont="1" applyFill="1" applyBorder="1"/>
    <xf numFmtId="171" fontId="0" fillId="0" borderId="2" xfId="2" applyNumberFormat="1" applyFont="1" applyFill="1" applyBorder="1"/>
    <xf numFmtId="171" fontId="0" fillId="0" borderId="11" xfId="2" applyNumberFormat="1" applyFont="1" applyFill="1" applyBorder="1"/>
    <xf numFmtId="171" fontId="0" fillId="0" borderId="12" xfId="2" applyNumberFormat="1" applyFont="1" applyFill="1" applyBorder="1"/>
    <xf numFmtId="171" fontId="0" fillId="0" borderId="1" xfId="2" applyNumberFormat="1" applyFont="1" applyFill="1" applyBorder="1"/>
    <xf numFmtId="164" fontId="0" fillId="16" borderId="9" xfId="0" applyNumberFormat="1" applyFill="1" applyBorder="1"/>
    <xf numFmtId="164" fontId="0" fillId="16" borderId="3" xfId="0" applyNumberFormat="1" applyFill="1" applyBorder="1"/>
    <xf numFmtId="164" fontId="0" fillId="16" borderId="10" xfId="0" applyNumberFormat="1" applyFill="1" applyBorder="1"/>
    <xf numFmtId="0" fontId="17" fillId="6" borderId="2" xfId="0" applyFont="1" applyFill="1" applyBorder="1" applyAlignment="1">
      <alignment horizontal="left"/>
    </xf>
    <xf numFmtId="0" fontId="31" fillId="16" borderId="11" xfId="0" applyFont="1" applyFill="1" applyBorder="1" applyAlignment="1">
      <alignment horizontal="left"/>
    </xf>
    <xf numFmtId="0" fontId="41" fillId="9" borderId="1" xfId="0" applyFont="1" applyFill="1" applyBorder="1" applyAlignment="1">
      <alignment horizontal="center" wrapText="1"/>
    </xf>
    <xf numFmtId="0" fontId="35" fillId="9" borderId="0" xfId="0" applyFont="1" applyFill="1" applyAlignment="1">
      <alignment horizontal="right" indent="2"/>
    </xf>
    <xf numFmtId="0" fontId="35" fillId="8" borderId="0" xfId="0" applyFont="1" applyFill="1" applyAlignment="1">
      <alignment horizontal="right" indent="2"/>
    </xf>
    <xf numFmtId="0" fontId="14" fillId="8" borderId="1" xfId="0" applyFont="1" applyFill="1" applyBorder="1" applyAlignment="1">
      <alignment horizontal="center"/>
    </xf>
    <xf numFmtId="0" fontId="14" fillId="9" borderId="1" xfId="0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3" fontId="41" fillId="67" borderId="0" xfId="1" applyNumberFormat="1" applyFont="1" applyFill="1" applyBorder="1" applyAlignment="1">
      <alignment horizontal="right"/>
    </xf>
    <xf numFmtId="3" fontId="41" fillId="67" borderId="0" xfId="0" applyNumberFormat="1" applyFont="1" applyFill="1" applyBorder="1" applyAlignment="1"/>
    <xf numFmtId="0" fontId="15" fillId="67" borderId="0" xfId="0" applyFont="1" applyFill="1" applyBorder="1" applyAlignment="1"/>
    <xf numFmtId="0" fontId="41" fillId="16" borderId="0" xfId="0" applyFont="1" applyFill="1" applyBorder="1" applyAlignment="1">
      <alignment horizontal="left"/>
    </xf>
    <xf numFmtId="4" fontId="41" fillId="16" borderId="0" xfId="0" applyNumberFormat="1" applyFont="1" applyFill="1" applyBorder="1" applyAlignment="1">
      <alignment horizontal="right"/>
    </xf>
    <xf numFmtId="9" fontId="0" fillId="0" borderId="0" xfId="2" applyFont="1"/>
    <xf numFmtId="1" fontId="0" fillId="0" borderId="0" xfId="0" applyNumberFormat="1" applyFont="1" applyBorder="1" applyAlignment="1">
      <alignment horizontal="center"/>
    </xf>
    <xf numFmtId="0" fontId="0" fillId="16" borderId="0" xfId="0" applyFont="1" applyFill="1"/>
    <xf numFmtId="9" fontId="0" fillId="0" borderId="0" xfId="0" applyNumberFormat="1" applyFont="1"/>
    <xf numFmtId="9" fontId="0" fillId="74" borderId="7" xfId="2" applyNumberFormat="1" applyFont="1" applyFill="1" applyBorder="1"/>
    <xf numFmtId="9" fontId="0" fillId="74" borderId="0" xfId="2" applyNumberFormat="1" applyFont="1" applyFill="1" applyBorder="1"/>
    <xf numFmtId="9" fontId="0" fillId="74" borderId="8" xfId="2" applyNumberFormat="1" applyFont="1" applyFill="1" applyBorder="1"/>
    <xf numFmtId="9" fontId="0" fillId="74" borderId="9" xfId="2" applyNumberFormat="1" applyFont="1" applyFill="1" applyBorder="1"/>
    <xf numFmtId="9" fontId="0" fillId="74" borderId="3" xfId="2" applyNumberFormat="1" applyFont="1" applyFill="1" applyBorder="1"/>
    <xf numFmtId="9" fontId="0" fillId="74" borderId="10" xfId="2" applyNumberFormat="1" applyFont="1" applyFill="1" applyBorder="1"/>
    <xf numFmtId="9" fontId="0" fillId="74" borderId="4" xfId="2" applyNumberFormat="1" applyFont="1" applyFill="1" applyBorder="1"/>
    <xf numFmtId="9" fontId="0" fillId="74" borderId="5" xfId="2" applyNumberFormat="1" applyFont="1" applyFill="1" applyBorder="1"/>
    <xf numFmtId="9" fontId="0" fillId="74" borderId="6" xfId="2" applyNumberFormat="1" applyFont="1" applyFill="1" applyBorder="1"/>
    <xf numFmtId="166" fontId="0" fillId="0" borderId="0" xfId="0" applyNumberFormat="1" applyFont="1"/>
    <xf numFmtId="0" fontId="0" fillId="74" borderId="0" xfId="0" applyFont="1" applyFill="1"/>
    <xf numFmtId="172" fontId="0" fillId="0" borderId="0" xfId="0" applyNumberFormat="1" applyFont="1"/>
    <xf numFmtId="172" fontId="17" fillId="0" borderId="0" xfId="0" applyNumberFormat="1" applyFont="1"/>
    <xf numFmtId="0" fontId="0" fillId="18" borderId="0" xfId="0" applyFont="1" applyFill="1" applyAlignment="1">
      <alignment horizontal="center"/>
    </xf>
    <xf numFmtId="9" fontId="0" fillId="16" borderId="0" xfId="2" applyFont="1" applyFill="1"/>
    <xf numFmtId="9" fontId="0" fillId="74" borderId="0" xfId="2" applyFont="1" applyFill="1"/>
    <xf numFmtId="171" fontId="0" fillId="74" borderId="0" xfId="2" applyNumberFormat="1" applyFont="1" applyFill="1"/>
    <xf numFmtId="10" fontId="0" fillId="16" borderId="0" xfId="2" applyNumberFormat="1" applyFont="1" applyFill="1"/>
    <xf numFmtId="10" fontId="0" fillId="74" borderId="0" xfId="2" applyNumberFormat="1" applyFont="1" applyFill="1"/>
    <xf numFmtId="10" fontId="0" fillId="13" borderId="0" xfId="2" applyNumberFormat="1" applyFont="1" applyFill="1"/>
    <xf numFmtId="10" fontId="0" fillId="7" borderId="0" xfId="2" applyNumberFormat="1" applyFont="1" applyFill="1"/>
    <xf numFmtId="10" fontId="0" fillId="71" borderId="0" xfId="2" applyNumberFormat="1" applyFont="1" applyFill="1"/>
    <xf numFmtId="10" fontId="0" fillId="0" borderId="0" xfId="2" applyNumberFormat="1" applyFont="1"/>
    <xf numFmtId="0" fontId="0" fillId="14" borderId="1" xfId="0" applyFill="1" applyBorder="1" applyAlignment="1">
      <alignment horizontal="center" wrapText="1"/>
    </xf>
    <xf numFmtId="0" fontId="0" fillId="15" borderId="11" xfId="0" applyFont="1" applyFill="1" applyBorder="1"/>
    <xf numFmtId="0" fontId="0" fillId="74" borderId="0" xfId="0" applyFill="1"/>
    <xf numFmtId="0" fontId="0" fillId="6" borderId="11" xfId="0" applyFont="1" applyFill="1" applyBorder="1"/>
    <xf numFmtId="0" fontId="0" fillId="6" borderId="12" xfId="0" applyFill="1" applyBorder="1" applyAlignment="1">
      <alignment horizontal="right"/>
    </xf>
    <xf numFmtId="0" fontId="0" fillId="6" borderId="12" xfId="0" applyFont="1" applyFill="1" applyBorder="1"/>
    <xf numFmtId="0" fontId="0" fillId="65" borderId="0" xfId="0" applyFill="1"/>
    <xf numFmtId="0" fontId="0" fillId="65" borderId="0" xfId="0" applyFont="1" applyFill="1"/>
    <xf numFmtId="0" fontId="0" fillId="0" borderId="11" xfId="0" applyFont="1" applyBorder="1"/>
    <xf numFmtId="0" fontId="0" fillId="0" borderId="12" xfId="0" applyFont="1" applyBorder="1"/>
    <xf numFmtId="9" fontId="0" fillId="16" borderId="0" xfId="2" applyFont="1" applyFill="1" applyAlignment="1">
      <alignment horizontal="right"/>
    </xf>
    <xf numFmtId="9" fontId="0" fillId="0" borderId="0" xfId="2" applyFont="1" applyAlignment="1">
      <alignment horizontal="right"/>
    </xf>
    <xf numFmtId="0" fontId="17" fillId="0" borderId="2" xfId="0" applyFont="1" applyBorder="1" applyAlignment="1">
      <alignment horizontal="left"/>
    </xf>
    <xf numFmtId="0" fontId="17" fillId="0" borderId="1" xfId="0" applyFont="1" applyBorder="1"/>
    <xf numFmtId="172" fontId="0" fillId="0" borderId="1" xfId="1" applyNumberFormat="1" applyFont="1" applyFill="1" applyBorder="1" applyAlignment="1">
      <alignment horizontal="center" wrapText="1"/>
    </xf>
    <xf numFmtId="0" fontId="17" fillId="15" borderId="2" xfId="0" applyFont="1" applyFill="1" applyBorder="1"/>
    <xf numFmtId="0" fontId="0" fillId="15" borderId="12" xfId="0" applyFill="1" applyBorder="1" applyAlignment="1">
      <alignment horizontal="right"/>
    </xf>
    <xf numFmtId="0" fontId="0" fillId="71" borderId="0" xfId="0" applyFont="1" applyFill="1"/>
    <xf numFmtId="0" fontId="0" fillId="58" borderId="0" xfId="0" applyFont="1" applyFill="1"/>
    <xf numFmtId="0" fontId="0" fillId="13" borderId="0" xfId="0" applyFont="1" applyFill="1"/>
    <xf numFmtId="0" fontId="0" fillId="18" borderId="0" xfId="0" applyFont="1" applyFill="1"/>
    <xf numFmtId="0" fontId="0" fillId="16" borderId="0" xfId="0" applyFill="1" applyAlignment="1">
      <alignment horizontal="left" indent="1"/>
    </xf>
    <xf numFmtId="0" fontId="0" fillId="74" borderId="0" xfId="0" applyFill="1" applyAlignment="1">
      <alignment horizontal="left" indent="1"/>
    </xf>
    <xf numFmtId="0" fontId="0" fillId="58" borderId="0" xfId="0" applyFill="1" applyAlignment="1">
      <alignment horizontal="left" indent="1"/>
    </xf>
    <xf numFmtId="0" fontId="0" fillId="13" borderId="0" xfId="0" applyFill="1" applyAlignment="1">
      <alignment horizontal="left" indent="1"/>
    </xf>
    <xf numFmtId="0" fontId="0" fillId="18" borderId="0" xfId="0" applyFill="1" applyAlignment="1">
      <alignment horizontal="left" indent="1"/>
    </xf>
    <xf numFmtId="0" fontId="0" fillId="71" borderId="0" xfId="0" applyFill="1" applyAlignment="1">
      <alignment horizontal="left" indent="1"/>
    </xf>
    <xf numFmtId="0" fontId="31" fillId="0" borderId="0" xfId="0" applyFont="1" applyFill="1" applyBorder="1" applyAlignment="1">
      <alignment horizontal="right"/>
    </xf>
    <xf numFmtId="0" fontId="0" fillId="18" borderId="0" xfId="0" applyFont="1" applyFill="1" applyAlignment="1">
      <alignment horizontal="right"/>
    </xf>
    <xf numFmtId="0" fontId="0" fillId="18" borderId="0" xfId="0" applyFill="1" applyAlignment="1">
      <alignment horizontal="right"/>
    </xf>
    <xf numFmtId="14" fontId="0" fillId="0" borderId="0" xfId="0" applyNumberFormat="1" applyFont="1" applyAlignment="1">
      <alignment horizontal="left" indent="1"/>
    </xf>
    <xf numFmtId="14" fontId="0" fillId="0" borderId="0" xfId="0" applyNumberFormat="1" applyFont="1" applyAlignment="1">
      <alignment horizontal="center"/>
    </xf>
    <xf numFmtId="0" fontId="31" fillId="3" borderId="2" xfId="0" applyFont="1" applyFill="1" applyBorder="1"/>
    <xf numFmtId="0" fontId="31" fillId="3" borderId="12" xfId="0" applyFont="1" applyFill="1" applyBorder="1"/>
    <xf numFmtId="0" fontId="31" fillId="4" borderId="7" xfId="0" applyFont="1" applyFill="1" applyBorder="1"/>
    <xf numFmtId="0" fontId="31" fillId="4" borderId="8" xfId="0" applyFont="1" applyFill="1" applyBorder="1"/>
    <xf numFmtId="0" fontId="31" fillId="0" borderId="0" xfId="0" applyFont="1" applyAlignment="1">
      <alignment horizontal="left" indent="1"/>
    </xf>
    <xf numFmtId="14" fontId="31" fillId="0" borderId="0" xfId="0" applyNumberFormat="1" applyFont="1" applyAlignment="1">
      <alignment horizontal="left"/>
    </xf>
    <xf numFmtId="0" fontId="84" fillId="0" borderId="0" xfId="49" applyFont="1" applyAlignment="1" applyProtection="1"/>
    <xf numFmtId="0" fontId="21" fillId="4" borderId="4" xfId="0" applyFont="1" applyFill="1" applyBorder="1" applyAlignment="1"/>
    <xf numFmtId="0" fontId="21" fillId="4" borderId="6" xfId="0" applyFont="1" applyFill="1" applyBorder="1" applyAlignment="1">
      <alignment horizontal="left"/>
    </xf>
    <xf numFmtId="0" fontId="21" fillId="4" borderId="7" xfId="0" applyFont="1" applyFill="1" applyBorder="1"/>
    <xf numFmtId="0" fontId="21" fillId="4" borderId="8" xfId="0" applyFont="1" applyFill="1" applyBorder="1"/>
    <xf numFmtId="0" fontId="21" fillId="4" borderId="9" xfId="0" applyFont="1" applyFill="1" applyBorder="1"/>
    <xf numFmtId="0" fontId="17" fillId="0" borderId="0" xfId="0" applyFont="1" applyFill="1" applyBorder="1" applyAlignment="1">
      <alignment horizontal="left" indent="1"/>
    </xf>
    <xf numFmtId="0" fontId="0" fillId="16" borderId="10" xfId="0" applyFill="1" applyBorder="1"/>
    <xf numFmtId="169" fontId="20" fillId="0" borderId="11" xfId="5" applyNumberFormat="1" applyFont="1" applyFill="1" applyBorder="1" applyAlignment="1">
      <alignment horizontal="right"/>
    </xf>
    <xf numFmtId="169" fontId="20" fillId="0" borderId="12" xfId="5" applyNumberFormat="1" applyFont="1" applyFill="1" applyBorder="1" applyAlignment="1">
      <alignment horizontal="right"/>
    </xf>
    <xf numFmtId="169" fontId="20" fillId="0" borderId="2" xfId="5" applyNumberFormat="1" applyFont="1" applyFill="1" applyBorder="1" applyAlignment="1">
      <alignment horizontal="right"/>
    </xf>
    <xf numFmtId="0" fontId="20" fillId="0" borderId="1" xfId="5" applyFont="1" applyBorder="1"/>
    <xf numFmtId="0" fontId="0" fillId="16" borderId="12" xfId="0" applyFont="1" applyFill="1" applyBorder="1"/>
    <xf numFmtId="171" fontId="0" fillId="0" borderId="0" xfId="2" applyNumberFormat="1" applyFont="1" applyFill="1"/>
    <xf numFmtId="0" fontId="31" fillId="4" borderId="1" xfId="0" applyFont="1" applyFill="1" applyBorder="1" applyAlignment="1">
      <alignment horizontal="left"/>
    </xf>
    <xf numFmtId="0" fontId="0" fillId="67" borderId="1" xfId="0" applyFill="1" applyBorder="1" applyAlignment="1">
      <alignment horizontal="center" wrapText="1"/>
    </xf>
    <xf numFmtId="0" fontId="17" fillId="67" borderId="1" xfId="0" applyFont="1" applyFill="1" applyBorder="1" applyAlignment="1">
      <alignment horizontal="center"/>
    </xf>
    <xf numFmtId="0" fontId="17" fillId="65" borderId="2" xfId="0" applyFont="1" applyFill="1" applyBorder="1" applyAlignment="1">
      <alignment horizontal="center"/>
    </xf>
    <xf numFmtId="0" fontId="17" fillId="65" borderId="11" xfId="0" applyFont="1" applyFill="1" applyBorder="1" applyAlignment="1">
      <alignment horizontal="center"/>
    </xf>
    <xf numFmtId="0" fontId="17" fillId="65" borderId="12" xfId="0" applyFont="1" applyFill="1" applyBorder="1" applyAlignment="1">
      <alignment horizontal="center"/>
    </xf>
    <xf numFmtId="0" fontId="17" fillId="63" borderId="2" xfId="0" applyFont="1" applyFill="1" applyBorder="1" applyAlignment="1">
      <alignment horizontal="center"/>
    </xf>
    <xf numFmtId="0" fontId="17" fillId="63" borderId="11" xfId="0" applyFont="1" applyFill="1" applyBorder="1" applyAlignment="1">
      <alignment horizontal="center"/>
    </xf>
    <xf numFmtId="0" fontId="17" fillId="63" borderId="12" xfId="0" applyFont="1" applyFill="1" applyBorder="1" applyAlignment="1">
      <alignment horizontal="center"/>
    </xf>
    <xf numFmtId="0" fontId="17" fillId="64" borderId="2" xfId="0" applyFont="1" applyFill="1" applyBorder="1" applyAlignment="1">
      <alignment horizontal="center"/>
    </xf>
    <xf numFmtId="0" fontId="17" fillId="64" borderId="11" xfId="0" applyFont="1" applyFill="1" applyBorder="1" applyAlignment="1">
      <alignment horizontal="center"/>
    </xf>
    <xf numFmtId="0" fontId="17" fillId="64" borderId="12" xfId="0" applyFont="1" applyFill="1" applyBorder="1" applyAlignment="1">
      <alignment horizontal="center"/>
    </xf>
    <xf numFmtId="0" fontId="0" fillId="64" borderId="1" xfId="0" applyFill="1" applyBorder="1" applyAlignment="1">
      <alignment horizontal="center" wrapText="1"/>
    </xf>
    <xf numFmtId="0" fontId="0" fillId="68" borderId="1" xfId="0" applyFill="1" applyBorder="1" applyAlignment="1">
      <alignment horizontal="center" wrapText="1"/>
    </xf>
    <xf numFmtId="0" fontId="0" fillId="68" borderId="2" xfId="0" applyFill="1" applyBorder="1" applyAlignment="1">
      <alignment horizontal="center" wrapText="1"/>
    </xf>
    <xf numFmtId="0" fontId="0" fillId="68" borderId="11" xfId="0" applyFill="1" applyBorder="1" applyAlignment="1">
      <alignment horizontal="center" wrapText="1"/>
    </xf>
    <xf numFmtId="0" fontId="0" fillId="66" borderId="2" xfId="0" applyFont="1" applyFill="1" applyBorder="1" applyAlignment="1">
      <alignment horizontal="center" wrapText="1"/>
    </xf>
    <xf numFmtId="0" fontId="0" fillId="66" borderId="11" xfId="0" applyFont="1" applyFill="1" applyBorder="1" applyAlignment="1">
      <alignment horizontal="center" wrapText="1"/>
    </xf>
    <xf numFmtId="0" fontId="0" fillId="66" borderId="12" xfId="0" applyFont="1" applyFill="1" applyBorder="1" applyAlignment="1">
      <alignment horizontal="center" wrapText="1"/>
    </xf>
    <xf numFmtId="0" fontId="17" fillId="66" borderId="1" xfId="0" applyFont="1" applyFill="1" applyBorder="1" applyAlignment="1">
      <alignment horizontal="center"/>
    </xf>
    <xf numFmtId="0" fontId="17" fillId="68" borderId="1" xfId="0" applyFont="1" applyFill="1" applyBorder="1" applyAlignment="1">
      <alignment horizontal="center"/>
    </xf>
    <xf numFmtId="0" fontId="0" fillId="65" borderId="2" xfId="0" applyFill="1" applyBorder="1" applyAlignment="1">
      <alignment horizontal="center" wrapText="1"/>
    </xf>
    <xf numFmtId="0" fontId="0" fillId="65" borderId="11" xfId="0" applyFill="1" applyBorder="1" applyAlignment="1">
      <alignment horizontal="center" wrapText="1"/>
    </xf>
    <xf numFmtId="0" fontId="0" fillId="65" borderId="12" xfId="0" applyFill="1" applyBorder="1" applyAlignment="1">
      <alignment horizontal="center" wrapText="1"/>
    </xf>
    <xf numFmtId="0" fontId="0" fillId="63" borderId="2" xfId="0" applyFill="1" applyBorder="1" applyAlignment="1">
      <alignment horizontal="center" wrapText="1"/>
    </xf>
    <xf numFmtId="0" fontId="0" fillId="63" borderId="11" xfId="0" applyFill="1" applyBorder="1" applyAlignment="1">
      <alignment horizontal="center" wrapText="1"/>
    </xf>
    <xf numFmtId="0" fontId="0" fillId="63" borderId="12" xfId="0" applyFill="1" applyBorder="1" applyAlignment="1">
      <alignment horizontal="center" wrapText="1"/>
    </xf>
    <xf numFmtId="0" fontId="17" fillId="66" borderId="2" xfId="0" applyFont="1" applyFill="1" applyBorder="1" applyAlignment="1">
      <alignment horizontal="center"/>
    </xf>
    <xf numFmtId="0" fontId="17" fillId="66" borderId="11" xfId="0" applyFont="1" applyFill="1" applyBorder="1" applyAlignment="1">
      <alignment horizontal="center"/>
    </xf>
    <xf numFmtId="0" fontId="17" fillId="66" borderId="12" xfId="0" applyFont="1" applyFill="1" applyBorder="1" applyAlignment="1">
      <alignment horizontal="center"/>
    </xf>
    <xf numFmtId="0" fontId="17" fillId="68" borderId="2" xfId="0" applyFont="1" applyFill="1" applyBorder="1" applyAlignment="1">
      <alignment horizontal="center"/>
    </xf>
    <xf numFmtId="0" fontId="17" fillId="68" borderId="11" xfId="0" applyFont="1" applyFill="1" applyBorder="1" applyAlignment="1">
      <alignment horizontal="center"/>
    </xf>
    <xf numFmtId="0" fontId="17" fillId="68" borderId="12" xfId="0" applyFont="1" applyFill="1" applyBorder="1" applyAlignment="1">
      <alignment horizontal="center"/>
    </xf>
    <xf numFmtId="0" fontId="0" fillId="63" borderId="1" xfId="0" applyFill="1" applyBorder="1" applyAlignment="1">
      <alignment horizontal="center" wrapText="1"/>
    </xf>
    <xf numFmtId="0" fontId="17" fillId="63" borderId="1" xfId="0" applyFont="1" applyFill="1" applyBorder="1" applyAlignment="1">
      <alignment horizontal="center"/>
    </xf>
    <xf numFmtId="0" fontId="30" fillId="0" borderId="0" xfId="0" applyFont="1" applyAlignment="1">
      <alignment horizontal="center" wrapText="1"/>
    </xf>
    <xf numFmtId="0" fontId="17" fillId="64" borderId="1" xfId="0" applyFont="1" applyFill="1" applyBorder="1" applyAlignment="1">
      <alignment horizontal="center"/>
    </xf>
    <xf numFmtId="0" fontId="0" fillId="66" borderId="1" xfId="0" applyFont="1" applyFill="1" applyBorder="1" applyAlignment="1">
      <alignment horizontal="center"/>
    </xf>
    <xf numFmtId="0" fontId="0" fillId="65" borderId="1" xfId="0" applyFill="1" applyBorder="1" applyAlignment="1">
      <alignment horizontal="center" wrapText="1"/>
    </xf>
    <xf numFmtId="0" fontId="17" fillId="65" borderId="1" xfId="0" applyFont="1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75" fillId="70" borderId="0" xfId="0" applyFont="1" applyFill="1" applyBorder="1" applyAlignment="1">
      <alignment horizontal="center"/>
    </xf>
    <xf numFmtId="0" fontId="75" fillId="70" borderId="8" xfId="0" applyFont="1" applyFill="1" applyBorder="1" applyAlignment="1">
      <alignment horizontal="center"/>
    </xf>
    <xf numFmtId="0" fontId="0" fillId="0" borderId="13" xfId="0" applyBorder="1" applyAlignment="1">
      <alignment horizontal="center"/>
    </xf>
    <xf numFmtId="0" fontId="31" fillId="21" borderId="1" xfId="0" applyFont="1" applyFill="1" applyBorder="1" applyAlignment="1">
      <alignment horizontal="center"/>
    </xf>
    <xf numFmtId="0" fontId="31" fillId="24" borderId="1" xfId="0" applyFont="1" applyFill="1" applyBorder="1" applyAlignment="1">
      <alignment horizontal="center"/>
    </xf>
    <xf numFmtId="0" fontId="31" fillId="25" borderId="1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" xfId="0" applyFont="1" applyBorder="1" applyAlignment="1">
      <alignment horizontal="center"/>
    </xf>
    <xf numFmtId="173" fontId="21" fillId="13" borderId="1" xfId="1" applyNumberFormat="1" applyFont="1" applyFill="1" applyBorder="1" applyAlignment="1">
      <alignment horizontal="center"/>
    </xf>
    <xf numFmtId="0" fontId="31" fillId="8" borderId="2" xfId="0" applyFont="1" applyFill="1" applyBorder="1" applyAlignment="1">
      <alignment horizontal="center"/>
    </xf>
    <xf numFmtId="0" fontId="31" fillId="8" borderId="11" xfId="0" applyFont="1" applyFill="1" applyBorder="1" applyAlignment="1">
      <alignment horizontal="center"/>
    </xf>
    <xf numFmtId="0" fontId="31" fillId="8" borderId="12" xfId="0" applyFont="1" applyFill="1" applyBorder="1" applyAlignment="1">
      <alignment horizontal="center"/>
    </xf>
    <xf numFmtId="0" fontId="31" fillId="9" borderId="2" xfId="0" applyFont="1" applyFill="1" applyBorder="1" applyAlignment="1">
      <alignment horizontal="center"/>
    </xf>
    <xf numFmtId="0" fontId="31" fillId="9" borderId="11" xfId="0" applyFont="1" applyFill="1" applyBorder="1" applyAlignment="1">
      <alignment horizontal="center"/>
    </xf>
    <xf numFmtId="0" fontId="31" fillId="9" borderId="12" xfId="0" applyFont="1" applyFill="1" applyBorder="1" applyAlignment="1">
      <alignment horizontal="center"/>
    </xf>
    <xf numFmtId="173" fontId="31" fillId="13" borderId="1" xfId="1" applyNumberFormat="1" applyFont="1" applyFill="1" applyBorder="1" applyAlignment="1">
      <alignment horizontal="center"/>
    </xf>
    <xf numFmtId="173" fontId="31" fillId="18" borderId="1" xfId="1" applyNumberFormat="1" applyFont="1" applyFill="1" applyBorder="1" applyAlignment="1">
      <alignment horizontal="center"/>
    </xf>
    <xf numFmtId="173" fontId="21" fillId="7" borderId="2" xfId="1" applyNumberFormat="1" applyFont="1" applyFill="1" applyBorder="1" applyAlignment="1">
      <alignment horizontal="center"/>
    </xf>
    <xf numFmtId="173" fontId="21" fillId="7" borderId="11" xfId="1" applyNumberFormat="1" applyFont="1" applyFill="1" applyBorder="1" applyAlignment="1">
      <alignment horizontal="center"/>
    </xf>
    <xf numFmtId="173" fontId="21" fillId="7" borderId="12" xfId="1" applyNumberFormat="1" applyFont="1" applyFill="1" applyBorder="1" applyAlignment="1">
      <alignment horizontal="center"/>
    </xf>
    <xf numFmtId="173" fontId="31" fillId="0" borderId="2" xfId="1" applyNumberFormat="1" applyFont="1" applyBorder="1" applyAlignment="1">
      <alignment horizontal="center"/>
    </xf>
    <xf numFmtId="173" fontId="31" fillId="0" borderId="11" xfId="1" applyNumberFormat="1" applyFont="1" applyBorder="1" applyAlignment="1">
      <alignment horizontal="center"/>
    </xf>
    <xf numFmtId="173" fontId="31" fillId="0" borderId="12" xfId="1" applyNumberFormat="1" applyFont="1" applyBorder="1" applyAlignment="1">
      <alignment horizontal="center"/>
    </xf>
    <xf numFmtId="0" fontId="35" fillId="8" borderId="1" xfId="0" applyFont="1" applyFill="1" applyBorder="1" applyAlignment="1">
      <alignment horizontal="center"/>
    </xf>
    <xf numFmtId="0" fontId="35" fillId="9" borderId="1" xfId="0" applyFont="1" applyFill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4" fillId="0" borderId="12" xfId="0" applyFont="1" applyBorder="1" applyAlignment="1">
      <alignment horizontal="center"/>
    </xf>
    <xf numFmtId="0" fontId="17" fillId="13" borderId="1" xfId="0" applyFont="1" applyFill="1" applyBorder="1" applyAlignment="1">
      <alignment horizontal="center"/>
    </xf>
    <xf numFmtId="0" fontId="40" fillId="0" borderId="0" xfId="0" applyFont="1" applyFill="1" applyBorder="1" applyAlignment="1">
      <alignment horizontal="center" wrapText="1"/>
    </xf>
    <xf numFmtId="0" fontId="40" fillId="9" borderId="1" xfId="0" applyFont="1" applyFill="1" applyBorder="1" applyAlignment="1">
      <alignment horizontal="center" wrapText="1"/>
    </xf>
    <xf numFmtId="0" fontId="40" fillId="8" borderId="1" xfId="0" applyFont="1" applyFill="1" applyBorder="1" applyAlignment="1">
      <alignment horizontal="center" wrapText="1"/>
    </xf>
    <xf numFmtId="0" fontId="40" fillId="11" borderId="1" xfId="0" applyFont="1" applyFill="1" applyBorder="1" applyAlignment="1">
      <alignment horizontal="center" wrapText="1"/>
    </xf>
    <xf numFmtId="0" fontId="41" fillId="11" borderId="13" xfId="0" applyFont="1" applyFill="1" applyBorder="1" applyAlignment="1">
      <alignment horizontal="center" wrapText="1"/>
    </xf>
    <xf numFmtId="0" fontId="41" fillId="11" borderId="15" xfId="0" applyFont="1" applyFill="1" applyBorder="1" applyAlignment="1">
      <alignment horizontal="center" wrapText="1"/>
    </xf>
    <xf numFmtId="0" fontId="41" fillId="11" borderId="1" xfId="0" applyFont="1" applyFill="1" applyBorder="1" applyAlignment="1">
      <alignment horizontal="center" wrapText="1"/>
    </xf>
    <xf numFmtId="0" fontId="40" fillId="10" borderId="1" xfId="0" applyFont="1" applyFill="1" applyBorder="1" applyAlignment="1">
      <alignment horizontal="center" wrapText="1"/>
    </xf>
    <xf numFmtId="0" fontId="17" fillId="24" borderId="2" xfId="5" applyFont="1" applyFill="1" applyBorder="1" applyAlignment="1">
      <alignment horizontal="center"/>
    </xf>
    <xf numFmtId="0" fontId="17" fillId="24" borderId="11" xfId="5" applyFont="1" applyFill="1" applyBorder="1" applyAlignment="1">
      <alignment horizontal="center"/>
    </xf>
    <xf numFmtId="0" fontId="17" fillId="24" borderId="12" xfId="5" applyFont="1" applyFill="1" applyBorder="1" applyAlignment="1">
      <alignment horizontal="center"/>
    </xf>
    <xf numFmtId="0" fontId="21" fillId="24" borderId="1" xfId="5" applyFont="1" applyFill="1" applyBorder="1" applyAlignment="1">
      <alignment horizontal="center"/>
    </xf>
    <xf numFmtId="0" fontId="21" fillId="25" borderId="1" xfId="5" applyFont="1" applyFill="1" applyBorder="1" applyAlignment="1">
      <alignment horizontal="center"/>
    </xf>
    <xf numFmtId="0" fontId="0" fillId="9" borderId="1" xfId="5" applyFont="1" applyFill="1" applyBorder="1" applyAlignment="1">
      <alignment horizontal="center"/>
    </xf>
    <xf numFmtId="0" fontId="20" fillId="9" borderId="1" xfId="5" applyFont="1" applyFill="1" applyBorder="1" applyAlignment="1">
      <alignment horizontal="center"/>
    </xf>
    <xf numFmtId="0" fontId="0" fillId="8" borderId="1" xfId="5" applyFont="1" applyFill="1" applyBorder="1" applyAlignment="1">
      <alignment horizontal="center"/>
    </xf>
    <xf numFmtId="0" fontId="20" fillId="8" borderId="1" xfId="5" applyFont="1" applyFill="1" applyBorder="1" applyAlignment="1">
      <alignment horizontal="center"/>
    </xf>
    <xf numFmtId="0" fontId="20" fillId="18" borderId="4" xfId="5" applyFont="1" applyFill="1" applyBorder="1" applyAlignment="1">
      <alignment horizontal="center"/>
    </xf>
    <xf numFmtId="0" fontId="20" fillId="18" borderId="12" xfId="5" applyFont="1" applyFill="1" applyBorder="1" applyAlignment="1">
      <alignment horizontal="center"/>
    </xf>
    <xf numFmtId="0" fontId="17" fillId="25" borderId="2" xfId="5" applyFont="1" applyFill="1" applyBorder="1" applyAlignment="1">
      <alignment horizontal="center"/>
    </xf>
    <xf numFmtId="0" fontId="17" fillId="25" borderId="11" xfId="5" applyFont="1" applyFill="1" applyBorder="1" applyAlignment="1">
      <alignment horizontal="center"/>
    </xf>
    <xf numFmtId="0" fontId="17" fillId="25" borderId="12" xfId="5" applyFont="1" applyFill="1" applyBorder="1" applyAlignment="1">
      <alignment horizontal="center"/>
    </xf>
    <xf numFmtId="0" fontId="49" fillId="18" borderId="1" xfId="5" applyFill="1" applyBorder="1" applyAlignment="1">
      <alignment horizontal="center"/>
    </xf>
    <xf numFmtId="0" fontId="21" fillId="16" borderId="1" xfId="0" applyFont="1" applyFill="1" applyBorder="1" applyAlignment="1">
      <alignment horizontal="center"/>
    </xf>
    <xf numFmtId="0" fontId="0" fillId="16" borderId="1" xfId="0" applyFill="1" applyBorder="1" applyAlignment="1">
      <alignment horizontal="center"/>
    </xf>
    <xf numFmtId="0" fontId="0" fillId="16" borderId="2" xfId="0" applyFill="1" applyBorder="1" applyAlignment="1">
      <alignment horizontal="center"/>
    </xf>
    <xf numFmtId="0" fontId="0" fillId="16" borderId="12" xfId="0" applyFill="1" applyBorder="1" applyAlignment="1">
      <alignment horizontal="center"/>
    </xf>
    <xf numFmtId="0" fontId="24" fillId="3" borderId="2" xfId="0" applyFont="1" applyFill="1" applyBorder="1" applyAlignment="1">
      <alignment horizontal="left"/>
    </xf>
    <xf numFmtId="0" fontId="24" fillId="3" borderId="11" xfId="0" applyFont="1" applyFill="1" applyBorder="1" applyAlignment="1">
      <alignment horizontal="left"/>
    </xf>
    <xf numFmtId="0" fontId="24" fillId="3" borderId="12" xfId="0" applyFont="1" applyFill="1" applyBorder="1" applyAlignment="1">
      <alignment horizontal="left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50">
    <cellStyle name="20% - Accent1 2" xfId="7"/>
    <cellStyle name="20% - Accent2 2" xfId="8"/>
    <cellStyle name="20% - Accent3 2" xfId="9"/>
    <cellStyle name="20% - Accent4 2" xfId="10"/>
    <cellStyle name="20% - Accent5 2" xfId="11"/>
    <cellStyle name="20% - Accent6 2" xfId="12"/>
    <cellStyle name="40% - Accent1 2" xfId="13"/>
    <cellStyle name="40% - Accent2 2" xfId="14"/>
    <cellStyle name="40% - Accent3 2" xfId="15"/>
    <cellStyle name="40% - Accent4 2" xfId="16"/>
    <cellStyle name="40% - Accent5 2" xfId="17"/>
    <cellStyle name="40% - Accent6 2" xfId="18"/>
    <cellStyle name="60% - Accent1 2" xfId="19"/>
    <cellStyle name="60% - Accent2 2" xfId="20"/>
    <cellStyle name="60% - Accent3 2" xfId="21"/>
    <cellStyle name="60% - Accent4 2" xfId="22"/>
    <cellStyle name="60% - Accent5 2" xfId="23"/>
    <cellStyle name="60% - Accent6 2" xfId="24"/>
    <cellStyle name="Accent1 2" xfId="25"/>
    <cellStyle name="Accent2 2" xfId="26"/>
    <cellStyle name="Accent3 2" xfId="27"/>
    <cellStyle name="Accent4 2" xfId="28"/>
    <cellStyle name="Accent5 2" xfId="29"/>
    <cellStyle name="Accent6 2" xfId="30"/>
    <cellStyle name="Bad 2" xfId="31"/>
    <cellStyle name="Calculation 2" xfId="32"/>
    <cellStyle name="Check Cell 2" xfId="33"/>
    <cellStyle name="Comma" xfId="1" builtinId="3"/>
    <cellStyle name="Comma 2" xfId="6"/>
    <cellStyle name="Currency 2" xfId="34"/>
    <cellStyle name="Explanatory Text 2" xfId="35"/>
    <cellStyle name="Good 2" xfId="36"/>
    <cellStyle name="Heading 1 2" xfId="37"/>
    <cellStyle name="Heading 2 2" xfId="38"/>
    <cellStyle name="Heading 3 2" xfId="39"/>
    <cellStyle name="Heading 4 2" xfId="40"/>
    <cellStyle name="Hyperlink" xfId="49" builtinId="8"/>
    <cellStyle name="Input 2" xfId="41"/>
    <cellStyle name="Linked Cell 2" xfId="42"/>
    <cellStyle name="Neutral 2" xfId="43"/>
    <cellStyle name="Normal" xfId="0" builtinId="0"/>
    <cellStyle name="Normal 2" xfId="4"/>
    <cellStyle name="Normal 3" xfId="5"/>
    <cellStyle name="Normal 5" xfId="48"/>
    <cellStyle name="Note 2" xfId="44"/>
    <cellStyle name="Output 2" xfId="45"/>
    <cellStyle name="Percent" xfId="2" builtinId="5"/>
    <cellStyle name="Percent 2" xfId="3"/>
    <cellStyle name="Total 2" xfId="46"/>
    <cellStyle name="Warning Text 2" xfId="47"/>
  </cellStyles>
  <dxfs count="0"/>
  <tableStyles count="0" defaultTableStyle="TableStyleMedium9" defaultPivotStyle="PivotStyleLight16"/>
  <colors>
    <mruColors>
      <color rgb="FFFFFF99"/>
      <color rgb="FF99CC00"/>
      <color rgb="FFCCFFCC"/>
      <color rgb="FFB3A2C7"/>
      <color rgb="FF8EB4E3"/>
      <color rgb="FFD99694"/>
      <color rgb="FFFAC090"/>
      <color rgb="FFC3D69B"/>
      <color rgb="FFCC99FF"/>
      <color rgb="FFFF9933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7167830665534194E-2"/>
          <c:y val="8.8968445236670732E-2"/>
          <c:w val="0.8818497253228077"/>
          <c:h val="0.77907176212381102"/>
        </c:manualLayout>
      </c:layout>
      <c:barChart>
        <c:barDir val="col"/>
        <c:grouping val="clustered"/>
        <c:ser>
          <c:idx val="0"/>
          <c:order val="0"/>
          <c:tx>
            <c:strRef>
              <c:f>Figs_n_Tables!$C$19</c:f>
              <c:strCache>
                <c:ptCount val="1"/>
                <c:pt idx="0">
                  <c:v>Coastal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dLbls>
            <c:showVal val="1"/>
          </c:dLbls>
          <c:cat>
            <c:strRef>
              <c:f>Figs_n_Tables!$D$18:$G$18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Figs_n_Tables!$D$19:$G$19</c:f>
              <c:numCache>
                <c:formatCode>0.00</c:formatCode>
                <c:ptCount val="4"/>
                <c:pt idx="0">
                  <c:v>1.0297722329100547</c:v>
                </c:pt>
                <c:pt idx="1">
                  <c:v>1.0204607768377447</c:v>
                </c:pt>
                <c:pt idx="2">
                  <c:v>0.99079485676457946</c:v>
                </c:pt>
                <c:pt idx="3">
                  <c:v>0.83478703789820408</c:v>
                </c:pt>
              </c:numCache>
            </c:numRef>
          </c:val>
        </c:ser>
        <c:ser>
          <c:idx val="1"/>
          <c:order val="1"/>
          <c:tx>
            <c:strRef>
              <c:f>Figs_n_Tables!$C$20</c:f>
              <c:strCache>
                <c:ptCount val="1"/>
                <c:pt idx="0">
                  <c:v>Tidal Cal.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Figs_n_Tables!$D$18:$G$18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Figs_n_Tables!$D$20:$G$20</c:f>
              <c:numCache>
                <c:formatCode>0.00</c:formatCode>
                <c:ptCount val="4"/>
                <c:pt idx="0">
                  <c:v>1.1679720484565255</c:v>
                </c:pt>
                <c:pt idx="1">
                  <c:v>1.1380640658978958</c:v>
                </c:pt>
                <c:pt idx="2">
                  <c:v>1.0945116026319424</c:v>
                </c:pt>
                <c:pt idx="3">
                  <c:v>0.93360467145584647</c:v>
                </c:pt>
              </c:numCache>
            </c:numRef>
          </c:val>
        </c:ser>
        <c:ser>
          <c:idx val="2"/>
          <c:order val="2"/>
          <c:tx>
            <c:strRef>
              <c:f>Figs_n_Tables!$C$21</c:f>
              <c:strCache>
                <c:ptCount val="1"/>
                <c:pt idx="0">
                  <c:v>West Cal.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Figs_n_Tables!$D$18:$G$18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Figs_n_Tables!$D$21:$G$21</c:f>
              <c:numCache>
                <c:formatCode>0.00</c:formatCode>
                <c:ptCount val="4"/>
                <c:pt idx="0">
                  <c:v>1.3097955059772124</c:v>
                </c:pt>
                <c:pt idx="1">
                  <c:v>1.1450517976348811</c:v>
                </c:pt>
                <c:pt idx="2">
                  <c:v>1.0869314964701138</c:v>
                </c:pt>
                <c:pt idx="3">
                  <c:v>0.80000000000000016</c:v>
                </c:pt>
              </c:numCache>
            </c:numRef>
          </c:val>
        </c:ser>
        <c:ser>
          <c:idx val="3"/>
          <c:order val="3"/>
          <c:tx>
            <c:strRef>
              <c:f>Figs_n_Tables!$C$22</c:f>
              <c:strCache>
                <c:ptCount val="1"/>
                <c:pt idx="0">
                  <c:v>East Cal.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Figs_n_Tables!$D$18:$G$18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Figs_n_Tables!$D$22:$G$22</c:f>
              <c:numCache>
                <c:formatCode>0.00</c:formatCode>
                <c:ptCount val="4"/>
                <c:pt idx="0">
                  <c:v>1.3563084606842892</c:v>
                </c:pt>
                <c:pt idx="1">
                  <c:v>1.1627813749016025</c:v>
                </c:pt>
                <c:pt idx="2">
                  <c:v>0.98879435231014279</c:v>
                </c:pt>
                <c:pt idx="3">
                  <c:v>0.80000000000000016</c:v>
                </c:pt>
              </c:numCache>
            </c:numRef>
          </c:val>
        </c:ser>
        <c:ser>
          <c:idx val="4"/>
          <c:order val="4"/>
          <c:tx>
            <c:strRef>
              <c:f>Figs_n_Tables!$C$23</c:f>
              <c:strCache>
                <c:ptCount val="1"/>
                <c:pt idx="0">
                  <c:v>S-4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Figs_n_Tables!$D$18:$G$18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Figs_n_Tables!$D$23:$G$23</c:f>
              <c:numCache>
                <c:formatCode>0.00</c:formatCode>
                <c:ptCount val="4"/>
                <c:pt idx="0">
                  <c:v>2.0273293335279883</c:v>
                </c:pt>
                <c:pt idx="1">
                  <c:v>1.5936351477393291</c:v>
                </c:pt>
                <c:pt idx="2">
                  <c:v>1.532972809273655</c:v>
                </c:pt>
                <c:pt idx="3">
                  <c:v>1.3177656642802209</c:v>
                </c:pt>
              </c:numCache>
            </c:numRef>
          </c:val>
        </c:ser>
        <c:axId val="135907200"/>
        <c:axId val="129826816"/>
      </c:barChart>
      <c:catAx>
        <c:axId val="13590720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CRWPP Project Phase</a:t>
                </a:r>
              </a:p>
            </c:rich>
          </c:tx>
          <c:layout/>
        </c:title>
        <c:tickLblPos val="nextTo"/>
        <c:txPr>
          <a:bodyPr/>
          <a:lstStyle/>
          <a:p>
            <a:pPr>
              <a:defRPr sz="1200" b="1" baseline="0"/>
            </a:pPr>
            <a:endParaRPr lang="en-US"/>
          </a:p>
        </c:txPr>
        <c:crossAx val="129826816"/>
        <c:crossesAt val="0"/>
        <c:auto val="1"/>
        <c:lblAlgn val="ctr"/>
        <c:lblOffset val="100"/>
      </c:catAx>
      <c:valAx>
        <c:axId val="129826816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Total Nitrogen Concentration, in ppm</a:t>
                </a:r>
              </a:p>
            </c:rich>
          </c:tx>
          <c:layout/>
        </c:title>
        <c:numFmt formatCode="0.00" sourceLinked="1"/>
        <c:minorTickMark val="out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5907200"/>
        <c:crosses val="autoZero"/>
        <c:crossBetween val="between"/>
        <c:minorUnit val="0.1"/>
      </c:valAx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0.59451710781415679"/>
          <c:y val="0.12645595863214429"/>
          <c:w val="0.35611247297515436"/>
          <c:h val="4.5296973985747981E-2"/>
        </c:manualLayout>
      </c:layout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377" l="0.70000000000000062" r="0.70000000000000062" t="0.75000000000000377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7167830665534194E-2"/>
          <c:y val="8.8968445236670801E-2"/>
          <c:w val="0.8818497253228077"/>
          <c:h val="0.77907176212381146"/>
        </c:manualLayout>
      </c:layout>
      <c:barChart>
        <c:barDir val="col"/>
        <c:grouping val="clustered"/>
        <c:ser>
          <c:idx val="0"/>
          <c:order val="0"/>
          <c:tx>
            <c:strRef>
              <c:f>Figs_n_Tables!$C$53</c:f>
              <c:strCache>
                <c:ptCount val="1"/>
                <c:pt idx="0">
                  <c:v>Coastal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schemeClr val="tx1"/>
              </a:solidFill>
            </a:ln>
          </c:spPr>
          <c:dLbls>
            <c:showVal val="1"/>
          </c:dLbls>
          <c:cat>
            <c:strRef>
              <c:f>Figs_n_Tables!$D$52:$G$52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Figs_n_Tables!$D$53:$G$53</c:f>
              <c:numCache>
                <c:formatCode>0</c:formatCode>
                <c:ptCount val="4"/>
                <c:pt idx="0">
                  <c:v>108.1103090084234</c:v>
                </c:pt>
                <c:pt idx="1">
                  <c:v>107.70316206195675</c:v>
                </c:pt>
                <c:pt idx="2">
                  <c:v>103.25565120326982</c:v>
                </c:pt>
                <c:pt idx="3">
                  <c:v>80</c:v>
                </c:pt>
              </c:numCache>
            </c:numRef>
          </c:val>
        </c:ser>
        <c:ser>
          <c:idx val="1"/>
          <c:order val="1"/>
          <c:tx>
            <c:strRef>
              <c:f>Figs_n_Tables!$C$54</c:f>
              <c:strCache>
                <c:ptCount val="1"/>
                <c:pt idx="0">
                  <c:v>Tidal Cal.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Figs_n_Tables!$D$52:$G$52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Figs_n_Tables!$D$54:$G$54</c:f>
              <c:numCache>
                <c:formatCode>0</c:formatCode>
                <c:ptCount val="4"/>
                <c:pt idx="0">
                  <c:v>173.77259315550725</c:v>
                </c:pt>
                <c:pt idx="1">
                  <c:v>168.58498036922873</c:v>
                </c:pt>
                <c:pt idx="2">
                  <c:v>160.30599164089267</c:v>
                </c:pt>
                <c:pt idx="3">
                  <c:v>129.97430045122312</c:v>
                </c:pt>
              </c:numCache>
            </c:numRef>
          </c:val>
        </c:ser>
        <c:ser>
          <c:idx val="2"/>
          <c:order val="2"/>
          <c:tx>
            <c:strRef>
              <c:f>Figs_n_Tables!$C$55</c:f>
              <c:strCache>
                <c:ptCount val="1"/>
                <c:pt idx="0">
                  <c:v>West Cal.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Figs_n_Tables!$D$52:$G$52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Figs_n_Tables!$D$55:$G$55</c:f>
              <c:numCache>
                <c:formatCode>0</c:formatCode>
                <c:ptCount val="4"/>
                <c:pt idx="0">
                  <c:v>147.75313917952485</c:v>
                </c:pt>
                <c:pt idx="1">
                  <c:v>124.57362366569292</c:v>
                </c:pt>
                <c:pt idx="2">
                  <c:v>116.01288137680233</c:v>
                </c:pt>
                <c:pt idx="3">
                  <c:v>80.000000000000014</c:v>
                </c:pt>
              </c:numCache>
            </c:numRef>
          </c:val>
        </c:ser>
        <c:ser>
          <c:idx val="3"/>
          <c:order val="3"/>
          <c:tx>
            <c:strRef>
              <c:f>Figs_n_Tables!$C$56</c:f>
              <c:strCache>
                <c:ptCount val="1"/>
                <c:pt idx="0">
                  <c:v>East Cal.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Figs_n_Tables!$D$52:$G$52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Figs_n_Tables!$D$56:$G$56</c:f>
              <c:numCache>
                <c:formatCode>0</c:formatCode>
                <c:ptCount val="4"/>
                <c:pt idx="0">
                  <c:v>132.15715250625749</c:v>
                </c:pt>
                <c:pt idx="1">
                  <c:v>110.6366017312656</c:v>
                </c:pt>
                <c:pt idx="2">
                  <c:v>80</c:v>
                </c:pt>
                <c:pt idx="3">
                  <c:v>80</c:v>
                </c:pt>
              </c:numCache>
            </c:numRef>
          </c:val>
        </c:ser>
        <c:ser>
          <c:idx val="4"/>
          <c:order val="4"/>
          <c:tx>
            <c:strRef>
              <c:f>Figs_n_Tables!$C$57</c:f>
              <c:strCache>
                <c:ptCount val="1"/>
                <c:pt idx="0">
                  <c:v>S-4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Figs_n_Tables!$D$52:$G$52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Figs_n_Tables!$D$57:$G$57</c:f>
              <c:numCache>
                <c:formatCode>0</c:formatCode>
                <c:ptCount val="4"/>
                <c:pt idx="0">
                  <c:v>125.7147141544315</c:v>
                </c:pt>
                <c:pt idx="1">
                  <c:v>104.84210207155213</c:v>
                </c:pt>
                <c:pt idx="2">
                  <c:v>100.25398479450897</c:v>
                </c:pt>
                <c:pt idx="3">
                  <c:v>80.000000000000014</c:v>
                </c:pt>
              </c:numCache>
            </c:numRef>
          </c:val>
        </c:ser>
        <c:axId val="129884928"/>
        <c:axId val="129886848"/>
      </c:barChart>
      <c:catAx>
        <c:axId val="1298849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 baseline="0"/>
            </a:pPr>
            <a:endParaRPr lang="en-US"/>
          </a:p>
        </c:txPr>
        <c:crossAx val="129886848"/>
        <c:crossesAt val="0"/>
        <c:auto val="1"/>
        <c:lblAlgn val="ctr"/>
        <c:lblOffset val="100"/>
      </c:catAx>
      <c:valAx>
        <c:axId val="12988684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Total Phosphorus</a:t>
                </a:r>
                <a:r>
                  <a:rPr lang="en-US" sz="1400" baseline="0"/>
                  <a:t> </a:t>
                </a:r>
                <a:r>
                  <a:rPr lang="en-US" sz="1400"/>
                  <a:t>Concentration, in ppb</a:t>
                </a:r>
              </a:p>
            </c:rich>
          </c:tx>
        </c:title>
        <c:numFmt formatCode="0" sourceLinked="1"/>
        <c:minorTickMark val="out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29884928"/>
        <c:crosses val="autoZero"/>
        <c:crossBetween val="between"/>
        <c:minorUnit val="10"/>
      </c:valAx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0.57241006638876024"/>
          <c:y val="0.12645592891216806"/>
          <c:w val="0.37988115368655445"/>
          <c:h val="4.2807926038916817E-2"/>
        </c:manualLayout>
      </c:layout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7167830665534194E-2"/>
          <c:y val="8.8968445236670801E-2"/>
          <c:w val="0.8818497253228077"/>
          <c:h val="0.77907176212381146"/>
        </c:manualLayout>
      </c:layout>
      <c:barChart>
        <c:barDir val="col"/>
        <c:grouping val="clustered"/>
        <c:ser>
          <c:idx val="0"/>
          <c:order val="0"/>
          <c:tx>
            <c:strRef>
              <c:f>Figs_n_Tables!$C$87</c:f>
              <c:strCache>
                <c:ptCount val="1"/>
                <c:pt idx="0">
                  <c:v>Coastal</c:v>
                </c:pt>
              </c:strCache>
            </c:strRef>
          </c:tx>
          <c:spPr>
            <a:solidFill>
              <a:schemeClr val="accent4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Figs_n_Tables!$D$86:$G$86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Figs_n_Tables!$D$87:$G$87</c:f>
              <c:numCache>
                <c:formatCode>_(* #,##0_);_(* \(#,##0\);_(* "-"??_);_(@_)</c:formatCode>
                <c:ptCount val="4"/>
                <c:pt idx="0">
                  <c:v>282.43225947662467</c:v>
                </c:pt>
                <c:pt idx="1">
                  <c:v>279.87843689967673</c:v>
                </c:pt>
                <c:pt idx="2">
                  <c:v>271.74206210926337</c:v>
                </c:pt>
                <c:pt idx="3">
                  <c:v>222.88528803887442</c:v>
                </c:pt>
              </c:numCache>
            </c:numRef>
          </c:val>
        </c:ser>
        <c:ser>
          <c:idx val="1"/>
          <c:order val="1"/>
          <c:tx>
            <c:strRef>
              <c:f>Figs_n_Tables!$C$88</c:f>
              <c:strCache>
                <c:ptCount val="1"/>
                <c:pt idx="0">
                  <c:v>Tidal Cal.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Figs_n_Tables!$D$86:$G$86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Figs_n_Tables!$D$88:$G$88</c:f>
              <c:numCache>
                <c:formatCode>_(* #,##0_);_(* \(#,##0\);_(* "-"??_);_(@_)</c:formatCode>
                <c:ptCount val="4"/>
                <c:pt idx="0">
                  <c:v>629.5347888603726</c:v>
                </c:pt>
                <c:pt idx="1">
                  <c:v>613.41444119437494</c:v>
                </c:pt>
                <c:pt idx="2">
                  <c:v>588.58968330562345</c:v>
                </c:pt>
                <c:pt idx="3">
                  <c:v>498.12004847072649</c:v>
                </c:pt>
              </c:numCache>
            </c:numRef>
          </c:val>
        </c:ser>
        <c:ser>
          <c:idx val="2"/>
          <c:order val="2"/>
          <c:tx>
            <c:strRef>
              <c:f>Figs_n_Tables!$C$89</c:f>
              <c:strCache>
                <c:ptCount val="1"/>
                <c:pt idx="0">
                  <c:v>West Cal.</c:v>
                </c:pt>
              </c:strCache>
            </c:strRef>
          </c:tx>
          <c:spPr>
            <a:solidFill>
              <a:schemeClr val="accent6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Figs_n_Tables!$D$86:$G$86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Figs_n_Tables!$D$89:$G$89</c:f>
              <c:numCache>
                <c:formatCode>_(* #,##0_);_(* \(#,##0\);_(* "-"??_);_(@_)</c:formatCode>
                <c:ptCount val="4"/>
                <c:pt idx="0">
                  <c:v>957.86749900000109</c:v>
                </c:pt>
                <c:pt idx="1">
                  <c:v>836.52003210814962</c:v>
                </c:pt>
                <c:pt idx="2">
                  <c:v>794.06012217489649</c:v>
                </c:pt>
                <c:pt idx="3">
                  <c:v>580.09984959859287</c:v>
                </c:pt>
              </c:numCache>
            </c:numRef>
          </c:val>
        </c:ser>
        <c:ser>
          <c:idx val="3"/>
          <c:order val="3"/>
          <c:tx>
            <c:strRef>
              <c:f>Figs_n_Tables!$C$90</c:f>
              <c:strCache>
                <c:ptCount val="1"/>
                <c:pt idx="0">
                  <c:v>East Cal.</c:v>
                </c:pt>
              </c:strCache>
            </c:strRef>
          </c:tx>
          <c:spPr>
            <a:solidFill>
              <a:schemeClr val="accent2">
                <a:lumMod val="60000"/>
                <a:lumOff val="4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Figs_n_Tables!$D$86:$G$86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Figs_n_Tables!$D$90:$G$90</c:f>
              <c:numCache>
                <c:formatCode>_(* #,##0_);_(* \(#,##0\);_(* "-"??_);_(@_)</c:formatCode>
                <c:ptCount val="4"/>
                <c:pt idx="0">
                  <c:v>508.66752665601132</c:v>
                </c:pt>
                <c:pt idx="1">
                  <c:v>428.90177939729006</c:v>
                </c:pt>
                <c:pt idx="2">
                  <c:v>364.54224039475059</c:v>
                </c:pt>
                <c:pt idx="3">
                  <c:v>292.67903356175333</c:v>
                </c:pt>
              </c:numCache>
            </c:numRef>
          </c:val>
        </c:ser>
        <c:ser>
          <c:idx val="4"/>
          <c:order val="4"/>
          <c:tx>
            <c:strRef>
              <c:f>Figs_n_Tables!$C$91</c:f>
              <c:strCache>
                <c:ptCount val="1"/>
                <c:pt idx="0">
                  <c:v>S-4</c:v>
                </c:pt>
              </c:strCache>
            </c:strRef>
          </c:tx>
          <c:spPr>
            <a:solidFill>
              <a:schemeClr val="tx2">
                <a:lumMod val="40000"/>
                <a:lumOff val="60000"/>
              </a:schemeClr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Figs_n_Tables!$D$86:$G$86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Figs_n_Tables!$D$91:$G$91</c:f>
              <c:numCache>
                <c:formatCode>_(* #,##0_);_(* \(#,##0\);_(* "-"??_);_(@_)</c:formatCode>
                <c:ptCount val="4"/>
                <c:pt idx="0">
                  <c:v>157.62772899999999</c:v>
                </c:pt>
                <c:pt idx="1">
                  <c:v>123.90739138351346</c:v>
                </c:pt>
                <c:pt idx="2">
                  <c:v>116.45279390912391</c:v>
                </c:pt>
                <c:pt idx="3">
                  <c:v>100.05574771761722</c:v>
                </c:pt>
              </c:numCache>
            </c:numRef>
          </c:val>
        </c:ser>
        <c:axId val="136375680"/>
        <c:axId val="136390144"/>
      </c:barChart>
      <c:catAx>
        <c:axId val="13637568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 baseline="0"/>
            </a:pPr>
            <a:endParaRPr lang="en-US"/>
          </a:p>
        </c:txPr>
        <c:crossAx val="136390144"/>
        <c:crossesAt val="0"/>
        <c:auto val="1"/>
        <c:lblAlgn val="ctr"/>
        <c:lblOffset val="100"/>
      </c:catAx>
      <c:valAx>
        <c:axId val="13639014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Total Nitrogen</a:t>
                </a:r>
                <a:r>
                  <a:rPr lang="en-US" sz="1400" baseline="0"/>
                  <a:t> Load, in mton/yr</a:t>
                </a:r>
                <a:endParaRPr lang="en-US" sz="1400"/>
              </a:p>
            </c:rich>
          </c:tx>
        </c:title>
        <c:numFmt formatCode="_(* #,##0_);_(* \(#,##0\);_(* &quot;-&quot;??_);_(@_)" sourceLinked="1"/>
        <c:minorTickMark val="out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375680"/>
        <c:crosses val="autoZero"/>
        <c:crossBetween val="between"/>
        <c:minorUnit val="50"/>
      </c:valAx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0.57241006638876024"/>
          <c:y val="0.12645592891216806"/>
          <c:w val="0.37988115368655445"/>
          <c:h val="4.2807926038916817E-2"/>
        </c:manualLayout>
      </c:layout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4" l="0.70000000000000062" r="0.70000000000000062" t="0.750000000000004" header="0.30000000000000032" footer="0.3000000000000003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>
        <c:manualLayout>
          <c:layoutTarget val="inner"/>
          <c:xMode val="edge"/>
          <c:yMode val="edge"/>
          <c:x val="9.7167830665534194E-2"/>
          <c:y val="8.8968445236670871E-2"/>
          <c:w val="0.8818497253228077"/>
          <c:h val="0.77907176212381202"/>
        </c:manualLayout>
      </c:layout>
      <c:barChart>
        <c:barDir val="col"/>
        <c:grouping val="clustered"/>
        <c:ser>
          <c:idx val="0"/>
          <c:order val="0"/>
          <c:tx>
            <c:strRef>
              <c:f>Figs_n_Tables!$C$121</c:f>
              <c:strCache>
                <c:ptCount val="1"/>
                <c:pt idx="0">
                  <c:v>Coastal</c:v>
                </c:pt>
              </c:strCache>
            </c:strRef>
          </c:tx>
          <c:spPr>
            <a:solidFill>
              <a:srgbClr val="B3A2C7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Figs_n_Tables!$D$120:$G$120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Figs_n_Tables!$D$121:$G$121</c:f>
              <c:numCache>
                <c:formatCode>0.0</c:formatCode>
                <c:ptCount val="4"/>
                <c:pt idx="0">
                  <c:v>29.651060564799756</c:v>
                </c:pt>
                <c:pt idx="1">
                  <c:v>29.5393937045421</c:v>
                </c:pt>
                <c:pt idx="2">
                  <c:v>28.319589459756752</c:v>
                </c:pt>
                <c:pt idx="3">
                  <c:v>21.359726772954858</c:v>
                </c:pt>
              </c:numCache>
            </c:numRef>
          </c:val>
        </c:ser>
        <c:ser>
          <c:idx val="1"/>
          <c:order val="1"/>
          <c:tx>
            <c:strRef>
              <c:f>Figs_n_Tables!$C$122</c:f>
              <c:strCache>
                <c:ptCount val="1"/>
                <c:pt idx="0">
                  <c:v>Tidal Cal.</c:v>
                </c:pt>
              </c:strCache>
            </c:strRef>
          </c:tx>
          <c:spPr>
            <a:solidFill>
              <a:srgbClr val="C3D69B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Figs_n_Tables!$D$120:$G$120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Figs_n_Tables!$D$122:$G$122</c:f>
              <c:numCache>
                <c:formatCode>0.0</c:formatCode>
                <c:ptCount val="4"/>
                <c:pt idx="0">
                  <c:v>93.663108536234503</c:v>
                </c:pt>
                <c:pt idx="1">
                  <c:v>90.866994772711692</c:v>
                </c:pt>
                <c:pt idx="2">
                  <c:v>86.206900525325949</c:v>
                </c:pt>
                <c:pt idx="3">
                  <c:v>69.347130343460321</c:v>
                </c:pt>
              </c:numCache>
            </c:numRef>
          </c:val>
        </c:ser>
        <c:ser>
          <c:idx val="2"/>
          <c:order val="2"/>
          <c:tx>
            <c:strRef>
              <c:f>Figs_n_Tables!$C$123</c:f>
              <c:strCache>
                <c:ptCount val="1"/>
                <c:pt idx="0">
                  <c:v>West Cal.</c:v>
                </c:pt>
              </c:strCache>
            </c:strRef>
          </c:tx>
          <c:spPr>
            <a:solidFill>
              <a:srgbClr val="FAC090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Figs_n_Tables!$D$120:$G$120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Figs_n_Tables!$D$123:$G$123</c:f>
              <c:numCache>
                <c:formatCode>0.0</c:formatCode>
                <c:ptCount val="4"/>
                <c:pt idx="0">
                  <c:v>108.05345510000004</c:v>
                </c:pt>
                <c:pt idx="1">
                  <c:v>91.007526370333295</c:v>
                </c:pt>
                <c:pt idx="2">
                  <c:v>84.753457838967307</c:v>
                </c:pt>
                <c:pt idx="3">
                  <c:v>58.009984959859281</c:v>
                </c:pt>
              </c:numCache>
            </c:numRef>
          </c:val>
        </c:ser>
        <c:ser>
          <c:idx val="3"/>
          <c:order val="3"/>
          <c:tx>
            <c:strRef>
              <c:f>Figs_n_Tables!$C$124</c:f>
              <c:strCache>
                <c:ptCount val="1"/>
                <c:pt idx="0">
                  <c:v>East Cal.</c:v>
                </c:pt>
              </c:strCache>
            </c:strRef>
          </c:tx>
          <c:spPr>
            <a:solidFill>
              <a:srgbClr val="D99694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Figs_n_Tables!$D$120:$G$120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Figs_n_Tables!$D$124:$G$124</c:f>
              <c:numCache>
                <c:formatCode>0.0</c:formatCode>
                <c:ptCount val="4"/>
                <c:pt idx="0">
                  <c:v>49.563984774778426</c:v>
                </c:pt>
                <c:pt idx="1">
                  <c:v>40.809249591759809</c:v>
                </c:pt>
                <c:pt idx="2">
                  <c:v>29.493877228814036</c:v>
                </c:pt>
                <c:pt idx="3">
                  <c:v>29.267903356175331</c:v>
                </c:pt>
              </c:numCache>
            </c:numRef>
          </c:val>
        </c:ser>
        <c:ser>
          <c:idx val="4"/>
          <c:order val="4"/>
          <c:tx>
            <c:strRef>
              <c:f>Figs_n_Tables!$C$125</c:f>
              <c:strCache>
                <c:ptCount val="1"/>
                <c:pt idx="0">
                  <c:v>S-4</c:v>
                </c:pt>
              </c:strCache>
            </c:strRef>
          </c:tx>
          <c:spPr>
            <a:solidFill>
              <a:srgbClr val="8EB4E3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Figs_n_Tables!$D$120:$G$120</c:f>
              <c:strCache>
                <c:ptCount val="4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</c:strCache>
            </c:strRef>
          </c:cat>
          <c:val>
            <c:numRef>
              <c:f>Figs_n_Tables!$D$125:$G$125</c:f>
              <c:numCache>
                <c:formatCode>0.0</c:formatCode>
                <c:ptCount val="4"/>
                <c:pt idx="0">
                  <c:v>9.7744972000000026</c:v>
                </c:pt>
                <c:pt idx="1">
                  <c:v>8.1516220279643132</c:v>
                </c:pt>
                <c:pt idx="2">
                  <c:v>7.6158275993004159</c:v>
                </c:pt>
                <c:pt idx="3">
                  <c:v>6.0742664909102091</c:v>
                </c:pt>
              </c:numCache>
            </c:numRef>
          </c:val>
        </c:ser>
        <c:axId val="136452352"/>
        <c:axId val="136479104"/>
      </c:barChart>
      <c:catAx>
        <c:axId val="13645235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 sz="1400"/>
                </a:pPr>
                <a:r>
                  <a:rPr lang="en-US" sz="1400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 baseline="0"/>
            </a:pPr>
            <a:endParaRPr lang="en-US"/>
          </a:p>
        </c:txPr>
        <c:crossAx val="136479104"/>
        <c:crossesAt val="0"/>
        <c:auto val="1"/>
        <c:lblAlgn val="ctr"/>
        <c:lblOffset val="100"/>
      </c:catAx>
      <c:valAx>
        <c:axId val="13647910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/>
                </a:pPr>
                <a:r>
                  <a:rPr lang="en-US" sz="1400"/>
                  <a:t>Total Phosphorus</a:t>
                </a:r>
                <a:r>
                  <a:rPr lang="en-US" sz="1400" baseline="0"/>
                  <a:t>  Load, in mton/yr</a:t>
                </a:r>
                <a:endParaRPr lang="en-US" sz="1400"/>
              </a:p>
            </c:rich>
          </c:tx>
        </c:title>
        <c:numFmt formatCode="0.0" sourceLinked="1"/>
        <c:minorTickMark val="out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452352"/>
        <c:crosses val="autoZero"/>
        <c:crossBetween val="between"/>
        <c:minorUnit val="5"/>
      </c:valAx>
      <c:spPr>
        <a:solidFill>
          <a:schemeClr val="bg1">
            <a:lumMod val="95000"/>
          </a:schemeClr>
        </a:solidFill>
        <a:ln>
          <a:solidFill>
            <a:sysClr val="windowText" lastClr="000000">
              <a:lumMod val="50000"/>
              <a:lumOff val="50000"/>
            </a:sysClr>
          </a:solidFill>
        </a:ln>
      </c:spPr>
    </c:plotArea>
    <c:legend>
      <c:legendPos val="t"/>
      <c:layout>
        <c:manualLayout>
          <c:xMode val="edge"/>
          <c:yMode val="edge"/>
          <c:x val="0.57241006638876024"/>
          <c:y val="0.12645592891216806"/>
          <c:w val="0.37988115368655456"/>
          <c:h val="4.2807926038916852E-2"/>
        </c:manualLayout>
      </c:layout>
      <c:spPr>
        <a:solidFill>
          <a:schemeClr val="bg1"/>
        </a:solidFill>
        <a:ln>
          <a:solidFill>
            <a:schemeClr val="tx1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spPr>
    <a:solidFill>
      <a:schemeClr val="bg1"/>
    </a:solidFill>
  </c:spPr>
  <c:printSettings>
    <c:headerFooter/>
    <c:pageMargins b="0.75000000000000422" l="0.70000000000000062" r="0.70000000000000062" t="0.75000000000000422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1"/>
              <a:tileRect/>
            </a:gradFill>
            <a:ln>
              <a:solidFill>
                <a:sysClr val="windowText" lastClr="000000"/>
              </a:solidFill>
            </a:ln>
          </c:spPr>
          <c:dPt>
            <c:idx val="0"/>
            <c:spPr>
              <a:gradFill>
                <a:gsLst>
                  <a:gs pos="0">
                    <a:srgbClr val="CCFF99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0"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1"/>
            <c:spPr>
              <a:gradFill flip="none" rotWithShape="1">
                <a:gsLst>
                  <a:gs pos="0">
                    <a:srgbClr val="99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2"/>
            <c:spPr>
              <a:gradFill flip="none" rotWithShape="1">
                <a:gsLst>
                  <a:gs pos="0">
                    <a:srgbClr val="66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3"/>
            <c:spPr>
              <a:gradFill flip="none" rotWithShape="1">
                <a:gsLst>
                  <a:gs pos="0">
                    <a:srgbClr val="00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4"/>
            <c:spPr>
              <a:gradFill flip="none" rotWithShape="1"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Lbls>
            <c:showVal val="1"/>
          </c:dLbls>
          <c:cat>
            <c:strRef>
              <c:f>Figs_n_Tables!$D$279:$H$279</c:f>
              <c:strCache>
                <c:ptCount val="5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  <c:pt idx="4">
                  <c:v>Est. TMDL</c:v>
                </c:pt>
              </c:strCache>
            </c:strRef>
          </c:cat>
          <c:val>
            <c:numRef>
              <c:f>Figs_n_Tables!$D$280:$H$280</c:f>
              <c:numCache>
                <c:formatCode>0.00</c:formatCode>
                <c:ptCount val="5"/>
                <c:pt idx="0">
                  <c:v>1.2697376143261829</c:v>
                </c:pt>
                <c:pt idx="1">
                  <c:v>1.1468002417718701</c:v>
                </c:pt>
                <c:pt idx="2">
                  <c:v>1.0745586227361117</c:v>
                </c:pt>
                <c:pt idx="3">
                  <c:v>0.86093450815255901</c:v>
                </c:pt>
                <c:pt idx="4">
                  <c:v>0.97769796303116085</c:v>
                </c:pt>
              </c:numCache>
            </c:numRef>
          </c:val>
        </c:ser>
        <c:axId val="136513792"/>
        <c:axId val="136520064"/>
      </c:barChart>
      <c:catAx>
        <c:axId val="13651379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520064"/>
        <c:crosses val="autoZero"/>
        <c:auto val="1"/>
        <c:lblAlgn val="ctr"/>
        <c:lblOffset val="100"/>
      </c:catAx>
      <c:valAx>
        <c:axId val="1365200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 b="1"/>
                </a:pPr>
                <a:r>
                  <a:rPr lang="en-US" sz="1400" b="1"/>
                  <a:t>TN Concentration</a:t>
                </a:r>
                <a:r>
                  <a:rPr lang="en-US" sz="1400" b="1" baseline="0"/>
                  <a:t> f</a:t>
                </a:r>
                <a:r>
                  <a:rPr lang="en-US" sz="1400" b="1"/>
                  <a:t>or CRWPP Study Area, in ppm</a:t>
                </a:r>
              </a:p>
            </c:rich>
          </c:tx>
          <c:layout>
            <c:manualLayout>
              <c:xMode val="edge"/>
              <c:yMode val="edge"/>
              <c:x val="2.8858031704586277E-2"/>
              <c:y val="0.18236230130330794"/>
            </c:manualLayout>
          </c:layout>
        </c:title>
        <c:numFmt formatCode="#,##0.00" sourceLinked="0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513792"/>
        <c:crosses val="autoZero"/>
        <c:crossBetween val="between"/>
        <c:minorUnit val="0.1"/>
      </c:valAx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</c:plotArea>
    <c:plotVisOnly val="1"/>
  </c:chart>
  <c:spPr>
    <a:solidFill>
      <a:schemeClr val="bg1"/>
    </a:solidFill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gradFill flip="none" rotWithShape="1">
              <a:gsLst>
                <a:gs pos="0">
                  <a:srgbClr val="92D050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1"/>
              <a:tileRect/>
            </a:gradFill>
            <a:ln>
              <a:solidFill>
                <a:sysClr val="windowText" lastClr="000000"/>
              </a:solidFill>
            </a:ln>
          </c:spPr>
          <c:dPt>
            <c:idx val="0"/>
            <c:spPr>
              <a:gradFill flip="none" rotWithShape="1">
                <a:gsLst>
                  <a:gs pos="0">
                    <a:srgbClr val="CCFF99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1"/>
            <c:spPr>
              <a:gradFill flip="none" rotWithShape="1">
                <a:gsLst>
                  <a:gs pos="0">
                    <a:srgbClr val="99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2"/>
            <c:spPr>
              <a:gradFill flip="none" rotWithShape="1">
                <a:gsLst>
                  <a:gs pos="0">
                    <a:srgbClr val="66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3"/>
            <c:spPr>
              <a:gradFill flip="none" rotWithShape="1">
                <a:gsLst>
                  <a:gs pos="0">
                    <a:srgbClr val="00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4"/>
            <c:spPr>
              <a:gradFill flip="none" rotWithShape="1"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Lbls>
            <c:numFmt formatCode="#,##0" sourceLinked="0"/>
            <c:showVal val="1"/>
          </c:dLbls>
          <c:cat>
            <c:strRef>
              <c:f>Figs_n_Tables!$D$286:$H$286</c:f>
              <c:strCache>
                <c:ptCount val="5"/>
                <c:pt idx="0">
                  <c:v>Baseline</c:v>
                </c:pt>
                <c:pt idx="1">
                  <c:v>Current</c:v>
                </c:pt>
                <c:pt idx="2">
                  <c:v>Near-Term</c:v>
                </c:pt>
                <c:pt idx="3">
                  <c:v>Long-Term</c:v>
                </c:pt>
                <c:pt idx="4">
                  <c:v>Est. TMDL</c:v>
                </c:pt>
              </c:strCache>
            </c:strRef>
          </c:cat>
          <c:val>
            <c:numRef>
              <c:f>Figs_n_Tables!$D$287:$H$287</c:f>
              <c:numCache>
                <c:formatCode>_(* #,##0_);_(* \(#,##0\);_(* "-"??_);_(@_)</c:formatCode>
                <c:ptCount val="5"/>
                <c:pt idx="0">
                  <c:v>2536.1298029930094</c:v>
                </c:pt>
                <c:pt idx="1">
                  <c:v>2282.6220809830047</c:v>
                </c:pt>
                <c:pt idx="2">
                  <c:v>2135.386901893658</c:v>
                </c:pt>
                <c:pt idx="3">
                  <c:v>1693.8399673875642</c:v>
                </c:pt>
                <c:pt idx="4">
                  <c:v>1952.8199483046174</c:v>
                </c:pt>
              </c:numCache>
            </c:numRef>
          </c:val>
        </c:ser>
        <c:axId val="136566656"/>
        <c:axId val="136572928"/>
      </c:barChart>
      <c:catAx>
        <c:axId val="136566656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572928"/>
        <c:crosses val="autoZero"/>
        <c:auto val="1"/>
        <c:lblAlgn val="ctr"/>
        <c:lblOffset val="100"/>
      </c:catAx>
      <c:valAx>
        <c:axId val="136572928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 b="1"/>
                </a:pPr>
                <a:r>
                  <a:rPr lang="en-US" sz="1400" b="1"/>
                  <a:t>TN Load</a:t>
                </a:r>
                <a:r>
                  <a:rPr lang="en-US" sz="1400" b="1" baseline="0"/>
                  <a:t> </a:t>
                </a:r>
                <a:r>
                  <a:rPr lang="en-US" sz="1400" b="1"/>
                  <a:t>for CRWPP Study Area, in mton/yr</a:t>
                </a:r>
              </a:p>
            </c:rich>
          </c:tx>
        </c:title>
        <c:numFmt formatCode="#,##0" sourceLinked="0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566656"/>
        <c:crosses val="autoZero"/>
        <c:crossBetween val="between"/>
        <c:minorUnit val="250"/>
      </c:valAx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</c:plotArea>
    <c:plotVisOnly val="1"/>
  </c:chart>
  <c:spPr>
    <a:solidFill>
      <a:schemeClr val="bg1"/>
    </a:solidFill>
  </c:spPr>
  <c:printSettings>
    <c:headerFooter/>
    <c:pageMargins b="0.75000000000000278" l="0.70000000000000062" r="0.70000000000000062" t="0.75000000000000278" header="0.30000000000000032" footer="0.3000000000000003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tx>
            <c:strRef>
              <c:f>Figs_n_Tables!$C$155</c:f>
              <c:strCache>
                <c:ptCount val="1"/>
                <c:pt idx="0">
                  <c:v>Coastal</c:v>
                </c:pt>
              </c:strCache>
            </c:strRef>
          </c:tx>
          <c:spPr>
            <a:solidFill>
              <a:srgbClr val="B3A2C7"/>
            </a:solidFill>
            <a:ln>
              <a:solidFill>
                <a:schemeClr val="tx1"/>
              </a:solidFill>
            </a:ln>
          </c:spPr>
          <c:dLbls>
            <c:showVal val="1"/>
          </c:dLbls>
          <c:cat>
            <c:strRef>
              <c:f>Figs_n_Tables!$D$154:$G$154</c:f>
              <c:strCache>
                <c:ptCount val="4"/>
                <c:pt idx="0">
                  <c:v>Current</c:v>
                </c:pt>
                <c:pt idx="1">
                  <c:v>Near-Term</c:v>
                </c:pt>
                <c:pt idx="2">
                  <c:v>Long-Term</c:v>
                </c:pt>
                <c:pt idx="3">
                  <c:v>Cumulative</c:v>
                </c:pt>
              </c:strCache>
            </c:strRef>
          </c:cat>
          <c:val>
            <c:numRef>
              <c:f>Figs_n_Tables!$D$155:$G$155</c:f>
              <c:numCache>
                <c:formatCode>0.0%</c:formatCode>
                <c:ptCount val="4"/>
                <c:pt idx="0">
                  <c:v>9.0422481542314827E-3</c:v>
                </c:pt>
                <c:pt idx="1">
                  <c:v>2.8808234602842025E-2</c:v>
                </c:pt>
                <c:pt idx="2">
                  <c:v>0.17298581316782105</c:v>
                </c:pt>
                <c:pt idx="3">
                  <c:v>0.21083629592489456</c:v>
                </c:pt>
              </c:numCache>
            </c:numRef>
          </c:val>
        </c:ser>
        <c:ser>
          <c:idx val="1"/>
          <c:order val="1"/>
          <c:tx>
            <c:strRef>
              <c:f>Figs_n_Tables!$C$156</c:f>
              <c:strCache>
                <c:ptCount val="1"/>
                <c:pt idx="0">
                  <c:v>Tidal Cal.</c:v>
                </c:pt>
              </c:strCache>
            </c:strRef>
          </c:tx>
          <c:spPr>
            <a:solidFill>
              <a:srgbClr val="C3D69B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Figs_n_Tables!$D$154:$G$154</c:f>
              <c:strCache>
                <c:ptCount val="4"/>
                <c:pt idx="0">
                  <c:v>Current</c:v>
                </c:pt>
                <c:pt idx="1">
                  <c:v>Near-Term</c:v>
                </c:pt>
                <c:pt idx="2">
                  <c:v>Long-Term</c:v>
                </c:pt>
                <c:pt idx="3">
                  <c:v>Cumulative</c:v>
                </c:pt>
              </c:strCache>
            </c:strRef>
          </c:cat>
          <c:val>
            <c:numRef>
              <c:f>Figs_n_Tables!$D$156:$G$156</c:f>
              <c:numCache>
                <c:formatCode>0.0%</c:formatCode>
                <c:ptCount val="4"/>
                <c:pt idx="0">
                  <c:v>2.5606762249279064E-2</c:v>
                </c:pt>
                <c:pt idx="1">
                  <c:v>3.943349649300714E-2</c:v>
                </c:pt>
                <c:pt idx="2">
                  <c:v>0.14370871385626099</c:v>
                </c:pt>
                <c:pt idx="3">
                  <c:v>0.20874897259854719</c:v>
                </c:pt>
              </c:numCache>
            </c:numRef>
          </c:val>
        </c:ser>
        <c:ser>
          <c:idx val="2"/>
          <c:order val="2"/>
          <c:tx>
            <c:strRef>
              <c:f>Figs_n_Tables!$C$157</c:f>
              <c:strCache>
                <c:ptCount val="1"/>
                <c:pt idx="0">
                  <c:v>West Cal.</c:v>
                </c:pt>
              </c:strCache>
            </c:strRef>
          </c:tx>
          <c:spPr>
            <a:solidFill>
              <a:srgbClr val="FAC090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Figs_n_Tables!$D$154:$G$154</c:f>
              <c:strCache>
                <c:ptCount val="4"/>
                <c:pt idx="0">
                  <c:v>Current</c:v>
                </c:pt>
                <c:pt idx="1">
                  <c:v>Near-Term</c:v>
                </c:pt>
                <c:pt idx="2">
                  <c:v>Long-Term</c:v>
                </c:pt>
                <c:pt idx="3">
                  <c:v>Cumulative</c:v>
                </c:pt>
              </c:strCache>
            </c:strRef>
          </c:cat>
          <c:val>
            <c:numRef>
              <c:f>Figs_n_Tables!$D$157:$G$157</c:f>
              <c:numCache>
                <c:formatCode>0.0%</c:formatCode>
                <c:ptCount val="4"/>
                <c:pt idx="0">
                  <c:v>0.12668502378307683</c:v>
                </c:pt>
                <c:pt idx="1">
                  <c:v>4.432754005912156E-2</c:v>
                </c:pt>
                <c:pt idx="2">
                  <c:v>0.22337147131484766</c:v>
                </c:pt>
                <c:pt idx="3">
                  <c:v>0.39438403515704606</c:v>
                </c:pt>
              </c:numCache>
            </c:numRef>
          </c:val>
        </c:ser>
        <c:ser>
          <c:idx val="3"/>
          <c:order val="3"/>
          <c:tx>
            <c:strRef>
              <c:f>Figs_n_Tables!$C$158</c:f>
              <c:strCache>
                <c:ptCount val="1"/>
                <c:pt idx="0">
                  <c:v>East Cal.</c:v>
                </c:pt>
              </c:strCache>
            </c:strRef>
          </c:tx>
          <c:spPr>
            <a:solidFill>
              <a:srgbClr val="D99694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Figs_n_Tables!$D$154:$G$154</c:f>
              <c:strCache>
                <c:ptCount val="4"/>
                <c:pt idx="0">
                  <c:v>Current</c:v>
                </c:pt>
                <c:pt idx="1">
                  <c:v>Near-Term</c:v>
                </c:pt>
                <c:pt idx="2">
                  <c:v>Long-Term</c:v>
                </c:pt>
                <c:pt idx="3">
                  <c:v>Cumulative</c:v>
                </c:pt>
              </c:strCache>
            </c:strRef>
          </c:cat>
          <c:val>
            <c:numRef>
              <c:f>Figs_n_Tables!$D$158:$G$158</c:f>
              <c:numCache>
                <c:formatCode>0.0%</c:formatCode>
                <c:ptCount val="4"/>
                <c:pt idx="0">
                  <c:v>0.15681313053951487</c:v>
                </c:pt>
                <c:pt idx="1">
                  <c:v>0.12652574742806982</c:v>
                </c:pt>
                <c:pt idx="2">
                  <c:v>0.14127736304581337</c:v>
                </c:pt>
                <c:pt idx="3">
                  <c:v>0.42461624101339812</c:v>
                </c:pt>
              </c:numCache>
            </c:numRef>
          </c:val>
        </c:ser>
        <c:ser>
          <c:idx val="4"/>
          <c:order val="4"/>
          <c:tx>
            <c:strRef>
              <c:f>Figs_n_Tables!$C$159</c:f>
              <c:strCache>
                <c:ptCount val="1"/>
                <c:pt idx="0">
                  <c:v>S-4</c:v>
                </c:pt>
              </c:strCache>
            </c:strRef>
          </c:tx>
          <c:spPr>
            <a:solidFill>
              <a:srgbClr val="8EB4E3"/>
            </a:solidFill>
            <a:ln>
              <a:solidFill>
                <a:prstClr val="black"/>
              </a:solidFill>
            </a:ln>
          </c:spPr>
          <c:dLbls>
            <c:showVal val="1"/>
          </c:dLbls>
          <c:cat>
            <c:strRef>
              <c:f>Figs_n_Tables!$D$154:$G$154</c:f>
              <c:strCache>
                <c:ptCount val="4"/>
                <c:pt idx="0">
                  <c:v>Current</c:v>
                </c:pt>
                <c:pt idx="1">
                  <c:v>Near-Term</c:v>
                </c:pt>
                <c:pt idx="2">
                  <c:v>Long-Term</c:v>
                </c:pt>
                <c:pt idx="3">
                  <c:v>Cumulative</c:v>
                </c:pt>
              </c:strCache>
            </c:strRef>
          </c:cat>
          <c:val>
            <c:numRef>
              <c:f>Figs_n_Tables!$D$159:$G$159</c:f>
              <c:numCache>
                <c:formatCode>0.0%</c:formatCode>
                <c:ptCount val="4"/>
                <c:pt idx="0">
                  <c:v>0.21392389416767232</c:v>
                </c:pt>
                <c:pt idx="1">
                  <c:v>4.7292424509837006E-2</c:v>
                </c:pt>
                <c:pt idx="2">
                  <c:v>0.10402386874143629</c:v>
                </c:pt>
                <c:pt idx="3">
                  <c:v>0.36524018741894559</c:v>
                </c:pt>
              </c:numCache>
            </c:numRef>
          </c:val>
        </c:ser>
        <c:axId val="136778112"/>
        <c:axId val="136780032"/>
      </c:barChart>
      <c:catAx>
        <c:axId val="136778112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 b="1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780032"/>
        <c:crosses val="autoZero"/>
        <c:auto val="1"/>
        <c:lblAlgn val="ctr"/>
        <c:lblOffset val="100"/>
      </c:catAx>
      <c:valAx>
        <c:axId val="136780032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 sz="1400"/>
                  <a:t>Total</a:t>
                </a:r>
                <a:r>
                  <a:rPr lang="en-US" sz="1400" baseline="0"/>
                  <a:t> Nitrogen Reduction, in percent</a:t>
                </a:r>
              </a:p>
            </c:rich>
          </c:tx>
        </c:title>
        <c:numFmt formatCode="0.0%" sourceLinked="1"/>
        <c:minorTickMark val="out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778112"/>
        <c:crosses val="autoZero"/>
        <c:crossBetween val="between"/>
        <c:majorUnit val="0.1"/>
        <c:minorUnit val="0.05"/>
      </c:valAx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</c:plotArea>
    <c:legend>
      <c:legendPos val="t"/>
      <c:layout>
        <c:manualLayout>
          <c:xMode val="edge"/>
          <c:yMode val="edge"/>
          <c:x val="0.12099248885702182"/>
          <c:y val="6.4318328750310433E-2"/>
          <c:w val="0.358655919880357"/>
          <c:h val="4.6977726284903362E-2"/>
        </c:manualLayout>
      </c:layout>
      <c:overlay val="1"/>
      <c:spPr>
        <a:solidFill>
          <a:schemeClr val="bg1"/>
        </a:solidFill>
        <a:ln>
          <a:solidFill>
            <a:sysClr val="windowText" lastClr="000000"/>
          </a:solidFill>
        </a:ln>
      </c:spPr>
      <c:txPr>
        <a:bodyPr/>
        <a:lstStyle/>
        <a:p>
          <a:pPr>
            <a:defRPr sz="1200"/>
          </a:pPr>
          <a:endParaRPr lang="en-US"/>
        </a:p>
      </c:txPr>
    </c:legend>
    <c:plotVisOnly val="1"/>
  </c:chart>
  <c:printSettings>
    <c:headerFooter/>
    <c:pageMargins b="0.75000000000000189" l="0.70000000000000062" r="0.70000000000000062" t="0.75000000000000189" header="0.30000000000000032" footer="0.30000000000000032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plotArea>
      <c:layout/>
      <c:barChart>
        <c:barDir val="col"/>
        <c:grouping val="clustered"/>
        <c:ser>
          <c:idx val="0"/>
          <c:order val="0"/>
          <c:spPr>
            <a:gradFill flip="none" rotWithShape="1">
              <a:gsLst>
                <a:gs pos="0">
                  <a:srgbClr val="DDEBCF"/>
                </a:gs>
                <a:gs pos="50000">
                  <a:srgbClr val="9CB86E"/>
                </a:gs>
                <a:gs pos="100000">
                  <a:srgbClr val="156B13"/>
                </a:gs>
              </a:gsLst>
              <a:lin ang="5400000" scaled="1"/>
              <a:tileRect/>
            </a:gradFill>
            <a:ln>
              <a:solidFill>
                <a:sysClr val="windowText" lastClr="000000"/>
              </a:solidFill>
            </a:ln>
          </c:spPr>
          <c:dPt>
            <c:idx val="0"/>
            <c:spPr>
              <a:gradFill>
                <a:gsLst>
                  <a:gs pos="0">
                    <a:srgbClr val="CCFF99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0"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1"/>
            <c:spPr>
              <a:gradFill flip="none" rotWithShape="1">
                <a:gsLst>
                  <a:gs pos="0">
                    <a:srgbClr val="99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2"/>
            <c:spPr>
              <a:gradFill flip="none" rotWithShape="1">
                <a:gsLst>
                  <a:gs pos="0">
                    <a:srgbClr val="66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3"/>
            <c:spPr>
              <a:gradFill flip="none" rotWithShape="1">
                <a:gsLst>
                  <a:gs pos="0">
                    <a:srgbClr val="00FFCC"/>
                  </a:gs>
                  <a:gs pos="50000">
                    <a:srgbClr val="9CB86E"/>
                  </a:gs>
                  <a:gs pos="100000">
                    <a:srgbClr val="156B13"/>
                  </a:gs>
                </a:gsLst>
                <a:lin ang="5400000" scaled="1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Pt>
            <c:idx val="4"/>
            <c:spPr>
              <a:gradFill flip="none" rotWithShape="1">
                <a:gsLst>
                  <a:gs pos="0">
                    <a:srgbClr val="03D4A8"/>
                  </a:gs>
                  <a:gs pos="25000">
                    <a:srgbClr val="21D6E0"/>
                  </a:gs>
                  <a:gs pos="75000">
                    <a:srgbClr val="0087E6"/>
                  </a:gs>
                  <a:gs pos="100000">
                    <a:srgbClr val="005CBF"/>
                  </a:gs>
                </a:gsLst>
                <a:lin ang="5400000" scaled="0"/>
                <a:tileRect/>
              </a:gradFill>
              <a:ln>
                <a:solidFill>
                  <a:sysClr val="windowText" lastClr="000000"/>
                </a:solidFill>
              </a:ln>
            </c:spPr>
          </c:dPt>
          <c:dLbls>
            <c:showVal val="1"/>
          </c:dLbls>
          <c:cat>
            <c:strRef>
              <c:f>Figs_n_Tables!$D$314:$H$314</c:f>
              <c:strCache>
                <c:ptCount val="5"/>
                <c:pt idx="0">
                  <c:v>Current</c:v>
                </c:pt>
                <c:pt idx="1">
                  <c:v>Near-Term</c:v>
                </c:pt>
                <c:pt idx="2">
                  <c:v>Long-Term</c:v>
                </c:pt>
                <c:pt idx="3">
                  <c:v>Cumulative</c:v>
                </c:pt>
                <c:pt idx="4">
                  <c:v>Est. TMDL</c:v>
                </c:pt>
              </c:strCache>
            </c:strRef>
          </c:cat>
          <c:val>
            <c:numRef>
              <c:f>Figs_n_Tables!$D$315:$H$315</c:f>
              <c:numCache>
                <c:formatCode>0.0%</c:formatCode>
                <c:ptCount val="5"/>
                <c:pt idx="0">
                  <c:v>9.9958496489741228E-2</c:v>
                </c:pt>
                <c:pt idx="1">
                  <c:v>5.8055064419647459E-2</c:v>
                </c:pt>
                <c:pt idx="2">
                  <c:v>0.17410265593858903</c:v>
                </c:pt>
                <c:pt idx="3">
                  <c:v>0.33211621684797771</c:v>
                </c:pt>
                <c:pt idx="4">
                  <c:v>0.23</c:v>
                </c:pt>
              </c:numCache>
            </c:numRef>
          </c:val>
        </c:ser>
        <c:axId val="136831744"/>
        <c:axId val="136833664"/>
      </c:barChart>
      <c:catAx>
        <c:axId val="136831744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 sz="1400"/>
                  <a:t>CRWPP Project Phase</a:t>
                </a:r>
              </a:p>
            </c:rich>
          </c:tx>
        </c:title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833664"/>
        <c:crosses val="autoZero"/>
        <c:auto val="1"/>
        <c:lblAlgn val="ctr"/>
        <c:lblOffset val="100"/>
      </c:catAx>
      <c:valAx>
        <c:axId val="136833664"/>
        <c:scaling>
          <c:orientation val="minMax"/>
        </c:scaling>
        <c:axPos val="l"/>
        <c:majorGridlines/>
        <c:title>
          <c:tx>
            <c:rich>
              <a:bodyPr rot="-5400000" vert="horz"/>
              <a:lstStyle/>
              <a:p>
                <a:pPr>
                  <a:defRPr sz="1400" b="1"/>
                </a:pPr>
                <a:r>
                  <a:rPr lang="en-US" sz="1400" b="1"/>
                  <a:t>TN Load</a:t>
                </a:r>
                <a:r>
                  <a:rPr lang="en-US" sz="1400" b="1" baseline="0"/>
                  <a:t> Reduction  f</a:t>
                </a:r>
                <a:r>
                  <a:rPr lang="en-US" sz="1400" b="1"/>
                  <a:t>or CRWPP Study Area, in</a:t>
                </a:r>
                <a:r>
                  <a:rPr lang="en-US" sz="1400" b="1" baseline="0"/>
                  <a:t> percent</a:t>
                </a:r>
                <a:endParaRPr lang="en-US" sz="1400" b="1"/>
              </a:p>
            </c:rich>
          </c:tx>
          <c:layout>
            <c:manualLayout>
              <c:xMode val="edge"/>
              <c:yMode val="edge"/>
              <c:x val="2.8858031704586277E-2"/>
              <c:y val="0.18236230130330794"/>
            </c:manualLayout>
          </c:layout>
        </c:title>
        <c:numFmt formatCode="0%" sourceLinked="0"/>
        <c:tickLblPos val="nextTo"/>
        <c:txPr>
          <a:bodyPr/>
          <a:lstStyle/>
          <a:p>
            <a:pPr>
              <a:defRPr sz="1200" b="1"/>
            </a:pPr>
            <a:endParaRPr lang="en-US"/>
          </a:p>
        </c:txPr>
        <c:crossAx val="136831744"/>
        <c:crosses val="autoZero"/>
        <c:crossBetween val="between"/>
        <c:majorUnit val="0.05"/>
        <c:minorUnit val="1.0000000000000005E-2"/>
      </c:valAx>
      <c:spPr>
        <a:solidFill>
          <a:schemeClr val="bg1">
            <a:lumMod val="95000"/>
          </a:schemeClr>
        </a:solidFill>
        <a:ln>
          <a:solidFill>
            <a:sysClr val="windowText" lastClr="000000"/>
          </a:solidFill>
        </a:ln>
      </c:spPr>
    </c:plotArea>
    <c:plotVisOnly val="1"/>
  </c:chart>
  <c:spPr>
    <a:solidFill>
      <a:schemeClr val="bg1"/>
    </a:solidFill>
  </c:spPr>
  <c:printSettings>
    <c:headerFooter/>
    <c:pageMargins b="0.750000000000003" l="0.70000000000000062" r="0.70000000000000062" t="0.750000000000003" header="0.30000000000000032" footer="0.30000000000000032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5603</xdr:colOff>
      <xdr:row>13</xdr:row>
      <xdr:rowOff>179294</xdr:rowOff>
    </xdr:from>
    <xdr:to>
      <xdr:col>24</xdr:col>
      <xdr:colOff>0</xdr:colOff>
      <xdr:row>43</xdr:row>
      <xdr:rowOff>179294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672352</xdr:colOff>
      <xdr:row>47</xdr:row>
      <xdr:rowOff>179294</xdr:rowOff>
    </xdr:from>
    <xdr:to>
      <xdr:col>24</xdr:col>
      <xdr:colOff>0</xdr:colOff>
      <xdr:row>77</xdr:row>
      <xdr:rowOff>177612</xdr:rowOff>
    </xdr:to>
    <xdr:graphicFrame macro="">
      <xdr:nvGraphicFramePr>
        <xdr:cNvPr id="3" name="Chart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5603</xdr:colOff>
      <xdr:row>81</xdr:row>
      <xdr:rowOff>179294</xdr:rowOff>
    </xdr:from>
    <xdr:to>
      <xdr:col>24</xdr:col>
      <xdr:colOff>0</xdr:colOff>
      <xdr:row>111</xdr:row>
      <xdr:rowOff>179294</xdr:rowOff>
    </xdr:to>
    <xdr:graphicFrame macro="">
      <xdr:nvGraphicFramePr>
        <xdr:cNvPr id="4" name="Chart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7</xdr:col>
      <xdr:colOff>672352</xdr:colOff>
      <xdr:row>115</xdr:row>
      <xdr:rowOff>179294</xdr:rowOff>
    </xdr:from>
    <xdr:to>
      <xdr:col>23</xdr:col>
      <xdr:colOff>605117</xdr:colOff>
      <xdr:row>145</xdr:row>
      <xdr:rowOff>177612</xdr:rowOff>
    </xdr:to>
    <xdr:graphicFrame macro="">
      <xdr:nvGraphicFramePr>
        <xdr:cNvPr id="5" name="Chart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18</xdr:col>
      <xdr:colOff>1</xdr:colOff>
      <xdr:row>275</xdr:row>
      <xdr:rowOff>156883</xdr:rowOff>
    </xdr:from>
    <xdr:to>
      <xdr:col>26</xdr:col>
      <xdr:colOff>0</xdr:colOff>
      <xdr:row>306</xdr:row>
      <xdr:rowOff>0</xdr:rowOff>
    </xdr:to>
    <xdr:graphicFrame macro="">
      <xdr:nvGraphicFramePr>
        <xdr:cNvPr id="6" name="Chart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8</xdr:col>
      <xdr:colOff>605117</xdr:colOff>
      <xdr:row>275</xdr:row>
      <xdr:rowOff>156884</xdr:rowOff>
    </xdr:from>
    <xdr:to>
      <xdr:col>16</xdr:col>
      <xdr:colOff>605116</xdr:colOff>
      <xdr:row>306</xdr:row>
      <xdr:rowOff>1</xdr:rowOff>
    </xdr:to>
    <xdr:graphicFrame macro="">
      <xdr:nvGraphicFramePr>
        <xdr:cNvPr id="7" name="Chart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8</xdr:col>
      <xdr:colOff>1</xdr:colOff>
      <xdr:row>149</xdr:row>
      <xdr:rowOff>179294</xdr:rowOff>
    </xdr:from>
    <xdr:to>
      <xdr:col>24</xdr:col>
      <xdr:colOff>0</xdr:colOff>
      <xdr:row>180</xdr:row>
      <xdr:rowOff>1</xdr:rowOff>
    </xdr:to>
    <xdr:graphicFrame macro="">
      <xdr:nvGraphicFramePr>
        <xdr:cNvPr id="8" name="Chart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9</xdr:col>
      <xdr:colOff>0</xdr:colOff>
      <xdr:row>310</xdr:row>
      <xdr:rowOff>156882</xdr:rowOff>
    </xdr:from>
    <xdr:to>
      <xdr:col>16</xdr:col>
      <xdr:colOff>605116</xdr:colOff>
      <xdr:row>340</xdr:row>
      <xdr:rowOff>190499</xdr:rowOff>
    </xdr:to>
    <xdr:graphicFrame macro="">
      <xdr:nvGraphicFramePr>
        <xdr:cNvPr id="9" name="Chart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GeoData/Projects/CRWPP/Report_08/WQSpreadsheet/CRWPP_WQ_Final-jnk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Intro"/>
      <sheetName val="Main_Loads"/>
      <sheetName val="Summary_Tables"/>
      <sheetName val="Summary_Charts"/>
      <sheetName val="Summary_PieCharts"/>
      <sheetName val="Main_Loads_TN"/>
      <sheetName val="Main_Loads_TP"/>
      <sheetName val="Alternatives"/>
      <sheetName val="WQ_Lookup"/>
      <sheetName val="BMP_Areas"/>
      <sheetName val="SubRegions"/>
      <sheetName val="ConvFactors"/>
      <sheetName val="Summary_MMs"/>
      <sheetName val="Subunits"/>
      <sheetName val="LU_Unit_Summary"/>
      <sheetName val="FLU2004_Main"/>
      <sheetName val="Misc_Data"/>
      <sheetName val="Summary_Tables-old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42">
          <cell r="B42">
            <v>2</v>
          </cell>
          <cell r="C42" t="str">
            <v>S-4</v>
          </cell>
          <cell r="D42">
            <v>42504.0747883574</v>
          </cell>
          <cell r="E42">
            <v>22102.11888994585</v>
          </cell>
        </row>
        <row r="43">
          <cell r="B43">
            <v>3</v>
          </cell>
          <cell r="C43" t="str">
            <v>East Caloos.</v>
          </cell>
          <cell r="D43">
            <v>198298.9046341108</v>
          </cell>
          <cell r="E43">
            <v>198298.9046341108</v>
          </cell>
        </row>
        <row r="44">
          <cell r="B44">
            <v>4</v>
          </cell>
          <cell r="C44" t="str">
            <v>West Caloos.</v>
          </cell>
          <cell r="D44">
            <v>349733.61468740599</v>
          </cell>
          <cell r="E44">
            <v>349733.61468740599</v>
          </cell>
        </row>
        <row r="45">
          <cell r="B45">
            <v>5</v>
          </cell>
          <cell r="C45" t="str">
            <v>Tidal Caloos.</v>
          </cell>
          <cell r="D45">
            <v>262023.32579637429</v>
          </cell>
          <cell r="E45">
            <v>262023.32579637429</v>
          </cell>
        </row>
        <row r="46">
          <cell r="B46">
            <v>6</v>
          </cell>
          <cell r="C46" t="str">
            <v>Coastal</v>
          </cell>
          <cell r="D46">
            <v>227236.00285985298</v>
          </cell>
          <cell r="E46">
            <v>227236.00285985298</v>
          </cell>
        </row>
        <row r="47">
          <cell r="B47">
            <v>7</v>
          </cell>
          <cell r="C47" t="str">
            <v>Lake Okee.</v>
          </cell>
          <cell r="D47">
            <v>0</v>
          </cell>
          <cell r="E47">
            <v>0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lieber@sfwmd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77"/>
  <sheetViews>
    <sheetView workbookViewId="0">
      <selection activeCell="A8" sqref="A8"/>
    </sheetView>
  </sheetViews>
  <sheetFormatPr defaultRowHeight="15"/>
  <cols>
    <col min="1" max="1" width="25.42578125" style="107" customWidth="1"/>
    <col min="2" max="2" width="148.28515625" style="107" customWidth="1"/>
    <col min="3" max="16384" width="9.140625" style="107"/>
  </cols>
  <sheetData>
    <row r="1" spans="1:2">
      <c r="A1" s="1376" t="s">
        <v>1334</v>
      </c>
      <c r="B1" s="1377" t="s">
        <v>1335</v>
      </c>
    </row>
    <row r="2" spans="1:2">
      <c r="A2" s="1378" t="s">
        <v>1336</v>
      </c>
      <c r="B2" s="1379" t="s">
        <v>1337</v>
      </c>
    </row>
    <row r="3" spans="1:2">
      <c r="A3" s="1378" t="s">
        <v>1338</v>
      </c>
      <c r="B3" s="1379" t="s">
        <v>1339</v>
      </c>
    </row>
    <row r="4" spans="1:2">
      <c r="A4" s="1378" t="s">
        <v>1340</v>
      </c>
      <c r="B4" s="1379" t="s">
        <v>1341</v>
      </c>
    </row>
    <row r="5" spans="1:2">
      <c r="A5" s="1383" t="s">
        <v>1342</v>
      </c>
      <c r="B5" s="1384" t="s">
        <v>1343</v>
      </c>
    </row>
    <row r="6" spans="1:2">
      <c r="A6" s="1385" t="s">
        <v>1344</v>
      </c>
      <c r="B6" s="1386" t="s">
        <v>1454</v>
      </c>
    </row>
    <row r="7" spans="1:2">
      <c r="A7" s="1387" t="s">
        <v>1345</v>
      </c>
      <c r="B7" s="1389" t="s">
        <v>1381</v>
      </c>
    </row>
    <row r="9" spans="1:2">
      <c r="A9" s="1396" t="s">
        <v>1439</v>
      </c>
      <c r="B9" s="1396"/>
    </row>
    <row r="10" spans="1:2">
      <c r="A10" s="59" t="s">
        <v>1346</v>
      </c>
      <c r="B10" s="107" t="s">
        <v>1359</v>
      </c>
    </row>
    <row r="11" spans="1:2">
      <c r="A11" s="59" t="s">
        <v>1347</v>
      </c>
      <c r="B11" s="107" t="s">
        <v>1360</v>
      </c>
    </row>
    <row r="12" spans="1:2">
      <c r="A12" s="59" t="s">
        <v>1348</v>
      </c>
      <c r="B12" t="s">
        <v>1361</v>
      </c>
    </row>
    <row r="13" spans="1:2">
      <c r="A13" s="59" t="s">
        <v>1349</v>
      </c>
      <c r="B13" s="107" t="s">
        <v>1350</v>
      </c>
    </row>
    <row r="14" spans="1:2">
      <c r="A14" s="59"/>
      <c r="B14" s="716"/>
    </row>
    <row r="15" spans="1:2">
      <c r="A15" s="1396" t="s">
        <v>1440</v>
      </c>
      <c r="B15" s="1396"/>
    </row>
    <row r="16" spans="1:2">
      <c r="A16" s="1388" t="s">
        <v>1362</v>
      </c>
      <c r="B16" t="s">
        <v>1375</v>
      </c>
    </row>
    <row r="17" spans="1:4">
      <c r="A17" s="1380" t="s">
        <v>1363</v>
      </c>
      <c r="B17" t="s">
        <v>1376</v>
      </c>
    </row>
    <row r="18" spans="1:4">
      <c r="A18" s="1380" t="s">
        <v>1364</v>
      </c>
      <c r="B18" t="s">
        <v>1374</v>
      </c>
      <c r="D18"/>
    </row>
    <row r="19" spans="1:4">
      <c r="A19" s="1380" t="s">
        <v>1365</v>
      </c>
      <c r="B19" t="s">
        <v>1373</v>
      </c>
      <c r="D19"/>
    </row>
    <row r="20" spans="1:4">
      <c r="A20" s="1380" t="s">
        <v>1366</v>
      </c>
      <c r="B20" t="s">
        <v>1377</v>
      </c>
      <c r="D20"/>
    </row>
    <row r="21" spans="1:4">
      <c r="A21" s="1380" t="s">
        <v>1367</v>
      </c>
      <c r="B21" t="s">
        <v>1379</v>
      </c>
    </row>
    <row r="22" spans="1:4">
      <c r="A22" s="1380" t="s">
        <v>1368</v>
      </c>
      <c r="B22" t="s">
        <v>1380</v>
      </c>
    </row>
    <row r="23" spans="1:4">
      <c r="A23" s="1380" t="s">
        <v>1369</v>
      </c>
      <c r="B23" t="s">
        <v>1378</v>
      </c>
    </row>
    <row r="24" spans="1:4">
      <c r="A24" s="1380" t="s">
        <v>1370</v>
      </c>
      <c r="B24" t="s">
        <v>1382</v>
      </c>
    </row>
    <row r="25" spans="1:4">
      <c r="A25" s="1380" t="s">
        <v>1371</v>
      </c>
      <c r="B25" t="s">
        <v>1385</v>
      </c>
    </row>
    <row r="26" spans="1:4">
      <c r="A26" s="1380" t="s">
        <v>1372</v>
      </c>
      <c r="B26" t="s">
        <v>1396</v>
      </c>
    </row>
    <row r="27" spans="1:4">
      <c r="A27" s="1380" t="s">
        <v>1351</v>
      </c>
      <c r="B27" s="107" t="s">
        <v>1352</v>
      </c>
    </row>
    <row r="29" spans="1:4">
      <c r="A29" s="226" t="s">
        <v>1391</v>
      </c>
      <c r="B29" s="1394"/>
    </row>
    <row r="30" spans="1:4">
      <c r="A30" t="s">
        <v>1336</v>
      </c>
      <c r="B30" t="s">
        <v>1425</v>
      </c>
    </row>
    <row r="31" spans="1:4">
      <c r="A31" t="s">
        <v>1420</v>
      </c>
      <c r="B31" t="s">
        <v>1421</v>
      </c>
    </row>
    <row r="32" spans="1:4">
      <c r="A32"/>
      <c r="B32" s="61" t="s">
        <v>1386</v>
      </c>
    </row>
    <row r="33" spans="1:2">
      <c r="A33"/>
      <c r="B33" s="61" t="s">
        <v>1426</v>
      </c>
    </row>
    <row r="34" spans="1:2">
      <c r="A34"/>
      <c r="B34" s="61" t="s">
        <v>1401</v>
      </c>
    </row>
    <row r="35" spans="1:2">
      <c r="A35" t="s">
        <v>1422</v>
      </c>
      <c r="B35" t="s">
        <v>1423</v>
      </c>
    </row>
    <row r="36" spans="1:2">
      <c r="A36"/>
      <c r="B36" t="s">
        <v>1424</v>
      </c>
    </row>
    <row r="37" spans="1:2">
      <c r="A37" t="s">
        <v>526</v>
      </c>
      <c r="B37" t="s">
        <v>1387</v>
      </c>
    </row>
    <row r="38" spans="1:2">
      <c r="A38" t="s">
        <v>1394</v>
      </c>
      <c r="B38" t="s">
        <v>1395</v>
      </c>
    </row>
    <row r="39" spans="1:2">
      <c r="A39" t="s">
        <v>1403</v>
      </c>
      <c r="B39" t="s">
        <v>1404</v>
      </c>
    </row>
    <row r="40" spans="1:2">
      <c r="A40"/>
      <c r="B40" s="61" t="s">
        <v>1405</v>
      </c>
    </row>
    <row r="41" spans="1:2">
      <c r="A41"/>
      <c r="B41" s="61" t="s">
        <v>1406</v>
      </c>
    </row>
    <row r="42" spans="1:2">
      <c r="A42"/>
      <c r="B42" s="61" t="s">
        <v>1407</v>
      </c>
    </row>
    <row r="43" spans="1:2">
      <c r="A43"/>
      <c r="B43" s="61" t="s">
        <v>1408</v>
      </c>
    </row>
    <row r="44" spans="1:2">
      <c r="A44" t="s">
        <v>1388</v>
      </c>
      <c r="B44" t="s">
        <v>1389</v>
      </c>
    </row>
    <row r="45" spans="1:2">
      <c r="B45" s="61" t="s">
        <v>1390</v>
      </c>
    </row>
    <row r="46" spans="1:2">
      <c r="B46" s="61" t="s">
        <v>1392</v>
      </c>
    </row>
    <row r="47" spans="1:2">
      <c r="A47" t="s">
        <v>1419</v>
      </c>
      <c r="B47" s="269" t="s">
        <v>1427</v>
      </c>
    </row>
    <row r="48" spans="1:2">
      <c r="B48" s="61" t="s">
        <v>1428</v>
      </c>
    </row>
    <row r="49" spans="1:2">
      <c r="B49" s="61" t="str">
        <f xml:space="preserve"> "For the 2012 Plan, these levels were set at " &amp; VLOOKUP(1,parmlist,6,FALSE) &amp; " (" &amp; VLOOKUP(1,parmlist,10,FALSE) &amp; ") for TN and " &amp; VLOOKUP(2,parmlist,6,FALSE) &amp; " (" &amp; VLOOKUP(2,parmlist,10,FALSE) &amp; ") for TP."</f>
        <v>For the 2012 Plan, these levels were set at 0.80 mg/L (0.80 ppm) for TN and 0.080 mg/L (80 ppb) for TP.</v>
      </c>
    </row>
    <row r="50" spans="1:2">
      <c r="A50" s="107" t="s">
        <v>1393</v>
      </c>
      <c r="B50" t="s">
        <v>1397</v>
      </c>
    </row>
    <row r="51" spans="1:2">
      <c r="B51" s="61" t="s">
        <v>1398</v>
      </c>
    </row>
    <row r="52" spans="1:2">
      <c r="A52" t="s">
        <v>485</v>
      </c>
      <c r="B52" t="s">
        <v>1399</v>
      </c>
    </row>
    <row r="53" spans="1:2">
      <c r="A53" t="s">
        <v>1400</v>
      </c>
      <c r="B53" s="269" t="s">
        <v>1402</v>
      </c>
    </row>
    <row r="54" spans="1:2">
      <c r="B54" s="61" t="s">
        <v>1410</v>
      </c>
    </row>
    <row r="55" spans="1:2">
      <c r="A55" s="107" t="s">
        <v>1409</v>
      </c>
      <c r="B55" t="s">
        <v>1411</v>
      </c>
    </row>
    <row r="56" spans="1:2">
      <c r="B56" s="61" t="s">
        <v>1412</v>
      </c>
    </row>
    <row r="57" spans="1:2">
      <c r="B57" s="61" t="s">
        <v>1413</v>
      </c>
    </row>
    <row r="58" spans="1:2">
      <c r="B58" s="61" t="s">
        <v>1414</v>
      </c>
    </row>
    <row r="59" spans="1:2">
      <c r="B59" s="61" t="s">
        <v>1415</v>
      </c>
    </row>
    <row r="60" spans="1:2">
      <c r="B60" s="61" t="s">
        <v>1416</v>
      </c>
    </row>
    <row r="61" spans="1:2">
      <c r="B61" s="61" t="s">
        <v>1417</v>
      </c>
    </row>
    <row r="62" spans="1:2">
      <c r="B62" s="61" t="s">
        <v>1418</v>
      </c>
    </row>
    <row r="63" spans="1:2">
      <c r="B63" s="269" t="s">
        <v>1429</v>
      </c>
    </row>
    <row r="64" spans="1:2">
      <c r="B64" s="61" t="s">
        <v>1430</v>
      </c>
    </row>
    <row r="65" spans="1:2">
      <c r="B65" s="61" t="s">
        <v>1431</v>
      </c>
    </row>
    <row r="66" spans="1:2">
      <c r="A66" t="s">
        <v>1432</v>
      </c>
      <c r="B66" s="269" t="s">
        <v>1433</v>
      </c>
    </row>
    <row r="67" spans="1:2">
      <c r="B67" s="61" t="s">
        <v>1434</v>
      </c>
    </row>
    <row r="68" spans="1:2">
      <c r="B68" s="61" t="s">
        <v>1441</v>
      </c>
    </row>
    <row r="69" spans="1:2">
      <c r="A69" t="s">
        <v>1435</v>
      </c>
      <c r="B69" s="269" t="s">
        <v>1438</v>
      </c>
    </row>
    <row r="70" spans="1:2">
      <c r="B70" s="269" t="s">
        <v>1436</v>
      </c>
    </row>
    <row r="71" spans="1:2">
      <c r="B71" s="61" t="s">
        <v>1437</v>
      </c>
    </row>
    <row r="73" spans="1:2">
      <c r="A73" s="1381" t="s">
        <v>1353</v>
      </c>
    </row>
    <row r="74" spans="1:2">
      <c r="A74" s="1374" t="s">
        <v>1354</v>
      </c>
      <c r="B74" s="107" t="s">
        <v>1355</v>
      </c>
    </row>
    <row r="75" spans="1:2">
      <c r="A75" s="1375"/>
      <c r="B75" s="107" t="s">
        <v>1356</v>
      </c>
    </row>
    <row r="76" spans="1:2">
      <c r="A76" s="1375"/>
      <c r="B76" s="107" t="s">
        <v>1357</v>
      </c>
    </row>
    <row r="77" spans="1:2">
      <c r="A77" s="1102"/>
      <c r="B77" s="1382" t="s">
        <v>1358</v>
      </c>
    </row>
  </sheetData>
  <mergeCells count="2">
    <mergeCell ref="A9:B9"/>
    <mergeCell ref="A15:B15"/>
  </mergeCells>
  <hyperlinks>
    <hyperlink ref="B77" r:id="rId1"/>
  </hyperlinks>
  <printOptions gridLines="1"/>
  <pageMargins left="0.5" right="0.5" top="0.75" bottom="0.75" header="0.3" footer="0.3"/>
  <pageSetup scale="73" fitToHeight="5" orientation="landscape" r:id="rId2"/>
  <headerFooter>
    <oddFooter>&amp;L&amp;"-,Italic"&amp;9&amp;F, &amp;A&amp;R&amp;"-,Italic"&amp;9&amp;P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>
  <dimension ref="A1:T66"/>
  <sheetViews>
    <sheetView zoomScale="80" zoomScaleNormal="80" workbookViewId="0">
      <selection activeCell="A6" sqref="A6"/>
    </sheetView>
  </sheetViews>
  <sheetFormatPr defaultRowHeight="15"/>
  <cols>
    <col min="1" max="1" width="100.7109375" style="847" customWidth="1"/>
    <col min="2" max="2" width="15.28515625" style="847" customWidth="1"/>
    <col min="3" max="3" width="22.7109375" style="847" customWidth="1"/>
    <col min="4" max="4" width="8.85546875" style="847" customWidth="1"/>
    <col min="5" max="5" width="12" style="847" customWidth="1"/>
    <col min="6" max="6" width="10.5703125" style="848" customWidth="1"/>
    <col min="7" max="7" width="9.85546875" style="847" customWidth="1"/>
    <col min="8" max="8" width="11.85546875" style="848" customWidth="1"/>
    <col min="9" max="9" width="11.140625" style="847" customWidth="1"/>
    <col min="10" max="10" width="10.85546875" style="849" customWidth="1"/>
    <col min="11" max="11" width="10.140625" style="847" customWidth="1"/>
    <col min="12" max="12" width="11.28515625" style="847" customWidth="1"/>
    <col min="13" max="14" width="11.140625" style="847" customWidth="1"/>
    <col min="15" max="15" width="11.7109375" style="847" customWidth="1"/>
    <col min="16" max="16" width="12" style="847" customWidth="1"/>
    <col min="17" max="17" width="10.85546875" style="847" customWidth="1"/>
    <col min="18" max="18" width="11.7109375" style="848" customWidth="1"/>
    <col min="19" max="19" width="11.5703125" style="847" customWidth="1"/>
    <col min="20" max="20" width="45.28515625" style="847" customWidth="1"/>
    <col min="21" max="16384" width="9.140625" style="847"/>
  </cols>
  <sheetData>
    <row r="1" spans="1:18">
      <c r="A1" s="845" t="s">
        <v>464</v>
      </c>
      <c r="B1" s="846"/>
      <c r="E1" s="928" t="s">
        <v>1213</v>
      </c>
    </row>
    <row r="2" spans="1:18">
      <c r="A2" s="847" t="s">
        <v>465</v>
      </c>
    </row>
    <row r="3" spans="1:18">
      <c r="A3" s="850" t="s">
        <v>555</v>
      </c>
    </row>
    <row r="4" spans="1:18">
      <c r="A4" s="849" t="s">
        <v>475</v>
      </c>
    </row>
    <row r="5" spans="1:18">
      <c r="A5" s="1091" t="s">
        <v>1090</v>
      </c>
    </row>
    <row r="6" spans="1:18">
      <c r="A6" s="849"/>
    </row>
    <row r="7" spans="1:18">
      <c r="L7" s="1480" t="s">
        <v>1228</v>
      </c>
      <c r="M7" s="1481"/>
      <c r="N7" s="1482" t="s">
        <v>1229</v>
      </c>
      <c r="O7" s="1483"/>
    </row>
    <row r="8" spans="1:18" s="851" customFormat="1" ht="60">
      <c r="A8" s="921" t="s">
        <v>429</v>
      </c>
      <c r="B8" s="921" t="s">
        <v>430</v>
      </c>
      <c r="C8" s="921" t="s">
        <v>266</v>
      </c>
      <c r="D8" s="922" t="s">
        <v>267</v>
      </c>
      <c r="E8" s="922" t="s">
        <v>268</v>
      </c>
      <c r="F8" s="922" t="s">
        <v>263</v>
      </c>
      <c r="G8" s="922" t="s">
        <v>432</v>
      </c>
      <c r="H8" s="922" t="s">
        <v>433</v>
      </c>
      <c r="I8" s="921" t="s">
        <v>548</v>
      </c>
      <c r="J8" s="921" t="s">
        <v>549</v>
      </c>
      <c r="K8" s="921" t="s">
        <v>550</v>
      </c>
      <c r="L8" s="922" t="s">
        <v>551</v>
      </c>
      <c r="M8" s="922" t="s">
        <v>552</v>
      </c>
      <c r="N8" s="922" t="s">
        <v>553</v>
      </c>
      <c r="O8" s="922" t="s">
        <v>554</v>
      </c>
      <c r="P8" s="921" t="s">
        <v>434</v>
      </c>
      <c r="Q8" s="921" t="s">
        <v>431</v>
      </c>
      <c r="R8" s="921" t="s">
        <v>435</v>
      </c>
    </row>
    <row r="9" spans="1:18" s="851" customFormat="1">
      <c r="A9" s="852" t="s">
        <v>436</v>
      </c>
      <c r="D9" s="853"/>
      <c r="F9" s="853"/>
      <c r="G9" s="853"/>
      <c r="H9" s="854"/>
      <c r="P9" s="853"/>
    </row>
    <row r="10" spans="1:18" s="856" customFormat="1">
      <c r="A10" s="855" t="s">
        <v>996</v>
      </c>
      <c r="B10" s="856" t="s">
        <v>436</v>
      </c>
      <c r="C10" s="856" t="s">
        <v>436</v>
      </c>
      <c r="D10" s="857">
        <v>1</v>
      </c>
      <c r="E10" s="856" t="str">
        <f>VLOOKUP(D10,projstatus,2,FALSE)</f>
        <v>Completed</v>
      </c>
      <c r="F10" s="858" t="s">
        <v>271</v>
      </c>
      <c r="G10" s="857">
        <f>VLOOKUP(F10,subwatindex,2,FALSE)</f>
        <v>2</v>
      </c>
      <c r="H10" s="859" t="s">
        <v>438</v>
      </c>
      <c r="I10" s="860">
        <v>1</v>
      </c>
      <c r="J10" s="860">
        <v>250</v>
      </c>
      <c r="K10" s="860">
        <v>10</v>
      </c>
      <c r="L10" s="861">
        <f>VLOOKUP($F10,subwatconc,$D10+4,FALSE)</f>
        <v>0.17332684642830429</v>
      </c>
      <c r="M10" s="862">
        <f>$K10*L10/mtonacft_mgl*1000</f>
        <v>2.1379551702870159</v>
      </c>
      <c r="N10" s="861">
        <f>VLOOKUP($F10,subwatconc,$D10+1,FALSE)</f>
        <v>1.1590227991403534</v>
      </c>
      <c r="O10" s="862">
        <f>$K10*N10/mtonacft_mgl*1000</f>
        <v>14.296335720431133</v>
      </c>
      <c r="P10" s="863">
        <v>40575</v>
      </c>
      <c r="Q10" s="864"/>
      <c r="R10" s="865" t="s">
        <v>439</v>
      </c>
    </row>
    <row r="11" spans="1:18" s="856" customFormat="1">
      <c r="A11" s="855" t="s">
        <v>541</v>
      </c>
      <c r="B11" s="856" t="s">
        <v>436</v>
      </c>
      <c r="C11" s="856" t="s">
        <v>436</v>
      </c>
      <c r="D11" s="857">
        <v>1</v>
      </c>
      <c r="E11" s="856" t="str">
        <f>VLOOKUP(D11,projstatus,2,FALSE)</f>
        <v>Completed</v>
      </c>
      <c r="F11" s="858" t="s">
        <v>289</v>
      </c>
      <c r="G11" s="857">
        <f>VLOOKUP(F11,subwatindex,2,FALSE)</f>
        <v>5</v>
      </c>
      <c r="H11" s="859" t="s">
        <v>441</v>
      </c>
      <c r="I11" s="860">
        <v>1252</v>
      </c>
      <c r="J11" s="860">
        <v>7486</v>
      </c>
      <c r="K11" s="860">
        <v>615</v>
      </c>
      <c r="L11" s="861">
        <f>VLOOKUP($F11,subwatconc,$D11+4,FALSE)</f>
        <v>0.10489956578469842</v>
      </c>
      <c r="M11" s="862">
        <f>$K11*L11/mtonacft_mgl*1000</f>
        <v>79.57590113465875</v>
      </c>
      <c r="N11" s="861">
        <f>VLOOKUP($F11,subwatconc,$D11+1,FALSE)</f>
        <v>1.5937350820952885</v>
      </c>
      <c r="O11" s="862">
        <f>$K11*N11/mtonacft_mgl*1000</f>
        <v>1208.9936157405091</v>
      </c>
      <c r="P11" s="863">
        <v>40695</v>
      </c>
      <c r="Q11" s="864" t="s">
        <v>440</v>
      </c>
      <c r="R11" s="865"/>
    </row>
    <row r="12" spans="1:18" s="856" customFormat="1">
      <c r="A12" s="855" t="s">
        <v>442</v>
      </c>
      <c r="B12" s="856" t="s">
        <v>436</v>
      </c>
      <c r="C12" s="856" t="s">
        <v>436</v>
      </c>
      <c r="D12" s="857">
        <v>1</v>
      </c>
      <c r="E12" s="856" t="str">
        <f>VLOOKUP(D12,projstatus,2,FALSE)</f>
        <v>Completed</v>
      </c>
      <c r="F12" s="858" t="s">
        <v>271</v>
      </c>
      <c r="G12" s="857">
        <f>VLOOKUP(F12,subwatindex,2,FALSE)</f>
        <v>2</v>
      </c>
      <c r="H12" s="859" t="s">
        <v>441</v>
      </c>
      <c r="I12" s="860">
        <v>3</v>
      </c>
      <c r="J12" s="860">
        <v>6129</v>
      </c>
      <c r="K12" s="860">
        <v>5000</v>
      </c>
      <c r="L12" s="861">
        <f>VLOOKUP($F12,subwatconc,$D12+4,FALSE)</f>
        <v>0.17332684642830429</v>
      </c>
      <c r="M12" s="862">
        <f>$K12*L12/mtonacft_mgl*1000</f>
        <v>1068.9775851435079</v>
      </c>
      <c r="N12" s="861">
        <f>VLOOKUP($F12,subwatconc,$D12+1,FALSE)</f>
        <v>1.1590227991403534</v>
      </c>
      <c r="O12" s="862">
        <f>$K12*N12/mtonacft_mgl*1000</f>
        <v>7148.1678602155671</v>
      </c>
      <c r="P12" s="863">
        <v>39600</v>
      </c>
      <c r="Q12" s="864" t="s">
        <v>443</v>
      </c>
      <c r="R12" s="865" t="s">
        <v>444</v>
      </c>
    </row>
    <row r="13" spans="1:18" s="856" customFormat="1">
      <c r="A13" s="855"/>
      <c r="D13" s="857"/>
      <c r="F13" s="858"/>
      <c r="G13" s="857"/>
      <c r="H13" s="859"/>
      <c r="I13" s="860"/>
      <c r="J13" s="860"/>
      <c r="K13" s="860"/>
      <c r="L13" s="861"/>
      <c r="M13" s="862"/>
      <c r="N13" s="861"/>
      <c r="O13" s="862"/>
      <c r="P13" s="863"/>
      <c r="Q13" s="864"/>
      <c r="R13" s="865"/>
    </row>
    <row r="14" spans="1:18" s="856" customFormat="1">
      <c r="A14" s="866" t="s">
        <v>547</v>
      </c>
      <c r="D14" s="857"/>
      <c r="F14" s="859"/>
      <c r="G14" s="857"/>
      <c r="H14" s="859"/>
      <c r="I14" s="867"/>
      <c r="J14" s="867"/>
      <c r="K14" s="867"/>
      <c r="L14" s="861"/>
      <c r="M14" s="862"/>
      <c r="N14" s="861"/>
      <c r="O14" s="862"/>
      <c r="P14" s="857"/>
    </row>
    <row r="15" spans="1:18" s="856" customFormat="1">
      <c r="A15" s="868" t="s">
        <v>446</v>
      </c>
      <c r="D15" s="857"/>
      <c r="F15" s="859"/>
      <c r="G15" s="857"/>
      <c r="H15" s="859"/>
      <c r="I15" s="867"/>
      <c r="J15" s="867"/>
      <c r="K15" s="867"/>
      <c r="L15" s="861"/>
      <c r="M15" s="862"/>
      <c r="N15" s="861"/>
      <c r="O15" s="862"/>
      <c r="P15" s="857"/>
    </row>
    <row r="16" spans="1:18" s="856" customFormat="1">
      <c r="A16" s="869" t="s">
        <v>447</v>
      </c>
      <c r="B16" s="856" t="s">
        <v>445</v>
      </c>
      <c r="C16" s="856" t="s">
        <v>448</v>
      </c>
      <c r="D16" s="857">
        <v>2</v>
      </c>
      <c r="E16" s="856" t="str">
        <f>VLOOKUP(D16,projstatus,2,FALSE)</f>
        <v>Near-Term</v>
      </c>
      <c r="F16" s="859" t="s">
        <v>152</v>
      </c>
      <c r="G16" s="857">
        <f>VLOOKUP(F16,subwatindex,2,FALSE)</f>
        <v>3</v>
      </c>
      <c r="H16" s="859" t="s">
        <v>438</v>
      </c>
      <c r="I16" s="867">
        <v>752</v>
      </c>
      <c r="J16" s="867">
        <v>752</v>
      </c>
      <c r="K16" s="867">
        <v>1448</v>
      </c>
      <c r="L16" s="861">
        <f>VLOOKUP($F16,subwatconc,$D16+4,FALSE)</f>
        <v>0.11741770673993296</v>
      </c>
      <c r="M16" s="862">
        <f>$K16*L16/mtonacft_mgl*1000</f>
        <v>209.71761735443269</v>
      </c>
      <c r="N16" s="861">
        <f>VLOOKUP($F16,subwatconc,$D16+1,FALSE)</f>
        <v>1.0925311778035365</v>
      </c>
      <c r="O16" s="862">
        <f>$K16*N16/mtonacft_mgl*1000</f>
        <v>1951.3499441942906</v>
      </c>
      <c r="P16" s="857" t="s">
        <v>449</v>
      </c>
    </row>
    <row r="17" spans="1:16" s="856" customFormat="1">
      <c r="A17" s="868" t="s">
        <v>450</v>
      </c>
      <c r="D17" s="857"/>
      <c r="F17" s="859"/>
      <c r="G17" s="857"/>
      <c r="H17" s="859"/>
      <c r="I17" s="867"/>
      <c r="J17" s="867"/>
      <c r="K17" s="867"/>
      <c r="L17" s="861"/>
      <c r="M17" s="862"/>
      <c r="N17" s="861"/>
      <c r="O17" s="862"/>
      <c r="P17" s="857"/>
    </row>
    <row r="18" spans="1:16" s="856" customFormat="1">
      <c r="A18" s="869" t="s">
        <v>545</v>
      </c>
      <c r="B18" s="856" t="s">
        <v>445</v>
      </c>
      <c r="C18" s="856" t="s">
        <v>451</v>
      </c>
      <c r="D18" s="857">
        <v>2</v>
      </c>
      <c r="E18" s="856" t="str">
        <f>VLOOKUP(D18,projstatus,2,FALSE)</f>
        <v>Near-Term</v>
      </c>
      <c r="F18" s="859" t="s">
        <v>271</v>
      </c>
      <c r="G18" s="857">
        <f>VLOOKUP(F18,subwatindex,2,FALSE)</f>
        <v>2</v>
      </c>
      <c r="H18" s="859" t="s">
        <v>438</v>
      </c>
      <c r="I18" s="867" t="s">
        <v>454</v>
      </c>
      <c r="J18" s="867">
        <v>766</v>
      </c>
      <c r="K18" s="867">
        <v>150</v>
      </c>
      <c r="L18" s="861">
        <f>VLOOKUP($F18,subwatconc,$D18+4,FALSE)</f>
        <v>0.16083117601841881</v>
      </c>
      <c r="M18" s="862">
        <f>$K18*L18/mtonacft_mgl*1000</f>
        <v>29.757350179519179</v>
      </c>
      <c r="N18" s="861">
        <f>VLOOKUP($F18,subwatconc,$D18+1,FALSE)</f>
        <v>1.0956675745807085</v>
      </c>
      <c r="O18" s="862">
        <f>$K18*N18/mtonacft_mgl*1000</f>
        <v>202.722907985257</v>
      </c>
      <c r="P18" s="857" t="s">
        <v>449</v>
      </c>
    </row>
    <row r="19" spans="1:16" s="856" customFormat="1">
      <c r="A19" s="870" t="s">
        <v>452</v>
      </c>
      <c r="B19" s="871" t="s">
        <v>445</v>
      </c>
      <c r="C19" s="871" t="s">
        <v>451</v>
      </c>
      <c r="D19" s="872">
        <v>2</v>
      </c>
      <c r="E19" s="871" t="str">
        <f>VLOOKUP(D19,projstatus,2,FALSE)</f>
        <v>Near-Term</v>
      </c>
      <c r="F19" s="926" t="s">
        <v>453</v>
      </c>
      <c r="G19" s="927"/>
      <c r="H19" s="873" t="s">
        <v>453</v>
      </c>
      <c r="I19" s="874"/>
      <c r="J19" s="874" t="s">
        <v>454</v>
      </c>
      <c r="K19" s="925" t="s">
        <v>454</v>
      </c>
      <c r="L19" s="875"/>
      <c r="M19" s="876"/>
      <c r="N19" s="875"/>
      <c r="O19" s="876"/>
      <c r="P19" s="872" t="s">
        <v>454</v>
      </c>
    </row>
    <row r="20" spans="1:16" s="856" customFormat="1">
      <c r="D20" s="857"/>
      <c r="F20" s="940"/>
      <c r="G20" s="857"/>
      <c r="H20" s="859"/>
      <c r="I20" s="867"/>
      <c r="J20" s="867"/>
      <c r="K20" s="867"/>
      <c r="L20" s="941"/>
      <c r="M20" s="942"/>
      <c r="N20" s="861"/>
      <c r="O20" s="942"/>
      <c r="P20" s="857"/>
    </row>
    <row r="21" spans="1:16" s="856" customFormat="1">
      <c r="A21" s="877" t="s">
        <v>455</v>
      </c>
      <c r="D21" s="857"/>
      <c r="F21" s="859"/>
      <c r="G21" s="857"/>
      <c r="H21" s="859"/>
      <c r="I21" s="867"/>
      <c r="J21" s="867"/>
      <c r="K21" s="867"/>
      <c r="L21" s="861"/>
      <c r="M21" s="862"/>
      <c r="N21" s="861"/>
      <c r="O21" s="862"/>
      <c r="P21" s="857"/>
    </row>
    <row r="22" spans="1:16" s="856" customFormat="1">
      <c r="A22" s="868" t="s">
        <v>446</v>
      </c>
      <c r="D22" s="857"/>
      <c r="F22" s="859"/>
      <c r="G22" s="857"/>
      <c r="H22" s="859"/>
      <c r="I22" s="867"/>
      <c r="J22" s="867"/>
      <c r="K22" s="867"/>
      <c r="L22" s="861"/>
      <c r="M22" s="862"/>
      <c r="N22" s="861"/>
      <c r="O22" s="862"/>
      <c r="P22" s="859"/>
    </row>
    <row r="23" spans="1:16" s="856" customFormat="1">
      <c r="A23" s="869" t="s">
        <v>457</v>
      </c>
      <c r="B23" s="856" t="s">
        <v>456</v>
      </c>
      <c r="C23" s="856" t="s">
        <v>448</v>
      </c>
      <c r="D23" s="857">
        <v>3</v>
      </c>
      <c r="E23" s="856" t="str">
        <f t="shared" ref="E23" si="0">VLOOKUP(D23,projstatus,2,FALSE)</f>
        <v>Long-Term</v>
      </c>
      <c r="F23" s="859" t="s">
        <v>203</v>
      </c>
      <c r="G23" s="857">
        <f t="shared" ref="G23" si="1">VLOOKUP(F23,subwatindex,2,FALSE)</f>
        <v>4</v>
      </c>
      <c r="H23" s="856" t="s">
        <v>437</v>
      </c>
      <c r="I23" s="867" t="s">
        <v>454</v>
      </c>
      <c r="J23" s="867">
        <v>307</v>
      </c>
      <c r="K23" s="867">
        <v>115</v>
      </c>
      <c r="L23" s="861">
        <f>VLOOKUP($F23,subwatconc,$D23+4,FALSE)</f>
        <v>0.08</v>
      </c>
      <c r="M23" s="862">
        <f>$K23*L23/mtonacft_mgl*1000</f>
        <v>11.348032905437185</v>
      </c>
      <c r="N23" s="861">
        <f>VLOOKUP($F23,subwatconc,$D23+1,FALSE)</f>
        <v>0.95446953260391687</v>
      </c>
      <c r="O23" s="862">
        <f>$K23*N23/mtonacft_mgl*1000</f>
        <v>135.39189579033123</v>
      </c>
      <c r="P23" s="859"/>
    </row>
    <row r="24" spans="1:16" s="856" customFormat="1">
      <c r="A24" s="868" t="s">
        <v>450</v>
      </c>
      <c r="D24" s="857"/>
      <c r="F24" s="859"/>
      <c r="G24" s="857"/>
      <c r="I24" s="867"/>
      <c r="J24" s="867"/>
      <c r="K24" s="867"/>
      <c r="L24" s="861"/>
      <c r="M24" s="862"/>
      <c r="N24" s="861"/>
      <c r="O24" s="862"/>
      <c r="P24" s="859"/>
    </row>
    <row r="25" spans="1:16" s="856" customFormat="1">
      <c r="A25" s="869" t="s">
        <v>542</v>
      </c>
      <c r="B25" s="856" t="s">
        <v>456</v>
      </c>
      <c r="C25" s="856" t="s">
        <v>451</v>
      </c>
      <c r="D25" s="857">
        <v>3</v>
      </c>
      <c r="E25" s="856" t="str">
        <f>VLOOKUP(D25,projstatus,2,FALSE)</f>
        <v>Long-Term</v>
      </c>
      <c r="F25" s="859" t="s">
        <v>271</v>
      </c>
      <c r="G25" s="857">
        <f>VLOOKUP(F25,subwatindex,2,FALSE)</f>
        <v>2</v>
      </c>
      <c r="H25" s="856" t="s">
        <v>438</v>
      </c>
      <c r="I25" s="867" t="s">
        <v>454</v>
      </c>
      <c r="J25" s="867" t="s">
        <v>454</v>
      </c>
      <c r="K25" s="925" t="s">
        <v>454</v>
      </c>
      <c r="L25" s="861">
        <f>VLOOKUP($F25,subwatconc,$D25+4,FALSE)</f>
        <v>0.14247377488544583</v>
      </c>
      <c r="M25" s="1092"/>
      <c r="N25" s="861">
        <f>VLOOKUP($F25,subwatconc,$D25+1,FALSE)</f>
        <v>0.99675858152306107</v>
      </c>
      <c r="O25" s="1092"/>
      <c r="P25" s="859"/>
    </row>
    <row r="26" spans="1:16" s="856" customFormat="1">
      <c r="A26" s="869" t="s">
        <v>543</v>
      </c>
      <c r="B26" s="856" t="s">
        <v>456</v>
      </c>
      <c r="C26" s="856" t="s">
        <v>451</v>
      </c>
      <c r="D26" s="857">
        <v>3</v>
      </c>
      <c r="E26" s="856" t="str">
        <f>VLOOKUP(D26,projstatus,2,FALSE)</f>
        <v>Long-Term</v>
      </c>
      <c r="F26" s="859" t="s">
        <v>271</v>
      </c>
      <c r="G26" s="857">
        <f>VLOOKUP(F26,subwatindex,2,FALSE)</f>
        <v>2</v>
      </c>
      <c r="H26" s="856" t="s">
        <v>438</v>
      </c>
      <c r="I26" s="867" t="s">
        <v>454</v>
      </c>
      <c r="J26" s="867" t="s">
        <v>454</v>
      </c>
      <c r="K26" s="925" t="s">
        <v>454</v>
      </c>
      <c r="L26" s="861">
        <f>VLOOKUP($F26,subwatconc,$D26+4,FALSE)</f>
        <v>0.14247377488544583</v>
      </c>
      <c r="M26" s="1092"/>
      <c r="N26" s="861">
        <f>VLOOKUP($F26,subwatconc,$D26+1,FALSE)</f>
        <v>0.99675858152306107</v>
      </c>
      <c r="O26" s="1092"/>
      <c r="P26" s="859"/>
    </row>
    <row r="27" spans="1:16" s="856" customFormat="1">
      <c r="A27" s="869" t="s">
        <v>544</v>
      </c>
      <c r="B27" s="856" t="s">
        <v>456</v>
      </c>
      <c r="C27" s="856" t="s">
        <v>451</v>
      </c>
      <c r="D27" s="857">
        <v>3</v>
      </c>
      <c r="E27" s="856" t="str">
        <f>VLOOKUP(D27,projstatus,2,FALSE)</f>
        <v>Long-Term</v>
      </c>
      <c r="F27" s="859" t="s">
        <v>289</v>
      </c>
      <c r="G27" s="857">
        <f>VLOOKUP(F27,subwatindex,2,FALSE)</f>
        <v>5</v>
      </c>
      <c r="H27" s="856" t="s">
        <v>438</v>
      </c>
      <c r="I27" s="867" t="s">
        <v>454</v>
      </c>
      <c r="J27" s="867" t="s">
        <v>454</v>
      </c>
      <c r="K27" s="925" t="s">
        <v>454</v>
      </c>
      <c r="L27" s="861">
        <f>VLOOKUP($F27,subwatconc,$D27+4,FALSE)</f>
        <v>9.4853689226124374E-2</v>
      </c>
      <c r="M27" s="1092"/>
      <c r="N27" s="861">
        <f>VLOOKUP($F27,subwatconc,$D27+1,FALSE)</f>
        <v>1.4736462476584935</v>
      </c>
      <c r="O27" s="1092"/>
      <c r="P27" s="859"/>
    </row>
    <row r="28" spans="1:16" s="856" customFormat="1">
      <c r="A28" s="868" t="s">
        <v>458</v>
      </c>
      <c r="D28" s="857"/>
      <c r="F28" s="859"/>
      <c r="G28" s="857"/>
      <c r="I28" s="867"/>
      <c r="J28" s="867"/>
      <c r="K28" s="867"/>
      <c r="L28" s="861"/>
      <c r="M28" s="862"/>
      <c r="N28" s="861"/>
      <c r="O28" s="862"/>
      <c r="P28" s="859"/>
    </row>
    <row r="29" spans="1:16" s="856" customFormat="1">
      <c r="A29" s="869" t="s">
        <v>459</v>
      </c>
      <c r="B29" s="856" t="s">
        <v>456</v>
      </c>
      <c r="C29" s="856" t="s">
        <v>460</v>
      </c>
      <c r="D29" s="857">
        <v>3</v>
      </c>
      <c r="E29" s="856" t="str">
        <f>VLOOKUP(D29,projstatus,2,FALSE)</f>
        <v>Long-Term</v>
      </c>
      <c r="F29" s="859" t="s">
        <v>271</v>
      </c>
      <c r="G29" s="857">
        <f>VLOOKUP(F29,subwatindex,2,FALSE)</f>
        <v>2</v>
      </c>
      <c r="H29" s="856" t="s">
        <v>438</v>
      </c>
      <c r="I29" s="867" t="s">
        <v>454</v>
      </c>
      <c r="J29" s="867">
        <v>4730</v>
      </c>
      <c r="K29" s="867">
        <v>2290</v>
      </c>
      <c r="L29" s="861">
        <f>VLOOKUP($F29,subwatconc,$D29+4,FALSE)</f>
        <v>0.14247377488544583</v>
      </c>
      <c r="M29" s="862">
        <f>$K29*L29/mtonacft_mgl*1000</f>
        <v>402.44188325399199</v>
      </c>
      <c r="N29" s="861">
        <f>VLOOKUP($F29,subwatconc,$D29+1,FALSE)</f>
        <v>0.99675858152306107</v>
      </c>
      <c r="O29" s="862">
        <f>$K29*N29/mtonacft_mgl*1000</f>
        <v>2815.517459407864</v>
      </c>
      <c r="P29" s="859"/>
    </row>
    <row r="30" spans="1:16" s="856" customFormat="1">
      <c r="A30" s="869" t="s">
        <v>461</v>
      </c>
      <c r="B30" s="856" t="s">
        <v>456</v>
      </c>
      <c r="C30" s="856" t="s">
        <v>460</v>
      </c>
      <c r="D30" s="857">
        <v>3</v>
      </c>
      <c r="E30" s="856" t="str">
        <f>VLOOKUP(D30,projstatus,2,FALSE)</f>
        <v>Long-Term</v>
      </c>
      <c r="F30" s="859" t="s">
        <v>289</v>
      </c>
      <c r="G30" s="857">
        <f>VLOOKUP(F30,subwatindex,2,FALSE)</f>
        <v>5</v>
      </c>
      <c r="H30" s="856" t="s">
        <v>438</v>
      </c>
      <c r="I30" s="867" t="s">
        <v>454</v>
      </c>
      <c r="J30" s="867">
        <v>1200</v>
      </c>
      <c r="K30" s="867">
        <v>2400</v>
      </c>
      <c r="L30" s="861">
        <f>VLOOKUP($F30,subwatconc,$D30+4,FALSE)</f>
        <v>9.4853689226124374E-2</v>
      </c>
      <c r="M30" s="862">
        <f>$K30*L30/mtonacft_mgl*1000</f>
        <v>280.80072692352309</v>
      </c>
      <c r="N30" s="861">
        <f>VLOOKUP($F30,subwatconc,$D30+1,FALSE)</f>
        <v>1.4736462476584935</v>
      </c>
      <c r="O30" s="862">
        <f>$K30*N30/mtonacft_mgl*1000</f>
        <v>4362.5181154963348</v>
      </c>
      <c r="P30" s="859"/>
    </row>
    <row r="31" spans="1:16" s="856" customFormat="1">
      <c r="A31" s="869" t="s">
        <v>462</v>
      </c>
      <c r="B31" s="856" t="s">
        <v>456</v>
      </c>
      <c r="C31" s="856" t="s">
        <v>460</v>
      </c>
      <c r="D31" s="857">
        <v>3</v>
      </c>
      <c r="E31" s="856" t="str">
        <f>VLOOKUP(D31,projstatus,2,FALSE)</f>
        <v>Long-Term</v>
      </c>
      <c r="F31" s="859" t="s">
        <v>289</v>
      </c>
      <c r="G31" s="857">
        <f>VLOOKUP(F31,subwatindex,2,FALSE)</f>
        <v>5</v>
      </c>
      <c r="H31" s="856" t="s">
        <v>438</v>
      </c>
      <c r="I31" s="867" t="s">
        <v>454</v>
      </c>
      <c r="J31" s="867">
        <v>1000</v>
      </c>
      <c r="K31" s="867">
        <v>2000</v>
      </c>
      <c r="L31" s="861">
        <f>VLOOKUP($F31,subwatconc,$D31+4,FALSE)</f>
        <v>9.4853689226124374E-2</v>
      </c>
      <c r="M31" s="862">
        <f>$K31*L31/mtonacft_mgl*1000</f>
        <v>234.00060576960257</v>
      </c>
      <c r="N31" s="861">
        <f>VLOOKUP($F31,subwatconc,$D31+1,FALSE)</f>
        <v>1.4736462476584935</v>
      </c>
      <c r="O31" s="862">
        <f>$K31*N31/mtonacft_mgl*1000</f>
        <v>3635.4317629136121</v>
      </c>
      <c r="P31" s="859"/>
    </row>
    <row r="32" spans="1:16" s="856" customFormat="1">
      <c r="A32" s="869" t="s">
        <v>546</v>
      </c>
      <c r="B32" s="856" t="s">
        <v>456</v>
      </c>
      <c r="C32" s="856" t="s">
        <v>460</v>
      </c>
      <c r="D32" s="857">
        <v>3</v>
      </c>
      <c r="E32" s="856" t="str">
        <f>VLOOKUP(D32,projstatus,2,FALSE)</f>
        <v>Long-Term</v>
      </c>
      <c r="F32" s="859" t="s">
        <v>152</v>
      </c>
      <c r="G32" s="857">
        <f>VLOOKUP(F32,subwatindex,2,FALSE)</f>
        <v>3</v>
      </c>
      <c r="H32" s="856" t="s">
        <v>438</v>
      </c>
      <c r="I32" s="867" t="s">
        <v>454</v>
      </c>
      <c r="J32" s="867">
        <v>54</v>
      </c>
      <c r="K32" s="867">
        <v>30</v>
      </c>
      <c r="L32" s="861">
        <f>VLOOKUP($F32,subwatconc,$D32+4,FALSE)</f>
        <v>0.11061622292918427</v>
      </c>
      <c r="M32" s="862">
        <f>$K32*L32/mtonacft_mgl*1000</f>
        <v>4.0932930576376902</v>
      </c>
      <c r="N32" s="861">
        <f>VLOOKUP($F32,subwatconc,$D32+1,FALSE)</f>
        <v>1.0481309398118519</v>
      </c>
      <c r="O32" s="862">
        <f>$K32*N32/mtonacft_mgl*1000</f>
        <v>38.785514328885967</v>
      </c>
      <c r="P32" s="859"/>
    </row>
    <row r="33" spans="1:19">
      <c r="I33" s="878"/>
      <c r="J33" s="879"/>
      <c r="K33" s="878"/>
      <c r="M33" s="880"/>
      <c r="O33" s="880"/>
    </row>
    <row r="34" spans="1:19">
      <c r="A34" s="917" t="s">
        <v>999</v>
      </c>
      <c r="I34" s="878"/>
      <c r="J34" s="879"/>
      <c r="K34" s="878">
        <f>SUM(K10:K12)</f>
        <v>5625</v>
      </c>
      <c r="M34" s="878">
        <f>SUM(M10:M12)</f>
        <v>1150.6914414484536</v>
      </c>
      <c r="O34" s="878">
        <f>SUM(O10:O12)</f>
        <v>8371.4578116765078</v>
      </c>
    </row>
    <row r="35" spans="1:19">
      <c r="A35" s="917" t="s">
        <v>1000</v>
      </c>
      <c r="I35" s="878"/>
      <c r="J35" s="879"/>
      <c r="K35" s="878">
        <f>SUM(K16:K19)</f>
        <v>1598</v>
      </c>
      <c r="M35" s="878">
        <f>SUM(M16:M19)</f>
        <v>239.47496753395188</v>
      </c>
      <c r="O35" s="878">
        <f>SUM(O16:O19)</f>
        <v>2154.0728521795477</v>
      </c>
    </row>
    <row r="36" spans="1:19">
      <c r="A36" s="917" t="s">
        <v>1001</v>
      </c>
      <c r="I36" s="878"/>
      <c r="J36" s="879"/>
      <c r="K36" s="878">
        <f>SUM(K23:K32)</f>
        <v>6835</v>
      </c>
      <c r="M36" s="878">
        <f>SUM(M23:M32)</f>
        <v>932.68454191019248</v>
      </c>
      <c r="O36" s="878">
        <f>SUM(O23:O32)</f>
        <v>10987.644747937027</v>
      </c>
    </row>
    <row r="37" spans="1:19">
      <c r="A37" s="881" t="s">
        <v>156</v>
      </c>
      <c r="I37" s="878"/>
      <c r="J37" s="879"/>
      <c r="K37" s="655">
        <f>SUM(K9:K32)</f>
        <v>14058</v>
      </c>
      <c r="L37" s="881"/>
      <c r="M37" s="944">
        <f>SUM(M9:M32)</f>
        <v>2322.8509508925981</v>
      </c>
      <c r="N37" s="881"/>
      <c r="O37" s="944">
        <f>SUM(O9:O32)</f>
        <v>21513.175411793087</v>
      </c>
    </row>
    <row r="38" spans="1:19">
      <c r="I38" s="878"/>
      <c r="J38" s="879"/>
      <c r="K38" s="878"/>
      <c r="M38" s="880"/>
      <c r="O38" s="880"/>
    </row>
    <row r="40" spans="1:19">
      <c r="A40" s="881" t="s">
        <v>472</v>
      </c>
      <c r="B40" s="945" t="s">
        <v>1002</v>
      </c>
      <c r="G40" s="923" t="s">
        <v>467</v>
      </c>
      <c r="H40" s="883"/>
      <c r="I40" s="882"/>
      <c r="J40" s="882"/>
      <c r="K40" s="882"/>
      <c r="L40" s="882"/>
      <c r="M40" s="882"/>
      <c r="N40" s="882"/>
      <c r="O40" s="884"/>
      <c r="P40" s="882"/>
      <c r="Q40" s="882"/>
      <c r="R40" s="882"/>
      <c r="S40" s="884" t="s">
        <v>467</v>
      </c>
    </row>
    <row r="41" spans="1:19">
      <c r="A41" s="850" t="s">
        <v>473</v>
      </c>
      <c r="G41" s="885">
        <v>1</v>
      </c>
      <c r="H41" s="885">
        <v>2</v>
      </c>
      <c r="I41" s="885">
        <v>3</v>
      </c>
      <c r="J41" s="885">
        <v>4</v>
      </c>
      <c r="K41" s="885">
        <v>5</v>
      </c>
      <c r="L41" s="885">
        <v>6</v>
      </c>
      <c r="M41" s="885">
        <v>7</v>
      </c>
      <c r="N41" s="885">
        <v>8</v>
      </c>
      <c r="O41" s="885">
        <v>9</v>
      </c>
      <c r="P41" s="885">
        <v>10</v>
      </c>
      <c r="Q41" s="885">
        <v>11</v>
      </c>
      <c r="R41" s="885">
        <v>12</v>
      </c>
      <c r="S41" s="885">
        <v>13</v>
      </c>
    </row>
    <row r="42" spans="1:19" ht="15" customHeight="1">
      <c r="A42" s="850" t="s">
        <v>474</v>
      </c>
      <c r="L42" s="1486" t="s">
        <v>507</v>
      </c>
      <c r="M42" s="1487"/>
      <c r="N42" s="1487"/>
      <c r="O42" s="1488"/>
      <c r="P42" s="1475" t="s">
        <v>508</v>
      </c>
      <c r="Q42" s="1476"/>
      <c r="R42" s="1476"/>
      <c r="S42" s="1477"/>
    </row>
    <row r="43" spans="1:19">
      <c r="F43" s="847"/>
      <c r="H43" s="886">
        <v>1</v>
      </c>
      <c r="I43" s="886">
        <v>2</v>
      </c>
      <c r="J43" s="886">
        <v>3</v>
      </c>
      <c r="K43" s="886"/>
      <c r="L43" s="886">
        <v>1</v>
      </c>
      <c r="M43" s="886">
        <v>2</v>
      </c>
      <c r="N43" s="886">
        <v>3</v>
      </c>
      <c r="O43" s="886"/>
      <c r="P43" s="886">
        <v>1</v>
      </c>
      <c r="Q43" s="886">
        <v>2</v>
      </c>
      <c r="R43" s="886">
        <v>3</v>
      </c>
      <c r="S43" s="886"/>
    </row>
    <row r="44" spans="1:19">
      <c r="F44" s="1484" t="s">
        <v>263</v>
      </c>
      <c r="G44" s="1485"/>
      <c r="H44" s="887" t="str">
        <f>VLOOKUP(H43,projstatus,2,FALSE)</f>
        <v>Completed</v>
      </c>
      <c r="I44" s="887" t="str">
        <f>VLOOKUP(I43,projstatus,2,FALSE)</f>
        <v>Near-Term</v>
      </c>
      <c r="J44" s="887" t="str">
        <f>VLOOKUP(J43,projstatus,2,FALSE)</f>
        <v>Long-Term</v>
      </c>
      <c r="K44" s="888" t="s">
        <v>156</v>
      </c>
      <c r="L44" s="886" t="str">
        <f>VLOOKUP(L43,projstatus,2,FALSE)</f>
        <v>Completed</v>
      </c>
      <c r="M44" s="886" t="str">
        <f>VLOOKUP(M43,projstatus,2,FALSE)</f>
        <v>Near-Term</v>
      </c>
      <c r="N44" s="886" t="str">
        <f>VLOOKUP(N43,projstatus,2,FALSE)</f>
        <v>Long-Term</v>
      </c>
      <c r="O44" s="889" t="s">
        <v>156</v>
      </c>
      <c r="P44" s="886" t="str">
        <f>VLOOKUP(P43,projstatus,2,FALSE)</f>
        <v>Completed</v>
      </c>
      <c r="Q44" s="886" t="str">
        <f>VLOOKUP(Q43,projstatus,2,FALSE)</f>
        <v>Near-Term</v>
      </c>
      <c r="R44" s="886" t="str">
        <f>VLOOKUP(R43,projstatus,2,FALSE)</f>
        <v>Long-Term</v>
      </c>
      <c r="S44" s="889" t="s">
        <v>156</v>
      </c>
    </row>
    <row r="45" spans="1:19">
      <c r="F45" s="890" t="str">
        <f t="shared" ref="F45:F50" si="2">VLOOKUP(G45,subwatalpha,3,FALSE)</f>
        <v>Coastal</v>
      </c>
      <c r="G45" s="848">
        <v>1</v>
      </c>
      <c r="H45" s="891">
        <f t="shared" ref="H45:J49" si="3">SUMIFS($K$10:$K$32,$G$10:$G$32,$G45,$D$10:$D$32,H$43)</f>
        <v>0</v>
      </c>
      <c r="I45" s="892">
        <f t="shared" si="3"/>
        <v>0</v>
      </c>
      <c r="J45" s="892">
        <f t="shared" si="3"/>
        <v>0</v>
      </c>
      <c r="K45" s="893">
        <f>SUM(H45:J45)</f>
        <v>0</v>
      </c>
      <c r="L45" s="891">
        <f t="shared" ref="L45:N49" si="4">SUMIFS($M$10:$M$32,$G$10:$G$32,$G45,$D$10:$D$32,L$43)</f>
        <v>0</v>
      </c>
      <c r="M45" s="892">
        <f t="shared" si="4"/>
        <v>0</v>
      </c>
      <c r="N45" s="892">
        <f t="shared" si="4"/>
        <v>0</v>
      </c>
      <c r="O45" s="894">
        <f>SUM(L45:N45)</f>
        <v>0</v>
      </c>
      <c r="P45" s="891">
        <f t="shared" ref="P45:R49" si="5">SUMIFS($O$10:$O$32,$G$10:$G$32,$G45,$D$10:$D$32,P$43)</f>
        <v>0</v>
      </c>
      <c r="Q45" s="892">
        <f t="shared" si="5"/>
        <v>0</v>
      </c>
      <c r="R45" s="892">
        <f t="shared" si="5"/>
        <v>0</v>
      </c>
      <c r="S45" s="894">
        <f>SUM(P45:R45)</f>
        <v>0</v>
      </c>
    </row>
    <row r="46" spans="1:19">
      <c r="F46" s="895" t="str">
        <f t="shared" si="2"/>
        <v>East</v>
      </c>
      <c r="G46" s="848">
        <v>2</v>
      </c>
      <c r="H46" s="896">
        <f t="shared" si="3"/>
        <v>5010</v>
      </c>
      <c r="I46" s="897">
        <f t="shared" si="3"/>
        <v>150</v>
      </c>
      <c r="J46" s="897">
        <f t="shared" si="3"/>
        <v>2290</v>
      </c>
      <c r="K46" s="898">
        <f t="shared" ref="K46:K49" si="6">SUM(H46:J46)</f>
        <v>7450</v>
      </c>
      <c r="L46" s="896">
        <f t="shared" si="4"/>
        <v>1071.115540313795</v>
      </c>
      <c r="M46" s="897">
        <f t="shared" si="4"/>
        <v>29.757350179519179</v>
      </c>
      <c r="N46" s="897">
        <f t="shared" si="4"/>
        <v>402.44188325399199</v>
      </c>
      <c r="O46" s="899">
        <f t="shared" ref="O46:O49" si="7">SUM(L46:N46)</f>
        <v>1503.3147737473062</v>
      </c>
      <c r="P46" s="896">
        <f t="shared" si="5"/>
        <v>7162.4641959359979</v>
      </c>
      <c r="Q46" s="897">
        <f t="shared" si="5"/>
        <v>202.722907985257</v>
      </c>
      <c r="R46" s="897">
        <f t="shared" si="5"/>
        <v>2815.517459407864</v>
      </c>
      <c r="S46" s="899">
        <f t="shared" ref="S46:S49" si="8">SUM(P46:R46)</f>
        <v>10180.704563329118</v>
      </c>
    </row>
    <row r="47" spans="1:19">
      <c r="F47" s="895" t="str">
        <f t="shared" si="2"/>
        <v>S-4</v>
      </c>
      <c r="G47" s="848">
        <v>3</v>
      </c>
      <c r="H47" s="896">
        <f t="shared" si="3"/>
        <v>0</v>
      </c>
      <c r="I47" s="897">
        <f t="shared" si="3"/>
        <v>1448</v>
      </c>
      <c r="J47" s="897">
        <f t="shared" si="3"/>
        <v>30</v>
      </c>
      <c r="K47" s="898">
        <f t="shared" si="6"/>
        <v>1478</v>
      </c>
      <c r="L47" s="896">
        <f t="shared" si="4"/>
        <v>0</v>
      </c>
      <c r="M47" s="897">
        <f t="shared" si="4"/>
        <v>209.71761735443269</v>
      </c>
      <c r="N47" s="897">
        <f t="shared" si="4"/>
        <v>4.0932930576376902</v>
      </c>
      <c r="O47" s="899">
        <f t="shared" si="7"/>
        <v>213.81091041207037</v>
      </c>
      <c r="P47" s="896">
        <f t="shared" si="5"/>
        <v>0</v>
      </c>
      <c r="Q47" s="897">
        <f t="shared" si="5"/>
        <v>1951.3499441942906</v>
      </c>
      <c r="R47" s="897">
        <f t="shared" si="5"/>
        <v>38.785514328885967</v>
      </c>
      <c r="S47" s="899">
        <f t="shared" si="8"/>
        <v>1990.1354585231766</v>
      </c>
    </row>
    <row r="48" spans="1:19">
      <c r="F48" s="895" t="str">
        <f t="shared" si="2"/>
        <v>Tidal</v>
      </c>
      <c r="G48" s="848">
        <v>4</v>
      </c>
      <c r="H48" s="896">
        <f t="shared" si="3"/>
        <v>0</v>
      </c>
      <c r="I48" s="897">
        <f t="shared" si="3"/>
        <v>0</v>
      </c>
      <c r="J48" s="897">
        <f t="shared" si="3"/>
        <v>115</v>
      </c>
      <c r="K48" s="898">
        <f t="shared" si="6"/>
        <v>115</v>
      </c>
      <c r="L48" s="896">
        <f t="shared" si="4"/>
        <v>0</v>
      </c>
      <c r="M48" s="897">
        <f t="shared" si="4"/>
        <v>0</v>
      </c>
      <c r="N48" s="897">
        <f t="shared" si="4"/>
        <v>11.348032905437185</v>
      </c>
      <c r="O48" s="899">
        <f t="shared" si="7"/>
        <v>11.348032905437185</v>
      </c>
      <c r="P48" s="896">
        <f t="shared" si="5"/>
        <v>0</v>
      </c>
      <c r="Q48" s="897">
        <f t="shared" si="5"/>
        <v>0</v>
      </c>
      <c r="R48" s="897">
        <f t="shared" si="5"/>
        <v>135.39189579033123</v>
      </c>
      <c r="S48" s="899">
        <f t="shared" si="8"/>
        <v>135.39189579033123</v>
      </c>
    </row>
    <row r="49" spans="1:20">
      <c r="F49" s="895" t="str">
        <f t="shared" si="2"/>
        <v>West</v>
      </c>
      <c r="G49" s="848">
        <v>5</v>
      </c>
      <c r="H49" s="896">
        <f t="shared" si="3"/>
        <v>615</v>
      </c>
      <c r="I49" s="897">
        <f t="shared" si="3"/>
        <v>0</v>
      </c>
      <c r="J49" s="897">
        <f t="shared" si="3"/>
        <v>4400</v>
      </c>
      <c r="K49" s="898">
        <f t="shared" si="6"/>
        <v>5015</v>
      </c>
      <c r="L49" s="896">
        <f t="shared" si="4"/>
        <v>79.57590113465875</v>
      </c>
      <c r="M49" s="897">
        <f t="shared" si="4"/>
        <v>0</v>
      </c>
      <c r="N49" s="897">
        <f t="shared" si="4"/>
        <v>514.80133269312569</v>
      </c>
      <c r="O49" s="899">
        <f t="shared" si="7"/>
        <v>594.37723382778449</v>
      </c>
      <c r="P49" s="896">
        <f t="shared" si="5"/>
        <v>1208.9936157405091</v>
      </c>
      <c r="Q49" s="897">
        <f t="shared" si="5"/>
        <v>0</v>
      </c>
      <c r="R49" s="897">
        <f t="shared" si="5"/>
        <v>7997.9498784099469</v>
      </c>
      <c r="S49" s="899">
        <f t="shared" si="8"/>
        <v>9206.9434941504551</v>
      </c>
    </row>
    <row r="50" spans="1:20">
      <c r="F50" s="900" t="str">
        <f t="shared" si="2"/>
        <v>Total</v>
      </c>
      <c r="G50" s="901">
        <v>6</v>
      </c>
      <c r="H50" s="902">
        <f>SUM(H45:H49)</f>
        <v>5625</v>
      </c>
      <c r="I50" s="903">
        <f t="shared" ref="I50:O50" si="9">SUM(I45:I49)</f>
        <v>1598</v>
      </c>
      <c r="J50" s="903">
        <f t="shared" si="9"/>
        <v>6835</v>
      </c>
      <c r="K50" s="904">
        <f t="shared" si="9"/>
        <v>14058</v>
      </c>
      <c r="L50" s="902">
        <f>SUM(L45:L49)</f>
        <v>1150.6914414484538</v>
      </c>
      <c r="M50" s="903">
        <f t="shared" si="9"/>
        <v>239.47496753395188</v>
      </c>
      <c r="N50" s="903">
        <f t="shared" si="9"/>
        <v>932.68454191019259</v>
      </c>
      <c r="O50" s="904">
        <f t="shared" si="9"/>
        <v>2322.8509508925981</v>
      </c>
      <c r="P50" s="902">
        <f t="shared" ref="P50" si="10">SUM(P45:P49)</f>
        <v>8371.4578116765078</v>
      </c>
      <c r="Q50" s="903">
        <f t="shared" ref="Q50" si="11">SUM(Q45:Q49)</f>
        <v>2154.0728521795477</v>
      </c>
      <c r="R50" s="903">
        <f t="shared" ref="R50" si="12">SUM(R45:R49)</f>
        <v>10987.644747937029</v>
      </c>
      <c r="S50" s="904">
        <f t="shared" ref="S50" si="13">SUM(S45:S49)</f>
        <v>21513.175411793083</v>
      </c>
    </row>
    <row r="53" spans="1:20">
      <c r="A53" s="1089" t="s">
        <v>1089</v>
      </c>
      <c r="B53" s="905"/>
      <c r="C53" s="905"/>
      <c r="D53" s="905"/>
      <c r="E53" s="905"/>
      <c r="F53" s="906"/>
      <c r="G53" s="905"/>
      <c r="H53" s="906"/>
      <c r="I53" s="905"/>
      <c r="J53" s="907"/>
      <c r="K53" s="905"/>
      <c r="L53" s="905"/>
      <c r="M53" s="905"/>
      <c r="N53" s="905"/>
      <c r="O53" s="846"/>
      <c r="P53" s="856"/>
      <c r="Q53" s="856"/>
      <c r="R53" s="857"/>
      <c r="S53" s="856"/>
    </row>
    <row r="55" spans="1:20">
      <c r="A55" s="917" t="s">
        <v>1383</v>
      </c>
      <c r="C55" s="882"/>
      <c r="D55" s="882"/>
      <c r="E55" s="884"/>
      <c r="F55" s="882"/>
      <c r="G55" s="882"/>
      <c r="H55" s="884"/>
      <c r="I55" s="884" t="s">
        <v>466</v>
      </c>
    </row>
    <row r="56" spans="1:20">
      <c r="A56" s="914" t="s">
        <v>1384</v>
      </c>
      <c r="C56" s="908">
        <v>1</v>
      </c>
      <c r="D56" s="908">
        <v>2</v>
      </c>
      <c r="E56" s="908">
        <v>3</v>
      </c>
      <c r="F56" s="908">
        <v>4</v>
      </c>
      <c r="G56" s="908">
        <v>5</v>
      </c>
      <c r="H56" s="908">
        <v>6</v>
      </c>
      <c r="I56" s="908">
        <v>7</v>
      </c>
      <c r="R56" s="847"/>
    </row>
    <row r="57" spans="1:20">
      <c r="A57" s="914" t="s">
        <v>997</v>
      </c>
      <c r="C57" s="908"/>
      <c r="D57" s="1478" t="s">
        <v>84</v>
      </c>
      <c r="E57" s="1478"/>
      <c r="F57" s="1478"/>
      <c r="G57" s="1479" t="s">
        <v>86</v>
      </c>
      <c r="H57" s="1479"/>
      <c r="I57" s="1479"/>
      <c r="L57" s="917"/>
      <c r="R57" s="847"/>
    </row>
    <row r="58" spans="1:20">
      <c r="C58" s="848"/>
      <c r="D58" s="909">
        <v>1</v>
      </c>
      <c r="E58" s="909">
        <v>2</v>
      </c>
      <c r="F58" s="909">
        <v>3</v>
      </c>
      <c r="G58" s="910">
        <v>1</v>
      </c>
      <c r="H58" s="910">
        <v>2</v>
      </c>
      <c r="I58" s="910">
        <v>3</v>
      </c>
      <c r="R58" s="847"/>
    </row>
    <row r="59" spans="1:20">
      <c r="B59" s="911" t="s">
        <v>207</v>
      </c>
      <c r="C59" s="886" t="s">
        <v>263</v>
      </c>
      <c r="D59" s="1107" t="str">
        <f t="shared" ref="D59:I59" si="14">VLOOKUP(D58,projstatus,4,FALSE)</f>
        <v>Curr</v>
      </c>
      <c r="E59" s="1107" t="str">
        <f t="shared" si="14"/>
        <v>Near</v>
      </c>
      <c r="F59" s="1107" t="str">
        <f t="shared" si="14"/>
        <v>Long</v>
      </c>
      <c r="G59" s="1108" t="str">
        <f t="shared" si="14"/>
        <v>Curr</v>
      </c>
      <c r="H59" s="1108" t="str">
        <f t="shared" si="14"/>
        <v>Near</v>
      </c>
      <c r="I59" s="1108" t="str">
        <f t="shared" si="14"/>
        <v>Long</v>
      </c>
      <c r="L59" s="918"/>
      <c r="M59" s="918"/>
      <c r="R59" s="847"/>
    </row>
    <row r="60" spans="1:20">
      <c r="A60" s="914" t="s">
        <v>995</v>
      </c>
      <c r="B60" s="911">
        <v>1</v>
      </c>
      <c r="C60" s="890" t="str">
        <f t="shared" ref="C60:C65" si="15">VLOOKUP(B60,subwatalpha,3,FALSE)</f>
        <v>Coastal</v>
      </c>
      <c r="D60" s="930">
        <f t="shared" ref="D60:F65" si="16">VLOOKUP(D$58,postbmp_conc,$B60+2,FALSE)</f>
        <v>1.0204607768377447</v>
      </c>
      <c r="E60" s="930">
        <f t="shared" si="16"/>
        <v>0.99079485676457946</v>
      </c>
      <c r="F60" s="931">
        <f t="shared" si="16"/>
        <v>0.91424812065755701</v>
      </c>
      <c r="G60" s="932">
        <f t="shared" ref="G60:I65" si="17">VLOOKUP(G$58,postbmp_conc,$B60+9,FALSE)</f>
        <v>0.10770316206195675</v>
      </c>
      <c r="H60" s="930">
        <f t="shared" si="17"/>
        <v>0.10325565120326982</v>
      </c>
      <c r="I60" s="931">
        <f t="shared" si="17"/>
        <v>9.2206478398387914E-2</v>
      </c>
      <c r="L60" s="912"/>
      <c r="M60" s="919"/>
      <c r="Q60" s="912"/>
      <c r="R60" s="919"/>
    </row>
    <row r="61" spans="1:20">
      <c r="A61" s="915"/>
      <c r="B61" s="911">
        <v>2</v>
      </c>
      <c r="C61" s="895" t="str">
        <f t="shared" si="15"/>
        <v>East</v>
      </c>
      <c r="D61" s="933">
        <f t="shared" si="16"/>
        <v>1.1590227991403534</v>
      </c>
      <c r="E61" s="933">
        <f t="shared" si="16"/>
        <v>1.0956675745807085</v>
      </c>
      <c r="F61" s="934">
        <f t="shared" si="16"/>
        <v>0.99675858152306107</v>
      </c>
      <c r="G61" s="935">
        <f t="shared" si="17"/>
        <v>0.17332684642830429</v>
      </c>
      <c r="H61" s="933">
        <f t="shared" si="17"/>
        <v>0.16083117601841881</v>
      </c>
      <c r="I61" s="934">
        <f t="shared" si="17"/>
        <v>0.14247377488544583</v>
      </c>
      <c r="L61" s="912"/>
      <c r="M61" s="920"/>
      <c r="Q61" s="912"/>
      <c r="R61" s="920"/>
    </row>
    <row r="62" spans="1:20" s="848" customFormat="1">
      <c r="A62" s="847"/>
      <c r="B62" s="911">
        <v>3</v>
      </c>
      <c r="C62" s="895" t="str">
        <f t="shared" si="15"/>
        <v>S-4</v>
      </c>
      <c r="D62" s="933">
        <f t="shared" si="16"/>
        <v>1.1455172184726337</v>
      </c>
      <c r="E62" s="933">
        <f t="shared" si="16"/>
        <v>1.0925311778035365</v>
      </c>
      <c r="F62" s="934">
        <f t="shared" si="16"/>
        <v>1.0481309398118519</v>
      </c>
      <c r="G62" s="935">
        <f t="shared" si="17"/>
        <v>0.1245532156923672</v>
      </c>
      <c r="H62" s="933">
        <f t="shared" si="17"/>
        <v>0.11741770673993296</v>
      </c>
      <c r="I62" s="934">
        <f t="shared" si="17"/>
        <v>0.11061622292918427</v>
      </c>
      <c r="J62" s="849"/>
      <c r="L62" s="912"/>
      <c r="M62" s="920"/>
      <c r="N62" s="847"/>
      <c r="O62" s="847"/>
      <c r="P62" s="847"/>
      <c r="Q62" s="912"/>
      <c r="R62" s="920"/>
      <c r="S62" s="847"/>
      <c r="T62" s="847"/>
    </row>
    <row r="63" spans="1:20" s="848" customFormat="1">
      <c r="A63" s="917"/>
      <c r="B63" s="911">
        <v>4</v>
      </c>
      <c r="C63" s="895" t="str">
        <f t="shared" si="15"/>
        <v>Tidal</v>
      </c>
      <c r="D63" s="933">
        <f t="shared" si="16"/>
        <v>1.1627194424529279</v>
      </c>
      <c r="E63" s="933">
        <f t="shared" si="16"/>
        <v>1.1007807002907626</v>
      </c>
      <c r="F63" s="934">
        <f t="shared" si="16"/>
        <v>0.95446953260391687</v>
      </c>
      <c r="G63" s="935">
        <f t="shared" si="17"/>
        <v>0.11166958885423757</v>
      </c>
      <c r="H63" s="933">
        <f t="shared" si="17"/>
        <v>0.10408049054335348</v>
      </c>
      <c r="I63" s="934">
        <f t="shared" si="17"/>
        <v>0.08</v>
      </c>
      <c r="J63" s="849"/>
      <c r="L63" s="912"/>
      <c r="M63" s="919"/>
      <c r="N63" s="847"/>
      <c r="O63" s="847"/>
      <c r="P63" s="847"/>
      <c r="Q63" s="912"/>
      <c r="R63" s="919"/>
      <c r="S63" s="847"/>
      <c r="T63" s="847"/>
    </row>
    <row r="64" spans="1:20" s="848" customFormat="1">
      <c r="A64" s="924"/>
      <c r="B64" s="911">
        <v>5</v>
      </c>
      <c r="C64" s="916" t="str">
        <f t="shared" si="15"/>
        <v>West</v>
      </c>
      <c r="D64" s="936">
        <f t="shared" si="16"/>
        <v>1.5937350820952885</v>
      </c>
      <c r="E64" s="936">
        <f t="shared" si="16"/>
        <v>1.5228551192607718</v>
      </c>
      <c r="F64" s="937">
        <f t="shared" si="16"/>
        <v>1.4736462476584935</v>
      </c>
      <c r="G64" s="938">
        <f t="shared" si="17"/>
        <v>0.10489956578469842</v>
      </c>
      <c r="H64" s="936">
        <f t="shared" si="17"/>
        <v>0.10064826454851741</v>
      </c>
      <c r="I64" s="937">
        <f t="shared" si="17"/>
        <v>9.4853689226124374E-2</v>
      </c>
      <c r="J64" s="849"/>
      <c r="L64" s="912"/>
      <c r="M64" s="919"/>
      <c r="N64" s="847"/>
      <c r="O64" s="847"/>
      <c r="P64" s="847"/>
      <c r="Q64" s="912"/>
      <c r="R64" s="919"/>
      <c r="S64" s="847"/>
      <c r="T64" s="847"/>
    </row>
    <row r="65" spans="2:9">
      <c r="B65" s="911">
        <v>6</v>
      </c>
      <c r="C65" s="1393" t="str">
        <f t="shared" si="15"/>
        <v>Total</v>
      </c>
      <c r="D65" s="1392">
        <f t="shared" si="16"/>
        <v>1.1526675020832824</v>
      </c>
      <c r="E65" s="1390">
        <f t="shared" si="16"/>
        <v>1.0977003336995317</v>
      </c>
      <c r="F65" s="1391">
        <f t="shared" si="16"/>
        <v>1.0146410260368444</v>
      </c>
      <c r="G65" s="1392">
        <f t="shared" si="17"/>
        <v>0.13221708011295966</v>
      </c>
      <c r="H65" s="1390">
        <f t="shared" si="17"/>
        <v>0.12409577470371951</v>
      </c>
      <c r="I65" s="1391">
        <f t="shared" si="17"/>
        <v>0.11041387553742978</v>
      </c>
    </row>
    <row r="66" spans="2:9">
      <c r="D66" s="913"/>
      <c r="E66" s="913"/>
    </row>
  </sheetData>
  <mergeCells count="7">
    <mergeCell ref="P42:S42"/>
    <mergeCell ref="D57:F57"/>
    <mergeCell ref="G57:I57"/>
    <mergeCell ref="L7:M7"/>
    <mergeCell ref="N7:O7"/>
    <mergeCell ref="F44:G44"/>
    <mergeCell ref="L42:O42"/>
  </mergeCells>
  <printOptions gridLines="1"/>
  <pageMargins left="0.5" right="0.5" top="0.75" bottom="0.75" header="0.3" footer="0.3"/>
  <pageSetup scale="41" fitToWidth="2" orientation="landscape" r:id="rId1"/>
  <headerFooter>
    <oddFooter>&amp;L&amp;"Arial,Italic"&amp;9&amp;F, &amp;A&amp;R&amp;"Arial,Italic"&amp;9&amp;P  of &amp;N</oddFooter>
  </headerFooter>
  <colBreaks count="1" manualBreakCount="1">
    <brk id="19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27"/>
  <sheetViews>
    <sheetView zoomScale="90" zoomScaleNormal="90" workbookViewId="0">
      <selection activeCell="A6" sqref="A6"/>
    </sheetView>
  </sheetViews>
  <sheetFormatPr defaultRowHeight="15"/>
  <cols>
    <col min="1" max="1" width="9.140625" style="3"/>
    <col min="2" max="2" width="28.42578125" customWidth="1"/>
    <col min="3" max="3" width="24.85546875" customWidth="1"/>
    <col min="4" max="4" width="12.42578125" customWidth="1"/>
    <col min="6" max="7" width="11.28515625" customWidth="1"/>
    <col min="10" max="10" width="10.28515625" customWidth="1"/>
    <col min="11" max="11" width="10" customWidth="1"/>
    <col min="12" max="12" width="10.7109375" customWidth="1"/>
    <col min="13" max="13" width="11.140625" customWidth="1"/>
    <col min="14" max="15" width="10.7109375" customWidth="1"/>
    <col min="16" max="16" width="10.85546875" customWidth="1"/>
    <col min="17" max="17" width="11.28515625" customWidth="1"/>
    <col min="18" max="18" width="11.85546875" customWidth="1"/>
    <col min="21" max="21" width="14.28515625" bestFit="1" customWidth="1"/>
  </cols>
  <sheetData>
    <row r="1" spans="1:21">
      <c r="A1" s="402" t="s">
        <v>501</v>
      </c>
      <c r="B1" s="403"/>
      <c r="C1" s="403"/>
      <c r="D1" s="403"/>
      <c r="E1" s="403"/>
      <c r="F1" s="403"/>
      <c r="L1" s="404" t="s">
        <v>421</v>
      </c>
    </row>
    <row r="2" spans="1:21">
      <c r="A2" s="61" t="s">
        <v>502</v>
      </c>
    </row>
    <row r="3" spans="1:21">
      <c r="A3" s="61" t="s">
        <v>503</v>
      </c>
    </row>
    <row r="4" spans="1:21">
      <c r="A4" s="61" t="s">
        <v>504</v>
      </c>
    </row>
    <row r="5" spans="1:21">
      <c r="A5" s="61" t="s">
        <v>1107</v>
      </c>
    </row>
    <row r="6" spans="1:21">
      <c r="A6" s="269"/>
    </row>
    <row r="7" spans="1:21">
      <c r="G7" s="1185" t="s">
        <v>188</v>
      </c>
      <c r="H7" s="1184" t="s">
        <v>187</v>
      </c>
      <c r="K7" s="1480" t="s">
        <v>1228</v>
      </c>
      <c r="L7" s="1481"/>
      <c r="M7" s="1482" t="s">
        <v>1229</v>
      </c>
      <c r="N7" s="1483"/>
    </row>
    <row r="8" spans="1:21" s="396" customFormat="1" ht="45">
      <c r="A8" s="397" t="s">
        <v>486</v>
      </c>
      <c r="B8" s="397" t="s">
        <v>485</v>
      </c>
      <c r="C8" s="397" t="s">
        <v>500</v>
      </c>
      <c r="D8" s="399" t="s">
        <v>263</v>
      </c>
      <c r="E8" s="399" t="s">
        <v>432</v>
      </c>
      <c r="F8" s="399" t="s">
        <v>491</v>
      </c>
      <c r="G8" s="399" t="s">
        <v>492</v>
      </c>
      <c r="H8" s="399" t="s">
        <v>493</v>
      </c>
      <c r="I8" s="397" t="s">
        <v>488</v>
      </c>
      <c r="J8" s="397" t="s">
        <v>499</v>
      </c>
      <c r="K8" s="399" t="s">
        <v>489</v>
      </c>
      <c r="L8" s="399" t="s">
        <v>494</v>
      </c>
      <c r="M8" s="399" t="s">
        <v>490</v>
      </c>
      <c r="N8" s="399" t="s">
        <v>495</v>
      </c>
      <c r="O8" s="398" t="s">
        <v>483</v>
      </c>
      <c r="P8" s="397" t="s">
        <v>497</v>
      </c>
      <c r="Q8" s="397" t="s">
        <v>496</v>
      </c>
      <c r="R8" s="397" t="s">
        <v>498</v>
      </c>
    </row>
    <row r="9" spans="1:21">
      <c r="A9" s="393">
        <v>1</v>
      </c>
      <c r="B9" s="394" t="s">
        <v>476</v>
      </c>
      <c r="C9" s="395" t="s">
        <v>481</v>
      </c>
      <c r="D9" s="400" t="s">
        <v>289</v>
      </c>
      <c r="E9" s="3">
        <f t="shared" ref="E9:E14" si="0">VLOOKUP(D9,subwatindex,2,FALSE)</f>
        <v>5</v>
      </c>
      <c r="F9" s="3">
        <v>13</v>
      </c>
      <c r="G9" s="27">
        <f t="shared" ref="G9:G14" si="1">VLOOKUP($F9,bottb_Loadings,9,FALSE)</f>
        <v>0.40656436916648192</v>
      </c>
      <c r="H9" s="27">
        <f t="shared" ref="H9:H14" si="2">VLOOKUP($F9,bottb_Loadings,7,FALSE)</f>
        <v>2.1206601073277502</v>
      </c>
      <c r="I9" s="392">
        <v>3701.1333724358387</v>
      </c>
      <c r="J9">
        <v>0.8</v>
      </c>
      <c r="K9" s="392">
        <f t="shared" ref="K9:K14" si="3">$I9*$G9*mglacft_mton*1000</f>
        <v>1856.0805057717239</v>
      </c>
      <c r="L9" s="392">
        <f t="shared" ref="L9:L14" si="4">K9*$J9</f>
        <v>1484.8644046173793</v>
      </c>
      <c r="M9" s="392">
        <f t="shared" ref="M9:M14" si="5">$I9*$H9*mglacft_mton*1000</f>
        <v>9681.4088569749438</v>
      </c>
      <c r="N9" s="392">
        <f t="shared" ref="N9:N14" si="6">M9*$J9</f>
        <v>7745.1270855799557</v>
      </c>
      <c r="O9" s="393" t="s">
        <v>484</v>
      </c>
      <c r="P9" s="27">
        <v>207.79829769559731</v>
      </c>
      <c r="Q9" s="391">
        <v>0.60000000000000009</v>
      </c>
      <c r="R9" s="391">
        <v>124.67897861735841</v>
      </c>
    </row>
    <row r="10" spans="1:21">
      <c r="A10" s="393">
        <v>2</v>
      </c>
      <c r="B10" s="394" t="s">
        <v>482</v>
      </c>
      <c r="C10" s="395" t="s">
        <v>481</v>
      </c>
      <c r="D10" s="400" t="s">
        <v>289</v>
      </c>
      <c r="E10" s="3">
        <f t="shared" si="0"/>
        <v>5</v>
      </c>
      <c r="F10" s="3">
        <v>9</v>
      </c>
      <c r="G10" s="27">
        <f t="shared" si="1"/>
        <v>0.26562205452210153</v>
      </c>
      <c r="H10" s="27">
        <f t="shared" si="2"/>
        <v>1.830836559326291</v>
      </c>
      <c r="I10" s="392">
        <v>2874.832650771838</v>
      </c>
      <c r="J10">
        <v>0.8</v>
      </c>
      <c r="K10" s="392">
        <f t="shared" si="3"/>
        <v>941.91011192932217</v>
      </c>
      <c r="L10" s="392">
        <f t="shared" si="4"/>
        <v>753.52808954345778</v>
      </c>
      <c r="M10" s="392">
        <f t="shared" si="5"/>
        <v>6492.2450495383591</v>
      </c>
      <c r="N10" s="392">
        <f t="shared" si="6"/>
        <v>5193.796039630688</v>
      </c>
      <c r="O10" s="393" t="s">
        <v>484</v>
      </c>
      <c r="P10" s="27">
        <v>504.54800983371211</v>
      </c>
      <c r="Q10" s="391">
        <v>1</v>
      </c>
      <c r="R10" s="391">
        <v>504.54800983371211</v>
      </c>
      <c r="U10" s="199"/>
    </row>
    <row r="11" spans="1:21">
      <c r="A11" s="393">
        <v>3</v>
      </c>
      <c r="B11" s="394" t="s">
        <v>480</v>
      </c>
      <c r="C11" s="395" t="s">
        <v>481</v>
      </c>
      <c r="D11" s="400" t="s">
        <v>289</v>
      </c>
      <c r="E11" s="3">
        <f t="shared" si="0"/>
        <v>5</v>
      </c>
      <c r="F11" s="3">
        <v>3</v>
      </c>
      <c r="G11" s="27">
        <f t="shared" si="1"/>
        <v>0.42689258762480597</v>
      </c>
      <c r="H11" s="27">
        <f t="shared" si="2"/>
        <v>1.4844620751294249</v>
      </c>
      <c r="I11" s="392">
        <v>824.99200000000008</v>
      </c>
      <c r="J11">
        <v>0.8</v>
      </c>
      <c r="K11" s="392">
        <f t="shared" si="3"/>
        <v>434.41129655653327</v>
      </c>
      <c r="L11" s="392">
        <f t="shared" si="4"/>
        <v>347.52903724522662</v>
      </c>
      <c r="M11" s="392">
        <f t="shared" si="5"/>
        <v>1510.6073833091386</v>
      </c>
      <c r="N11" s="392">
        <f t="shared" si="6"/>
        <v>1208.4859066473109</v>
      </c>
      <c r="O11" s="393" t="s">
        <v>484</v>
      </c>
      <c r="P11" s="27">
        <v>95.238095238095227</v>
      </c>
      <c r="Q11" s="391">
        <v>1</v>
      </c>
      <c r="R11" s="391">
        <v>95.238095238095227</v>
      </c>
    </row>
    <row r="12" spans="1:21">
      <c r="A12" s="393">
        <v>4</v>
      </c>
      <c r="B12" s="394" t="s">
        <v>478</v>
      </c>
      <c r="C12" s="395" t="s">
        <v>477</v>
      </c>
      <c r="D12" s="400" t="s">
        <v>271</v>
      </c>
      <c r="E12" s="3">
        <f t="shared" si="0"/>
        <v>2</v>
      </c>
      <c r="F12" s="3">
        <v>15</v>
      </c>
      <c r="G12" s="27">
        <f t="shared" si="1"/>
        <v>0.12332452531383285</v>
      </c>
      <c r="H12" s="27">
        <f t="shared" si="2"/>
        <v>1.401991959844457</v>
      </c>
      <c r="I12" s="392">
        <v>204.23058153696005</v>
      </c>
      <c r="J12">
        <v>0.8</v>
      </c>
      <c r="K12" s="392">
        <f t="shared" si="3"/>
        <v>31.067262400000452</v>
      </c>
      <c r="L12" s="392">
        <f t="shared" si="4"/>
        <v>24.853809920000362</v>
      </c>
      <c r="M12" s="392">
        <f t="shared" si="5"/>
        <v>353.18240218917049</v>
      </c>
      <c r="N12" s="392">
        <f t="shared" si="6"/>
        <v>282.54592175133638</v>
      </c>
      <c r="O12" s="393" t="s">
        <v>484</v>
      </c>
      <c r="P12" s="27">
        <v>202.13855839981682</v>
      </c>
      <c r="Q12" s="391">
        <v>1</v>
      </c>
      <c r="R12" s="391">
        <v>202.13855839981682</v>
      </c>
    </row>
    <row r="13" spans="1:21">
      <c r="A13" s="393">
        <v>5</v>
      </c>
      <c r="B13" s="394" t="s">
        <v>476</v>
      </c>
      <c r="C13" s="395" t="s">
        <v>477</v>
      </c>
      <c r="D13" s="400" t="s">
        <v>271</v>
      </c>
      <c r="E13" s="3">
        <f t="shared" si="0"/>
        <v>2</v>
      </c>
      <c r="F13" s="3">
        <v>13</v>
      </c>
      <c r="G13" s="27">
        <f t="shared" si="1"/>
        <v>0.40656436916648192</v>
      </c>
      <c r="H13" s="27">
        <f t="shared" si="2"/>
        <v>2.1206601073277502</v>
      </c>
      <c r="I13" s="392">
        <v>1519.9360000000001</v>
      </c>
      <c r="J13">
        <v>0.8</v>
      </c>
      <c r="K13" s="392">
        <f t="shared" si="3"/>
        <v>762.2323476994768</v>
      </c>
      <c r="L13" s="392">
        <f t="shared" si="4"/>
        <v>609.78587815958144</v>
      </c>
      <c r="M13" s="392">
        <f t="shared" si="5"/>
        <v>3975.8420925940741</v>
      </c>
      <c r="N13" s="392">
        <f t="shared" si="6"/>
        <v>3180.6736740752594</v>
      </c>
      <c r="O13" s="393" t="s">
        <v>484</v>
      </c>
      <c r="P13" s="27">
        <v>77.519379844961236</v>
      </c>
      <c r="Q13" s="391">
        <v>0.75</v>
      </c>
      <c r="R13" s="391">
        <v>58.139534883720927</v>
      </c>
    </row>
    <row r="14" spans="1:21">
      <c r="A14" s="393">
        <v>6</v>
      </c>
      <c r="B14" s="394" t="s">
        <v>476</v>
      </c>
      <c r="C14" s="395" t="s">
        <v>479</v>
      </c>
      <c r="D14" s="400" t="s">
        <v>203</v>
      </c>
      <c r="E14" s="3">
        <f t="shared" si="0"/>
        <v>4</v>
      </c>
      <c r="F14" s="3">
        <v>13</v>
      </c>
      <c r="G14" s="27">
        <f t="shared" si="1"/>
        <v>0.40656436916648192</v>
      </c>
      <c r="H14" s="27">
        <f t="shared" si="2"/>
        <v>2.1206601073277502</v>
      </c>
      <c r="I14" s="392">
        <v>6587.2047300681461</v>
      </c>
      <c r="J14">
        <v>0.8</v>
      </c>
      <c r="K14" s="392">
        <f t="shared" si="3"/>
        <v>3303.4157531481192</v>
      </c>
      <c r="L14" s="392">
        <f t="shared" si="4"/>
        <v>2642.7326025184957</v>
      </c>
      <c r="M14" s="392">
        <f t="shared" si="5"/>
        <v>17230.781979201573</v>
      </c>
      <c r="N14" s="392">
        <f t="shared" si="6"/>
        <v>13784.625583361259</v>
      </c>
      <c r="O14" s="393" t="s">
        <v>484</v>
      </c>
      <c r="P14" s="27">
        <v>552.92581164224111</v>
      </c>
      <c r="Q14" s="391">
        <v>0.8</v>
      </c>
      <c r="R14" s="391">
        <v>442.34064931379294</v>
      </c>
    </row>
    <row r="19" spans="1:14">
      <c r="A19" s="401" t="s">
        <v>510</v>
      </c>
      <c r="D19" s="382"/>
      <c r="E19" s="384"/>
      <c r="F19" s="224"/>
      <c r="G19" s="481" t="s">
        <v>512</v>
      </c>
    </row>
    <row r="20" spans="1:14">
      <c r="A20" s="401" t="s">
        <v>511</v>
      </c>
      <c r="D20" s="382"/>
      <c r="E20" s="385">
        <v>1</v>
      </c>
      <c r="F20" s="385">
        <v>2</v>
      </c>
      <c r="G20" s="385">
        <v>3</v>
      </c>
      <c r="N20" s="199"/>
    </row>
    <row r="21" spans="1:14">
      <c r="A21" s="383" t="s">
        <v>509</v>
      </c>
      <c r="D21" s="1489" t="s">
        <v>263</v>
      </c>
      <c r="E21" s="1489"/>
      <c r="F21" s="405" t="s">
        <v>507</v>
      </c>
      <c r="G21" s="406" t="s">
        <v>508</v>
      </c>
    </row>
    <row r="22" spans="1:14">
      <c r="A22" s="383" t="s">
        <v>474</v>
      </c>
      <c r="D22" s="388" t="s">
        <v>150</v>
      </c>
      <c r="E22" s="386">
        <v>1</v>
      </c>
      <c r="F22" s="407">
        <f>SUMIF($E$9:$E$14,$E22,$L$9:$L$14)</f>
        <v>0</v>
      </c>
      <c r="G22" s="408">
        <f>SUMIF($E$9:$E$14,$E22,$N$9:$N$14)</f>
        <v>0</v>
      </c>
    </row>
    <row r="23" spans="1:14">
      <c r="D23" s="389" t="s">
        <v>271</v>
      </c>
      <c r="E23" s="386">
        <v>2</v>
      </c>
      <c r="F23" s="409">
        <f>SUMIF($E$9:$E$14,$E23,$L$9:$L$14)</f>
        <v>634.63968807958179</v>
      </c>
      <c r="G23" s="410">
        <f>SUMIF($E$9:$E$14,$E23,$N$9:$N$14)</f>
        <v>3463.2195958265957</v>
      </c>
    </row>
    <row r="24" spans="1:14">
      <c r="D24" s="389" t="s">
        <v>152</v>
      </c>
      <c r="E24" s="386">
        <v>3</v>
      </c>
      <c r="F24" s="409">
        <f>SUMIF($E$9:$E$14,$E24,$L$9:$L$14)</f>
        <v>0</v>
      </c>
      <c r="G24" s="410">
        <f>SUMIF($E$9:$E$14,$E24,$N$9:$N$14)</f>
        <v>0</v>
      </c>
    </row>
    <row r="25" spans="1:14">
      <c r="D25" s="389" t="s">
        <v>203</v>
      </c>
      <c r="E25" s="386">
        <v>4</v>
      </c>
      <c r="F25" s="409">
        <f>SUMIF($E$9:$E$14,$E25,$L$9:$L$14)</f>
        <v>2642.7326025184957</v>
      </c>
      <c r="G25" s="410">
        <f>SUMIF($E$9:$E$14,$E25,$N$9:$N$14)</f>
        <v>13784.625583361259</v>
      </c>
    </row>
    <row r="26" spans="1:14">
      <c r="D26" s="389" t="s">
        <v>289</v>
      </c>
      <c r="E26" s="386">
        <v>5</v>
      </c>
      <c r="F26" s="409">
        <f>SUMIF($E$9:$E$14,$E26,$L$9:$L$14)</f>
        <v>2585.9215314060639</v>
      </c>
      <c r="G26" s="410">
        <f>SUMIF($E$9:$E$14,$E26,$N$9:$N$14)</f>
        <v>14147.409031857955</v>
      </c>
    </row>
    <row r="27" spans="1:14">
      <c r="D27" s="390" t="s">
        <v>156</v>
      </c>
      <c r="E27" s="387">
        <v>6</v>
      </c>
      <c r="F27" s="411">
        <f>SUM(F22:F26)</f>
        <v>5863.2938220041415</v>
      </c>
      <c r="G27" s="166">
        <f>SUM(G22:G26)</f>
        <v>31395.254211045809</v>
      </c>
    </row>
  </sheetData>
  <sortState ref="A7:R12">
    <sortCondition ref="A7:A12"/>
  </sortState>
  <mergeCells count="3">
    <mergeCell ref="D21:E21"/>
    <mergeCell ref="K7:L7"/>
    <mergeCell ref="M7:N7"/>
  </mergeCells>
  <printOptions gridLines="1"/>
  <pageMargins left="0.5" right="0.5" top="0.75" bottom="0.75" header="0.3" footer="0.3"/>
  <pageSetup scale="57" orientation="landscape" r:id="rId1"/>
  <headerFooter>
    <oddFooter>&amp;L&amp;"-,Italic"&amp;9&amp;F, &amp;A&amp;R&amp;"-,Italic"&amp;9&amp;P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T58"/>
  <sheetViews>
    <sheetView zoomScale="90" zoomScaleNormal="90" workbookViewId="0">
      <selection activeCell="A2" sqref="A2"/>
    </sheetView>
  </sheetViews>
  <sheetFormatPr defaultRowHeight="15"/>
  <cols>
    <col min="2" max="2" width="8.140625" customWidth="1"/>
    <col min="3" max="3" width="17.28515625" customWidth="1"/>
    <col min="4" max="4" width="14.5703125" customWidth="1"/>
    <col min="5" max="5" width="7.140625" customWidth="1"/>
    <col min="6" max="6" width="11.42578125" customWidth="1"/>
    <col min="7" max="7" width="10.42578125" customWidth="1"/>
    <col min="10" max="10" width="11.140625" customWidth="1"/>
    <col min="11" max="16" width="11" customWidth="1"/>
  </cols>
  <sheetData>
    <row r="1" spans="1:14">
      <c r="A1" s="226" t="s">
        <v>226</v>
      </c>
      <c r="B1" s="101"/>
      <c r="C1" s="101"/>
      <c r="D1" s="101"/>
      <c r="E1" s="101"/>
      <c r="F1" s="101"/>
      <c r="G1" s="102"/>
      <c r="N1" s="975" t="s">
        <v>1212</v>
      </c>
    </row>
    <row r="3" spans="1:14">
      <c r="A3" s="38" t="s">
        <v>220</v>
      </c>
    </row>
    <row r="4" spans="1:14">
      <c r="A4" s="222" t="s">
        <v>222</v>
      </c>
      <c r="K4" s="222"/>
    </row>
    <row r="5" spans="1:14">
      <c r="A5" s="221" t="s">
        <v>221</v>
      </c>
      <c r="K5" s="221"/>
    </row>
    <row r="6" spans="1:14">
      <c r="A6" s="221" t="s">
        <v>224</v>
      </c>
      <c r="K6" s="221"/>
    </row>
    <row r="7" spans="1:14">
      <c r="A7" s="221" t="s">
        <v>223</v>
      </c>
      <c r="K7" s="221"/>
    </row>
    <row r="8" spans="1:14">
      <c r="A8" s="222" t="s">
        <v>225</v>
      </c>
    </row>
    <row r="9" spans="1:14">
      <c r="A9" s="221" t="s">
        <v>358</v>
      </c>
    </row>
    <row r="10" spans="1:14">
      <c r="A10" s="221" t="s">
        <v>359</v>
      </c>
    </row>
    <row r="11" spans="1:14">
      <c r="A11" s="221" t="s">
        <v>360</v>
      </c>
      <c r="K11" s="61"/>
    </row>
    <row r="12" spans="1:14">
      <c r="K12" s="1115"/>
    </row>
    <row r="14" spans="1:14">
      <c r="A14" s="226" t="s">
        <v>1185</v>
      </c>
      <c r="B14" s="101"/>
      <c r="C14" s="101"/>
      <c r="D14" s="101"/>
      <c r="E14" s="101"/>
      <c r="F14" s="101"/>
      <c r="G14" s="102"/>
      <c r="I14" t="s">
        <v>1188</v>
      </c>
    </row>
    <row r="15" spans="1:14" ht="15.75" thickBot="1">
      <c r="B15" s="279">
        <v>0.8</v>
      </c>
      <c r="C15" s="61" t="s">
        <v>363</v>
      </c>
      <c r="F15" s="976" t="s">
        <v>361</v>
      </c>
      <c r="G15" s="324"/>
      <c r="I15" s="61" t="s">
        <v>1192</v>
      </c>
    </row>
    <row r="16" spans="1:14" ht="15.75" thickBot="1">
      <c r="B16" s="225">
        <v>0.08</v>
      </c>
      <c r="C16" s="61" t="s">
        <v>364</v>
      </c>
      <c r="F16" s="976" t="s">
        <v>362</v>
      </c>
      <c r="G16" s="324"/>
    </row>
    <row r="18" spans="1:20" ht="15.75" thickBot="1">
      <c r="A18" s="226" t="s">
        <v>1084</v>
      </c>
      <c r="B18" s="1086"/>
      <c r="C18" s="101"/>
      <c r="D18" s="101"/>
      <c r="E18" s="101"/>
      <c r="F18" s="101"/>
      <c r="G18" s="102"/>
      <c r="I18" t="s">
        <v>1189</v>
      </c>
    </row>
    <row r="19" spans="1:20" ht="15.75" thickBot="1">
      <c r="B19" s="1088">
        <v>0.23</v>
      </c>
      <c r="C19" s="61" t="s">
        <v>1085</v>
      </c>
      <c r="F19" s="976" t="s">
        <v>1086</v>
      </c>
      <c r="G19" s="324"/>
      <c r="I19" s="61" t="s">
        <v>1191</v>
      </c>
    </row>
    <row r="20" spans="1:20">
      <c r="I20" s="61" t="s">
        <v>1190</v>
      </c>
    </row>
    <row r="22" spans="1:20">
      <c r="A22" s="226" t="s">
        <v>1186</v>
      </c>
      <c r="B22" s="101"/>
      <c r="C22" s="101"/>
      <c r="D22" s="101"/>
      <c r="E22" s="101"/>
      <c r="F22" s="101"/>
      <c r="G22" s="101"/>
      <c r="H22" s="101"/>
      <c r="I22" s="101"/>
      <c r="J22" s="101"/>
      <c r="K22" s="101"/>
      <c r="L22" s="101"/>
      <c r="M22" s="101"/>
      <c r="N22" s="101"/>
      <c r="O22" s="101"/>
      <c r="P22" s="101"/>
      <c r="Q22" s="101"/>
      <c r="R22" s="101"/>
      <c r="S22" s="101"/>
      <c r="T22" s="227" t="s">
        <v>1187</v>
      </c>
    </row>
    <row r="23" spans="1:20">
      <c r="A23" s="971" t="s">
        <v>196</v>
      </c>
      <c r="B23" s="224"/>
      <c r="C23" s="224"/>
      <c r="D23" s="224"/>
      <c r="E23" s="224"/>
      <c r="F23" s="224"/>
      <c r="G23" s="224"/>
      <c r="H23" s="224"/>
      <c r="I23" s="224"/>
      <c r="J23" s="224"/>
      <c r="K23" s="224"/>
      <c r="L23" s="224"/>
      <c r="M23" s="224"/>
      <c r="N23" s="224"/>
      <c r="O23" s="224"/>
      <c r="P23" s="224"/>
      <c r="Q23" s="224"/>
      <c r="R23" s="224"/>
      <c r="S23" s="224"/>
      <c r="T23" s="483" t="s">
        <v>196</v>
      </c>
    </row>
    <row r="24" spans="1:20">
      <c r="A24" s="183">
        <v>1</v>
      </c>
      <c r="B24" s="183">
        <v>2</v>
      </c>
      <c r="C24" s="183">
        <v>3</v>
      </c>
      <c r="D24" s="183">
        <v>4</v>
      </c>
      <c r="E24" s="183">
        <v>5</v>
      </c>
      <c r="F24" s="183">
        <v>6</v>
      </c>
      <c r="G24" s="183">
        <v>7</v>
      </c>
      <c r="H24" s="183">
        <v>8</v>
      </c>
      <c r="I24" s="183">
        <v>9</v>
      </c>
      <c r="J24" s="183">
        <v>10</v>
      </c>
      <c r="K24" s="183">
        <v>11</v>
      </c>
      <c r="L24" s="183">
        <v>12</v>
      </c>
      <c r="M24" s="183">
        <v>13</v>
      </c>
      <c r="N24" s="183">
        <v>14</v>
      </c>
      <c r="O24" s="183">
        <v>15</v>
      </c>
      <c r="P24" s="183">
        <v>16</v>
      </c>
      <c r="Q24" s="183">
        <v>17</v>
      </c>
      <c r="R24" s="183">
        <v>18</v>
      </c>
      <c r="S24" s="183">
        <v>19</v>
      </c>
      <c r="T24" s="183">
        <v>20</v>
      </c>
    </row>
    <row r="25" spans="1:20">
      <c r="A25" s="1491" t="s">
        <v>197</v>
      </c>
      <c r="B25" s="1491"/>
      <c r="C25" s="1491"/>
      <c r="D25" s="1491" t="s">
        <v>194</v>
      </c>
      <c r="E25" s="1491"/>
      <c r="F25" s="1491"/>
      <c r="G25" s="1491" t="s">
        <v>195</v>
      </c>
      <c r="H25" s="1491"/>
      <c r="I25" s="1491"/>
      <c r="J25" s="1491"/>
      <c r="K25" s="1492" t="s">
        <v>211</v>
      </c>
      <c r="L25" s="1493"/>
      <c r="M25" s="1491" t="s">
        <v>210</v>
      </c>
      <c r="N25" s="1491"/>
      <c r="O25" s="1490" t="s">
        <v>693</v>
      </c>
      <c r="P25" s="1490"/>
    </row>
    <row r="26" spans="1:20">
      <c r="A26" s="277" t="s">
        <v>192</v>
      </c>
      <c r="B26" s="277" t="s">
        <v>193</v>
      </c>
      <c r="C26" s="277" t="s">
        <v>216</v>
      </c>
      <c r="D26" s="277" t="s">
        <v>198</v>
      </c>
      <c r="E26" s="277" t="s">
        <v>199</v>
      </c>
      <c r="F26" s="277" t="s">
        <v>200</v>
      </c>
      <c r="G26" s="277" t="s">
        <v>201</v>
      </c>
      <c r="H26" s="277" t="s">
        <v>198</v>
      </c>
      <c r="I26" s="277" t="s">
        <v>199</v>
      </c>
      <c r="J26" s="277" t="s">
        <v>200</v>
      </c>
      <c r="K26" s="278" t="s">
        <v>35</v>
      </c>
      <c r="L26" s="278" t="s">
        <v>208</v>
      </c>
      <c r="M26" s="278" t="s">
        <v>35</v>
      </c>
      <c r="N26" s="278" t="s">
        <v>208</v>
      </c>
      <c r="O26" s="574" t="s">
        <v>694</v>
      </c>
      <c r="P26" s="574" t="s">
        <v>695</v>
      </c>
    </row>
    <row r="27" spans="1:20">
      <c r="A27" s="184">
        <v>1</v>
      </c>
      <c r="B27" s="89" t="s">
        <v>187</v>
      </c>
      <c r="C27" s="8" t="s">
        <v>96</v>
      </c>
      <c r="D27" s="200" t="s">
        <v>189</v>
      </c>
      <c r="E27" s="188">
        <f>TNBase</f>
        <v>0.8</v>
      </c>
      <c r="F27" s="201" t="str">
        <f>TEXT(E27,"0.00") &amp; " " &amp; D27</f>
        <v>0.80 mg/L</v>
      </c>
      <c r="G27" s="6">
        <v>1</v>
      </c>
      <c r="H27" s="187" t="s">
        <v>791</v>
      </c>
      <c r="I27" s="189">
        <f>E27*G27</f>
        <v>0.8</v>
      </c>
      <c r="J27" s="201" t="str">
        <f>TEXT(I27,"0.00") &amp; " " &amp; H27</f>
        <v>0.80 ppm</v>
      </c>
      <c r="K27" s="184">
        <v>6</v>
      </c>
      <c r="L27" s="193">
        <v>7</v>
      </c>
      <c r="M27" s="184">
        <v>7</v>
      </c>
      <c r="N27" s="193">
        <v>9</v>
      </c>
      <c r="O27" s="184">
        <v>3</v>
      </c>
      <c r="P27" s="193">
        <v>4</v>
      </c>
      <c r="Q27" s="7"/>
      <c r="R27" s="7"/>
      <c r="S27" s="7"/>
      <c r="T27" s="8"/>
    </row>
    <row r="28" spans="1:20">
      <c r="A28" s="186">
        <v>2</v>
      </c>
      <c r="B28" s="94" t="s">
        <v>188</v>
      </c>
      <c r="C28" s="12" t="s">
        <v>97</v>
      </c>
      <c r="D28" s="202" t="s">
        <v>189</v>
      </c>
      <c r="E28" s="191">
        <f>TPBase</f>
        <v>0.08</v>
      </c>
      <c r="F28" s="203" t="str">
        <f>TEXT(E28,"0.000") &amp; " " &amp; D28</f>
        <v>0.080 mg/L</v>
      </c>
      <c r="G28" s="11">
        <v>1000</v>
      </c>
      <c r="H28" s="190" t="s">
        <v>190</v>
      </c>
      <c r="I28" s="192">
        <f>E28*G28</f>
        <v>80</v>
      </c>
      <c r="J28" s="203" t="str">
        <f>TEXT(I28,"0") &amp; " " &amp; H28</f>
        <v>80 ppb</v>
      </c>
      <c r="K28" s="186">
        <v>8</v>
      </c>
      <c r="L28" s="195">
        <v>9</v>
      </c>
      <c r="M28" s="186">
        <v>6</v>
      </c>
      <c r="N28" s="195">
        <v>8</v>
      </c>
      <c r="O28" s="186">
        <v>6</v>
      </c>
      <c r="P28" s="195">
        <v>7</v>
      </c>
      <c r="Q28" s="5"/>
      <c r="R28" s="5"/>
      <c r="S28" s="5"/>
      <c r="T28" s="12"/>
    </row>
    <row r="31" spans="1:20">
      <c r="B31" s="267"/>
      <c r="C31" s="224"/>
      <c r="D31" s="266"/>
      <c r="E31" s="483" t="s">
        <v>468</v>
      </c>
      <c r="G31" s="380"/>
      <c r="H31" s="381"/>
      <c r="I31" s="485" t="s">
        <v>469</v>
      </c>
    </row>
    <row r="32" spans="1:20">
      <c r="B32" s="183">
        <v>1</v>
      </c>
      <c r="C32" s="183">
        <v>2</v>
      </c>
      <c r="D32" s="183">
        <v>3</v>
      </c>
      <c r="E32" s="183">
        <v>4</v>
      </c>
      <c r="G32" s="183">
        <v>1</v>
      </c>
      <c r="H32" s="183">
        <v>2</v>
      </c>
      <c r="I32" s="183">
        <v>3</v>
      </c>
    </row>
    <row r="33" spans="2:11">
      <c r="B33" s="184">
        <v>1</v>
      </c>
      <c r="C33" s="7" t="s">
        <v>150</v>
      </c>
      <c r="D33" s="89" t="s">
        <v>150</v>
      </c>
      <c r="E33" s="193">
        <v>1</v>
      </c>
      <c r="G33" s="184" t="s">
        <v>150</v>
      </c>
      <c r="H33" s="89">
        <v>1</v>
      </c>
      <c r="I33" s="193">
        <v>1</v>
      </c>
    </row>
    <row r="34" spans="2:11">
      <c r="B34" s="185">
        <v>2</v>
      </c>
      <c r="C34" s="4" t="s">
        <v>202</v>
      </c>
      <c r="D34" s="91" t="s">
        <v>271</v>
      </c>
      <c r="E34" s="194">
        <v>4</v>
      </c>
      <c r="G34" s="185" t="s">
        <v>271</v>
      </c>
      <c r="H34" s="91">
        <v>2</v>
      </c>
      <c r="I34" s="194">
        <v>4</v>
      </c>
    </row>
    <row r="35" spans="2:11">
      <c r="B35" s="185">
        <v>3</v>
      </c>
      <c r="C35" s="4" t="s">
        <v>152</v>
      </c>
      <c r="D35" s="91" t="s">
        <v>152</v>
      </c>
      <c r="E35" s="194">
        <v>5</v>
      </c>
      <c r="G35" s="185" t="s">
        <v>152</v>
      </c>
      <c r="H35" s="91">
        <v>3</v>
      </c>
      <c r="I35" s="194">
        <v>5</v>
      </c>
    </row>
    <row r="36" spans="2:11">
      <c r="B36" s="185">
        <v>4</v>
      </c>
      <c r="C36" s="4" t="s">
        <v>1224</v>
      </c>
      <c r="D36" s="91" t="s">
        <v>203</v>
      </c>
      <c r="E36" s="194">
        <v>2</v>
      </c>
      <c r="G36" s="185" t="s">
        <v>203</v>
      </c>
      <c r="H36" s="91">
        <v>4</v>
      </c>
      <c r="I36" s="194">
        <v>2</v>
      </c>
    </row>
    <row r="37" spans="2:11">
      <c r="B37" s="185">
        <v>5</v>
      </c>
      <c r="C37" s="4" t="s">
        <v>204</v>
      </c>
      <c r="D37" s="91" t="s">
        <v>289</v>
      </c>
      <c r="E37" s="194">
        <v>3</v>
      </c>
      <c r="G37" s="186" t="s">
        <v>289</v>
      </c>
      <c r="H37" s="94">
        <v>5</v>
      </c>
      <c r="I37" s="195">
        <v>3</v>
      </c>
    </row>
    <row r="38" spans="2:11">
      <c r="B38" s="185">
        <v>6</v>
      </c>
      <c r="C38" s="4" t="s">
        <v>205</v>
      </c>
      <c r="D38" s="91" t="s">
        <v>156</v>
      </c>
      <c r="E38" s="194">
        <v>6</v>
      </c>
      <c r="G38" s="91"/>
      <c r="H38" s="91"/>
      <c r="I38" s="99" t="s">
        <v>463</v>
      </c>
    </row>
    <row r="39" spans="2:11">
      <c r="B39" s="186">
        <v>7</v>
      </c>
      <c r="C39" s="5" t="s">
        <v>212</v>
      </c>
      <c r="D39" s="94" t="s">
        <v>399</v>
      </c>
      <c r="E39" s="195">
        <v>7</v>
      </c>
      <c r="G39" s="91"/>
      <c r="H39" s="91"/>
      <c r="I39" s="91"/>
    </row>
    <row r="40" spans="2:11">
      <c r="D40" s="3"/>
      <c r="E40" s="99" t="s">
        <v>427</v>
      </c>
    </row>
    <row r="41" spans="2:11">
      <c r="B41" s="3"/>
      <c r="D41" s="3"/>
    </row>
    <row r="42" spans="2:11">
      <c r="B42" s="267"/>
      <c r="C42" s="224"/>
      <c r="D42" s="266"/>
      <c r="E42" s="483" t="s">
        <v>470</v>
      </c>
    </row>
    <row r="43" spans="2:11">
      <c r="B43" s="183">
        <v>1</v>
      </c>
      <c r="C43" s="183">
        <v>2</v>
      </c>
      <c r="D43" s="183">
        <v>3</v>
      </c>
      <c r="E43" s="183">
        <v>4</v>
      </c>
    </row>
    <row r="44" spans="2:11">
      <c r="B44" s="184">
        <v>1</v>
      </c>
      <c r="C44" s="7" t="s">
        <v>150</v>
      </c>
      <c r="D44" s="89" t="s">
        <v>150</v>
      </c>
      <c r="E44" s="193">
        <v>1</v>
      </c>
      <c r="K44" s="220"/>
    </row>
    <row r="45" spans="2:11">
      <c r="B45" s="185">
        <v>2</v>
      </c>
      <c r="C45" s="4" t="s">
        <v>1224</v>
      </c>
      <c r="D45" s="91" t="s">
        <v>203</v>
      </c>
      <c r="E45" s="194">
        <v>4</v>
      </c>
    </row>
    <row r="46" spans="2:11">
      <c r="B46" s="185">
        <v>3</v>
      </c>
      <c r="C46" s="4" t="s">
        <v>204</v>
      </c>
      <c r="D46" s="91" t="s">
        <v>289</v>
      </c>
      <c r="E46" s="194">
        <v>5</v>
      </c>
    </row>
    <row r="47" spans="2:11">
      <c r="B47" s="185">
        <v>4</v>
      </c>
      <c r="C47" s="4" t="s">
        <v>202</v>
      </c>
      <c r="D47" s="91" t="s">
        <v>271</v>
      </c>
      <c r="E47" s="194">
        <v>2</v>
      </c>
      <c r="H47" s="61"/>
    </row>
    <row r="48" spans="2:11">
      <c r="B48" s="185">
        <v>5</v>
      </c>
      <c r="C48" s="4" t="s">
        <v>152</v>
      </c>
      <c r="D48" s="91" t="s">
        <v>152</v>
      </c>
      <c r="E48" s="194">
        <v>3</v>
      </c>
      <c r="H48" s="61"/>
    </row>
    <row r="49" spans="2:10">
      <c r="B49" s="185">
        <v>6</v>
      </c>
      <c r="C49" s="4" t="s">
        <v>205</v>
      </c>
      <c r="D49" s="91" t="s">
        <v>156</v>
      </c>
      <c r="E49" s="194">
        <v>6</v>
      </c>
      <c r="H49" t="s">
        <v>1030</v>
      </c>
    </row>
    <row r="50" spans="2:10">
      <c r="B50" s="186">
        <v>7</v>
      </c>
      <c r="C50" s="5" t="s">
        <v>212</v>
      </c>
      <c r="D50" s="94" t="s">
        <v>399</v>
      </c>
      <c r="E50" s="195">
        <v>7</v>
      </c>
      <c r="H50" s="61" t="s">
        <v>1203</v>
      </c>
    </row>
    <row r="51" spans="2:10">
      <c r="E51" s="99" t="s">
        <v>428</v>
      </c>
      <c r="H51" s="61" t="s">
        <v>1095</v>
      </c>
    </row>
    <row r="53" spans="2:10">
      <c r="B53" s="929" t="s">
        <v>471</v>
      </c>
      <c r="C53" s="224"/>
      <c r="D53" s="483"/>
      <c r="E53" s="224"/>
      <c r="F53" s="224"/>
      <c r="G53" s="483"/>
      <c r="H53" s="224"/>
      <c r="I53" s="224"/>
      <c r="J53" s="483" t="s">
        <v>471</v>
      </c>
    </row>
    <row r="54" spans="2:10">
      <c r="B54" s="183">
        <v>1</v>
      </c>
      <c r="C54" s="183">
        <v>2</v>
      </c>
      <c r="D54" s="183">
        <v>3</v>
      </c>
      <c r="E54" s="183">
        <v>4</v>
      </c>
      <c r="F54" s="183">
        <v>5</v>
      </c>
      <c r="G54" s="183">
        <v>6</v>
      </c>
    </row>
    <row r="55" spans="2:10">
      <c r="B55" s="972" t="s">
        <v>426</v>
      </c>
      <c r="C55" s="972" t="s">
        <v>268</v>
      </c>
      <c r="D55" s="972" t="s">
        <v>1202</v>
      </c>
      <c r="E55" s="974" t="s">
        <v>1106</v>
      </c>
      <c r="F55" s="973" t="s">
        <v>1028</v>
      </c>
      <c r="G55" s="6" t="s">
        <v>1029</v>
      </c>
      <c r="H55" s="7"/>
      <c r="I55" s="7"/>
      <c r="J55" s="8"/>
    </row>
    <row r="56" spans="2:10">
      <c r="B56" s="184">
        <v>1</v>
      </c>
      <c r="C56" s="7" t="s">
        <v>286</v>
      </c>
      <c r="D56" s="7"/>
      <c r="E56" s="7" t="s">
        <v>994</v>
      </c>
      <c r="F56" s="7" t="s">
        <v>681</v>
      </c>
      <c r="G56" s="7" t="s">
        <v>1025</v>
      </c>
      <c r="H56" s="7"/>
      <c r="I56" s="7"/>
      <c r="J56" s="8"/>
    </row>
    <row r="57" spans="2:10">
      <c r="B57" s="185">
        <v>2</v>
      </c>
      <c r="C57" s="4" t="s">
        <v>425</v>
      </c>
      <c r="D57" s="4"/>
      <c r="E57" s="4" t="s">
        <v>993</v>
      </c>
      <c r="F57" s="4" t="s">
        <v>425</v>
      </c>
      <c r="G57" s="4" t="s">
        <v>1026</v>
      </c>
      <c r="H57" s="4"/>
      <c r="I57" s="4"/>
      <c r="J57" s="10"/>
    </row>
    <row r="58" spans="2:10">
      <c r="B58" s="186">
        <v>3</v>
      </c>
      <c r="C58" s="5" t="s">
        <v>1094</v>
      </c>
      <c r="D58" s="5"/>
      <c r="E58" s="5" t="s">
        <v>1105</v>
      </c>
      <c r="F58" s="5" t="s">
        <v>1094</v>
      </c>
      <c r="G58" s="5" t="s">
        <v>1027</v>
      </c>
      <c r="H58" s="5"/>
      <c r="I58" s="5"/>
      <c r="J58" s="12"/>
    </row>
  </sheetData>
  <mergeCells count="6">
    <mergeCell ref="O25:P25"/>
    <mergeCell ref="D25:F25"/>
    <mergeCell ref="G25:J25"/>
    <mergeCell ref="A25:C25"/>
    <mergeCell ref="M25:N25"/>
    <mergeCell ref="K25:L25"/>
  </mergeCells>
  <printOptions gridLines="1"/>
  <pageMargins left="0.5" right="0.5" top="0.75" bottom="0.75" header="0.3" footer="0.3"/>
  <pageSetup scale="59" orientation="landscape" r:id="rId1"/>
  <headerFooter>
    <oddFooter>&amp;L&amp;"-,Italic"&amp;9&amp;F, &amp;A&amp;R&amp;"-,Italic"&amp;9&amp;P of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50"/>
  <sheetViews>
    <sheetView zoomScale="90" zoomScaleNormal="90" workbookViewId="0">
      <selection activeCell="A2" sqref="A2"/>
    </sheetView>
  </sheetViews>
  <sheetFormatPr defaultRowHeight="15"/>
  <cols>
    <col min="1" max="1" width="16" customWidth="1"/>
    <col min="2" max="2" width="23.7109375" customWidth="1"/>
    <col min="3" max="3" width="18.7109375" customWidth="1"/>
    <col min="4" max="4" width="14" customWidth="1"/>
    <col min="5" max="5" width="16.42578125" customWidth="1"/>
    <col min="6" max="6" width="48.140625" style="269" customWidth="1"/>
    <col min="9" max="11" width="10.7109375" customWidth="1"/>
  </cols>
  <sheetData>
    <row r="1" spans="1:11">
      <c r="A1" s="100" t="s">
        <v>95</v>
      </c>
      <c r="B1" s="101"/>
      <c r="C1" s="101"/>
      <c r="D1" s="101"/>
      <c r="E1" s="101"/>
      <c r="F1" s="101"/>
      <c r="G1" s="101"/>
      <c r="H1" s="101"/>
      <c r="I1" s="101"/>
      <c r="J1" s="101"/>
      <c r="K1" s="227" t="s">
        <v>80</v>
      </c>
    </row>
    <row r="4" spans="1:11">
      <c r="A4" s="1494" t="s">
        <v>7</v>
      </c>
      <c r="B4" s="1495"/>
      <c r="C4" s="1496"/>
      <c r="I4" s="34" t="s">
        <v>69</v>
      </c>
      <c r="J4" s="32"/>
      <c r="K4" s="33"/>
    </row>
    <row r="5" spans="1:11">
      <c r="A5" t="s">
        <v>8</v>
      </c>
      <c r="B5" s="3"/>
    </row>
    <row r="6" spans="1:11">
      <c r="A6" t="s">
        <v>9</v>
      </c>
      <c r="B6" s="3"/>
      <c r="I6" s="262"/>
      <c r="J6" s="224"/>
      <c r="K6" s="483" t="s">
        <v>5</v>
      </c>
    </row>
    <row r="7" spans="1:11">
      <c r="A7" t="s">
        <v>10</v>
      </c>
      <c r="B7" s="3"/>
      <c r="I7" s="14">
        <v>1</v>
      </c>
      <c r="J7" s="14">
        <v>2</v>
      </c>
      <c r="K7" s="14">
        <v>3</v>
      </c>
    </row>
    <row r="8" spans="1:11">
      <c r="A8" t="s">
        <v>11</v>
      </c>
      <c r="B8" s="3"/>
      <c r="I8" s="276" t="s">
        <v>1</v>
      </c>
      <c r="J8" s="276" t="s">
        <v>2</v>
      </c>
      <c r="K8" s="276" t="s">
        <v>3</v>
      </c>
    </row>
    <row r="9" spans="1:11">
      <c r="A9" t="s">
        <v>74</v>
      </c>
      <c r="B9" s="3"/>
      <c r="I9" s="6">
        <v>1</v>
      </c>
      <c r="J9" s="7">
        <v>31</v>
      </c>
      <c r="K9" s="8">
        <v>31</v>
      </c>
    </row>
    <row r="10" spans="1:11">
      <c r="B10" s="3"/>
      <c r="I10" s="9">
        <v>2</v>
      </c>
      <c r="J10" s="4">
        <v>28</v>
      </c>
      <c r="K10" s="10">
        <v>29</v>
      </c>
    </row>
    <row r="11" spans="1:11">
      <c r="A11" s="15" t="s">
        <v>12</v>
      </c>
      <c r="B11" s="16" t="s">
        <v>13</v>
      </c>
      <c r="C11" s="17" t="s">
        <v>14</v>
      </c>
      <c r="D11" s="17" t="s">
        <v>15</v>
      </c>
      <c r="E11" s="17" t="s">
        <v>70</v>
      </c>
      <c r="F11" s="16" t="s">
        <v>16</v>
      </c>
      <c r="I11" s="9">
        <v>3</v>
      </c>
      <c r="J11" s="4">
        <v>31</v>
      </c>
      <c r="K11" s="10">
        <v>31</v>
      </c>
    </row>
    <row r="12" spans="1:11">
      <c r="A12" s="18">
        <f>100/(2.54*12)</f>
        <v>3.2808398950131235</v>
      </c>
      <c r="B12" s="3" t="s">
        <v>17</v>
      </c>
      <c r="C12" s="19" t="s">
        <v>18</v>
      </c>
      <c r="D12" s="19" t="s">
        <v>18</v>
      </c>
      <c r="E12" s="37"/>
      <c r="F12" s="270" t="s">
        <v>19</v>
      </c>
      <c r="I12" s="9">
        <v>4</v>
      </c>
      <c r="J12" s="4">
        <v>30</v>
      </c>
      <c r="K12" s="10">
        <v>30</v>
      </c>
    </row>
    <row r="13" spans="1:11">
      <c r="A13" s="40">
        <f>39.37/12</f>
        <v>3.2808333333333333</v>
      </c>
      <c r="B13" s="41" t="s">
        <v>20</v>
      </c>
      <c r="C13" s="42" t="s">
        <v>18</v>
      </c>
      <c r="D13" s="42" t="s">
        <v>18</v>
      </c>
      <c r="E13" s="43"/>
      <c r="F13" s="271" t="s">
        <v>21</v>
      </c>
      <c r="I13" s="9">
        <v>5</v>
      </c>
      <c r="J13" s="4">
        <v>31</v>
      </c>
      <c r="K13" s="10">
        <v>31</v>
      </c>
    </row>
    <row r="14" spans="1:11">
      <c r="A14" s="20">
        <f>5280^2/640</f>
        <v>43560</v>
      </c>
      <c r="B14" s="3" t="s">
        <v>22</v>
      </c>
      <c r="C14" t="s">
        <v>23</v>
      </c>
      <c r="D14" t="s">
        <v>23</v>
      </c>
      <c r="E14" s="38"/>
      <c r="F14" s="272"/>
      <c r="I14" s="9">
        <v>6</v>
      </c>
      <c r="J14" s="4">
        <v>30</v>
      </c>
      <c r="K14" s="10">
        <v>30</v>
      </c>
    </row>
    <row r="15" spans="1:11">
      <c r="A15" s="21">
        <f>(A12*100)^2/A14</f>
        <v>2.4710538146716532</v>
      </c>
      <c r="B15" s="3" t="s">
        <v>24</v>
      </c>
      <c r="C15" t="s">
        <v>23</v>
      </c>
      <c r="D15" t="s">
        <v>23</v>
      </c>
      <c r="E15" s="38"/>
      <c r="F15" s="272"/>
      <c r="I15" s="9">
        <v>7</v>
      </c>
      <c r="J15" s="4">
        <v>31</v>
      </c>
      <c r="K15" s="10">
        <v>31</v>
      </c>
    </row>
    <row r="16" spans="1:11">
      <c r="A16" s="22">
        <f>(2.54*12)^3/1000</f>
        <v>28.316846592000001</v>
      </c>
      <c r="B16" s="3" t="s">
        <v>27</v>
      </c>
      <c r="C16" t="s">
        <v>28</v>
      </c>
      <c r="D16" t="s">
        <v>28</v>
      </c>
      <c r="E16" s="38"/>
      <c r="I16" s="9">
        <v>8</v>
      </c>
      <c r="J16" s="4">
        <v>31</v>
      </c>
      <c r="K16" s="10">
        <v>31</v>
      </c>
    </row>
    <row r="17" spans="1:11">
      <c r="A17" s="23">
        <f>12^3/231</f>
        <v>7.4805194805194803</v>
      </c>
      <c r="B17" s="3" t="s">
        <v>29</v>
      </c>
      <c r="C17" t="s">
        <v>28</v>
      </c>
      <c r="D17" t="s">
        <v>28</v>
      </c>
      <c r="E17" s="38"/>
      <c r="F17" s="269" t="s">
        <v>30</v>
      </c>
      <c r="I17" s="9">
        <v>9</v>
      </c>
      <c r="J17" s="4">
        <v>30</v>
      </c>
      <c r="K17" s="10">
        <v>30</v>
      </c>
    </row>
    <row r="18" spans="1:11">
      <c r="A18" s="24">
        <f>A14*A17</f>
        <v>325851.42857142858</v>
      </c>
      <c r="B18" s="3" t="s">
        <v>31</v>
      </c>
      <c r="C18" t="s">
        <v>28</v>
      </c>
      <c r="D18" t="s">
        <v>28</v>
      </c>
      <c r="E18" s="38"/>
      <c r="I18" s="9">
        <v>10</v>
      </c>
      <c r="J18" s="4">
        <v>31</v>
      </c>
      <c r="K18" s="10">
        <v>31</v>
      </c>
    </row>
    <row r="19" spans="1:11">
      <c r="A19" s="23">
        <f>A16/A17</f>
        <v>3.7854117840000003</v>
      </c>
      <c r="B19" s="3" t="s">
        <v>32</v>
      </c>
      <c r="C19" t="s">
        <v>28</v>
      </c>
      <c r="D19" t="s">
        <v>28</v>
      </c>
      <c r="E19" s="38"/>
      <c r="I19" s="9">
        <v>11</v>
      </c>
      <c r="J19" s="4">
        <v>30</v>
      </c>
      <c r="K19" s="10">
        <v>30</v>
      </c>
    </row>
    <row r="20" spans="1:11">
      <c r="A20" s="24">
        <f>A16*A14</f>
        <v>1233481.8375475199</v>
      </c>
      <c r="B20" s="3" t="s">
        <v>33</v>
      </c>
      <c r="C20" t="s">
        <v>28</v>
      </c>
      <c r="D20" t="s">
        <v>28</v>
      </c>
      <c r="E20" s="38"/>
      <c r="I20" s="11">
        <v>12</v>
      </c>
      <c r="J20" s="5">
        <v>31</v>
      </c>
      <c r="K20" s="12">
        <v>31</v>
      </c>
    </row>
    <row r="21" spans="1:11">
      <c r="A21">
        <f>1000</f>
        <v>1000</v>
      </c>
      <c r="B21" s="3" t="s">
        <v>1031</v>
      </c>
      <c r="C21" t="s">
        <v>28</v>
      </c>
      <c r="D21" t="s">
        <v>28</v>
      </c>
    </row>
    <row r="22" spans="1:11">
      <c r="A22" s="391">
        <f>A20/A21</f>
        <v>1233.4818375475199</v>
      </c>
      <c r="B22" s="3" t="s">
        <v>1032</v>
      </c>
      <c r="C22" t="s">
        <v>28</v>
      </c>
      <c r="D22" t="s">
        <v>28</v>
      </c>
    </row>
    <row r="23" spans="1:11">
      <c r="A23">
        <f>24*60*60</f>
        <v>86400</v>
      </c>
      <c r="B23" s="3" t="s">
        <v>25</v>
      </c>
      <c r="C23" t="s">
        <v>26</v>
      </c>
      <c r="D23" t="s">
        <v>26</v>
      </c>
      <c r="I23" s="224"/>
      <c r="J23" s="224"/>
      <c r="K23" s="483" t="s">
        <v>6</v>
      </c>
    </row>
    <row r="24" spans="1:11">
      <c r="A24" s="35">
        <f>A23/A14</f>
        <v>1.9834710743801653</v>
      </c>
      <c r="B24" s="3" t="s">
        <v>38</v>
      </c>
      <c r="C24" t="s">
        <v>39</v>
      </c>
      <c r="D24" t="s">
        <v>39</v>
      </c>
      <c r="E24" s="223" t="s">
        <v>71</v>
      </c>
      <c r="I24" s="14">
        <v>1</v>
      </c>
      <c r="J24" s="14">
        <v>2</v>
      </c>
      <c r="K24" s="14">
        <v>3</v>
      </c>
    </row>
    <row r="25" spans="1:11">
      <c r="A25" s="24">
        <f>A17*A23</f>
        <v>646316.88311688311</v>
      </c>
      <c r="B25" s="3" t="s">
        <v>40</v>
      </c>
      <c r="C25" t="s">
        <v>39</v>
      </c>
      <c r="D25" t="s">
        <v>39</v>
      </c>
      <c r="E25" s="38"/>
      <c r="I25" s="323" t="s">
        <v>0</v>
      </c>
      <c r="J25" s="323" t="s">
        <v>4</v>
      </c>
      <c r="K25" s="323" t="s">
        <v>2</v>
      </c>
    </row>
    <row r="26" spans="1:11">
      <c r="A26" s="24">
        <f>A23*A16</f>
        <v>2446575.5455487999</v>
      </c>
      <c r="B26" s="3" t="s">
        <v>46</v>
      </c>
      <c r="C26" t="s">
        <v>39</v>
      </c>
      <c r="D26" t="s">
        <v>39</v>
      </c>
      <c r="I26" s="6">
        <v>1993</v>
      </c>
      <c r="J26" s="7">
        <f t="shared" ref="J26:J27" si="0">IF(MOD(I26,4)&lt;&gt;0,1,IF(MOD(I26,100)=0,IF(MOD(I26,400)=0,2,1),2))</f>
        <v>1</v>
      </c>
      <c r="K26" s="8">
        <f t="shared" ref="K26:K27" si="1">364+J26</f>
        <v>365</v>
      </c>
    </row>
    <row r="27" spans="1:11">
      <c r="A27" s="25">
        <v>453.5924</v>
      </c>
      <c r="B27" s="3" t="s">
        <v>34</v>
      </c>
      <c r="C27" t="s">
        <v>1033</v>
      </c>
      <c r="D27" t="s">
        <v>1033</v>
      </c>
      <c r="E27" s="38"/>
      <c r="F27" s="273" t="s">
        <v>36</v>
      </c>
      <c r="I27" s="9">
        <v>1994</v>
      </c>
      <c r="J27" s="4">
        <f t="shared" si="0"/>
        <v>1</v>
      </c>
      <c r="K27" s="10">
        <f t="shared" si="1"/>
        <v>365</v>
      </c>
    </row>
    <row r="28" spans="1:11">
      <c r="A28" s="26">
        <f>1000/A27</f>
        <v>2.2046224760379585</v>
      </c>
      <c r="B28" s="3" t="s">
        <v>37</v>
      </c>
      <c r="C28" t="s">
        <v>1033</v>
      </c>
      <c r="D28" t="s">
        <v>1033</v>
      </c>
      <c r="E28" s="38"/>
      <c r="F28" s="274"/>
      <c r="I28" s="9">
        <v>1995</v>
      </c>
      <c r="J28" s="4">
        <f t="shared" ref="J28:J43" si="2">IF(MOD(I28,4)&lt;&gt;0,1,IF(MOD(I28,100)=0,IF(MOD(I28,400)=0,2,1),2))</f>
        <v>1</v>
      </c>
      <c r="K28" s="10">
        <f t="shared" ref="K28:K43" si="3">364+J28</f>
        <v>365</v>
      </c>
    </row>
    <row r="29" spans="1:11">
      <c r="A29" s="24">
        <f>1000*A27</f>
        <v>453592.4</v>
      </c>
      <c r="B29" s="3" t="s">
        <v>41</v>
      </c>
      <c r="C29" t="s">
        <v>1033</v>
      </c>
      <c r="D29" t="s">
        <v>1033</v>
      </c>
      <c r="E29" s="38"/>
      <c r="I29" s="9">
        <v>1996</v>
      </c>
      <c r="J29" s="4">
        <f t="shared" si="2"/>
        <v>2</v>
      </c>
      <c r="K29" s="10">
        <f t="shared" si="3"/>
        <v>366</v>
      </c>
    </row>
    <row r="30" spans="1:11">
      <c r="A30">
        <f>A29*2000</f>
        <v>907184800</v>
      </c>
      <c r="B30" s="3" t="s">
        <v>42</v>
      </c>
      <c r="C30" t="s">
        <v>1033</v>
      </c>
      <c r="D30" t="s">
        <v>1033</v>
      </c>
      <c r="E30" s="38"/>
      <c r="I30" s="9">
        <v>1997</v>
      </c>
      <c r="J30" s="4">
        <f t="shared" si="2"/>
        <v>1</v>
      </c>
      <c r="K30" s="10">
        <f t="shared" si="3"/>
        <v>365</v>
      </c>
    </row>
    <row r="31" spans="1:11">
      <c r="A31">
        <f>1000*1000*1000</f>
        <v>1000000000</v>
      </c>
      <c r="B31" s="3" t="s">
        <v>43</v>
      </c>
      <c r="C31" t="s">
        <v>1033</v>
      </c>
      <c r="D31" t="s">
        <v>1033</v>
      </c>
      <c r="E31" s="38"/>
      <c r="F31" s="269" t="s">
        <v>44</v>
      </c>
      <c r="I31" s="9">
        <v>1998</v>
      </c>
      <c r="J31" s="4">
        <f t="shared" si="2"/>
        <v>1</v>
      </c>
      <c r="K31" s="10">
        <f t="shared" si="3"/>
        <v>365</v>
      </c>
    </row>
    <row r="32" spans="1:11">
      <c r="A32" s="36">
        <f>A28*1000</f>
        <v>2204.6224760379587</v>
      </c>
      <c r="B32" s="3" t="s">
        <v>45</v>
      </c>
      <c r="C32" t="s">
        <v>1033</v>
      </c>
      <c r="D32" t="s">
        <v>1033</v>
      </c>
      <c r="E32" s="223" t="s">
        <v>209</v>
      </c>
      <c r="I32" s="9">
        <v>1999</v>
      </c>
      <c r="J32" s="4">
        <f t="shared" si="2"/>
        <v>1</v>
      </c>
      <c r="K32" s="10">
        <f t="shared" si="3"/>
        <v>365</v>
      </c>
    </row>
    <row r="33" spans="1:11">
      <c r="A33" s="23">
        <f>A26/A29</f>
        <v>5.3937754370417137</v>
      </c>
      <c r="B33" s="3" t="s">
        <v>47</v>
      </c>
      <c r="C33" t="s">
        <v>48</v>
      </c>
      <c r="D33" t="s">
        <v>1034</v>
      </c>
      <c r="E33" s="38"/>
      <c r="I33" s="9">
        <v>2000</v>
      </c>
      <c r="J33" s="4">
        <f t="shared" si="2"/>
        <v>2</v>
      </c>
      <c r="K33" s="10">
        <f t="shared" si="3"/>
        <v>366</v>
      </c>
    </row>
    <row r="34" spans="1:11">
      <c r="A34" s="28">
        <f>A26/A30</f>
        <v>2.6968877185208568E-3</v>
      </c>
      <c r="B34" s="3" t="s">
        <v>49</v>
      </c>
      <c r="C34" t="s">
        <v>48</v>
      </c>
      <c r="D34" t="s">
        <v>1034</v>
      </c>
      <c r="E34" s="38"/>
      <c r="F34" s="978"/>
      <c r="I34" s="9">
        <v>2001</v>
      </c>
      <c r="J34" s="4">
        <f t="shared" si="2"/>
        <v>1</v>
      </c>
      <c r="K34" s="10">
        <f t="shared" si="3"/>
        <v>365</v>
      </c>
    </row>
    <row r="35" spans="1:11">
      <c r="A35" s="71">
        <f>A26/A31</f>
        <v>2.4465755455488E-3</v>
      </c>
      <c r="B35" s="3" t="s">
        <v>50</v>
      </c>
      <c r="C35" t="s">
        <v>48</v>
      </c>
      <c r="D35" t="s">
        <v>1034</v>
      </c>
      <c r="E35" s="223" t="s">
        <v>89</v>
      </c>
      <c r="I35" s="9">
        <v>2002</v>
      </c>
      <c r="J35" s="4">
        <f t="shared" si="2"/>
        <v>1</v>
      </c>
      <c r="K35" s="10">
        <f t="shared" si="3"/>
        <v>365</v>
      </c>
    </row>
    <row r="36" spans="1:11">
      <c r="A36" s="28">
        <f>A20/A30</f>
        <v>1.3596808914209321E-3</v>
      </c>
      <c r="B36" s="3" t="s">
        <v>51</v>
      </c>
      <c r="C36" t="s">
        <v>52</v>
      </c>
      <c r="D36" t="s">
        <v>35</v>
      </c>
      <c r="E36" s="38"/>
      <c r="I36" s="9">
        <v>2003</v>
      </c>
      <c r="J36" s="4">
        <f t="shared" si="2"/>
        <v>1</v>
      </c>
      <c r="K36" s="10">
        <f t="shared" si="3"/>
        <v>365</v>
      </c>
    </row>
    <row r="37" spans="1:11">
      <c r="A37" s="71">
        <f>A20/A31</f>
        <v>1.2334818375475199E-3</v>
      </c>
      <c r="B37" s="3" t="s">
        <v>53</v>
      </c>
      <c r="C37" t="s">
        <v>52</v>
      </c>
      <c r="D37" t="s">
        <v>35</v>
      </c>
      <c r="E37" s="223" t="s">
        <v>90</v>
      </c>
      <c r="I37" s="9">
        <v>2004</v>
      </c>
      <c r="J37" s="4">
        <f t="shared" si="2"/>
        <v>2</v>
      </c>
      <c r="K37" s="10">
        <f t="shared" si="3"/>
        <v>366</v>
      </c>
    </row>
    <row r="38" spans="1:11">
      <c r="A38" s="23">
        <f>A20/A29</f>
        <v>2.7193617828418639</v>
      </c>
      <c r="B38" s="3" t="s">
        <v>54</v>
      </c>
      <c r="C38" t="s">
        <v>52</v>
      </c>
      <c r="D38" t="s">
        <v>35</v>
      </c>
      <c r="E38" s="38"/>
      <c r="I38" s="9">
        <v>2005</v>
      </c>
      <c r="J38" s="4">
        <f t="shared" si="2"/>
        <v>1</v>
      </c>
      <c r="K38" s="10">
        <f t="shared" si="3"/>
        <v>365</v>
      </c>
    </row>
    <row r="39" spans="1:11">
      <c r="A39" s="27">
        <f>A30/A20</f>
        <v>735.46668656566305</v>
      </c>
      <c r="B39" s="3" t="s">
        <v>55</v>
      </c>
      <c r="C39" t="s">
        <v>56</v>
      </c>
      <c r="D39" t="s">
        <v>57</v>
      </c>
      <c r="E39" s="38"/>
      <c r="I39" s="9">
        <v>2006</v>
      </c>
      <c r="J39" s="4">
        <f t="shared" si="2"/>
        <v>1</v>
      </c>
      <c r="K39" s="10">
        <f t="shared" si="3"/>
        <v>365</v>
      </c>
    </row>
    <row r="40" spans="1:11">
      <c r="A40" s="36">
        <f>A31/A20</f>
        <v>810.71319378991257</v>
      </c>
      <c r="B40" s="3" t="s">
        <v>58</v>
      </c>
      <c r="C40" t="s">
        <v>56</v>
      </c>
      <c r="D40" t="s">
        <v>57</v>
      </c>
      <c r="E40" s="223" t="s">
        <v>72</v>
      </c>
      <c r="F40" s="288"/>
      <c r="I40" s="9">
        <v>2007</v>
      </c>
      <c r="J40" s="4">
        <f t="shared" si="2"/>
        <v>1</v>
      </c>
      <c r="K40" s="10">
        <f t="shared" si="3"/>
        <v>365</v>
      </c>
    </row>
    <row r="41" spans="1:11">
      <c r="A41" s="415">
        <f>1000 * A27 / A20</f>
        <v>0.36773334328283158</v>
      </c>
      <c r="B41" s="3" t="s">
        <v>506</v>
      </c>
      <c r="C41" t="s">
        <v>56</v>
      </c>
      <c r="D41" t="s">
        <v>57</v>
      </c>
      <c r="E41" s="223" t="s">
        <v>505</v>
      </c>
      <c r="I41" s="9">
        <v>2008</v>
      </c>
      <c r="J41" s="4">
        <f t="shared" si="2"/>
        <v>2</v>
      </c>
      <c r="K41" s="10">
        <f t="shared" si="3"/>
        <v>366</v>
      </c>
    </row>
    <row r="42" spans="1:11">
      <c r="A42" s="35">
        <f xml:space="preserve"> 12/A14/A16*A29</f>
        <v>4.4128001193939781</v>
      </c>
      <c r="B42" s="3" t="s">
        <v>59</v>
      </c>
      <c r="C42" t="s">
        <v>60</v>
      </c>
      <c r="D42" t="s">
        <v>57</v>
      </c>
      <c r="E42" s="223" t="s">
        <v>162</v>
      </c>
      <c r="I42" s="9">
        <v>2009</v>
      </c>
      <c r="J42" s="4">
        <f t="shared" si="2"/>
        <v>1</v>
      </c>
      <c r="K42" s="10">
        <f t="shared" si="3"/>
        <v>365</v>
      </c>
    </row>
    <row r="43" spans="1:11">
      <c r="A43" s="29">
        <f>A14*A16/A29/12</f>
        <v>0.22661348190348865</v>
      </c>
      <c r="B43" s="3" t="s">
        <v>61</v>
      </c>
      <c r="C43" t="s">
        <v>62</v>
      </c>
      <c r="D43" t="s">
        <v>63</v>
      </c>
      <c r="E43" s="39"/>
      <c r="I43" s="9">
        <v>2010</v>
      </c>
      <c r="J43" s="4">
        <f t="shared" si="2"/>
        <v>1</v>
      </c>
      <c r="K43" s="10">
        <f t="shared" si="3"/>
        <v>365</v>
      </c>
    </row>
    <row r="44" spans="1:11">
      <c r="A44" s="22">
        <f>A28*A16</f>
        <v>62.427956447242067</v>
      </c>
      <c r="B44" s="3" t="s">
        <v>64</v>
      </c>
      <c r="C44" t="s">
        <v>65</v>
      </c>
      <c r="D44" t="s">
        <v>65</v>
      </c>
      <c r="E44" s="39"/>
      <c r="I44" s="11">
        <v>2011</v>
      </c>
      <c r="J44" s="5">
        <f t="shared" ref="J44" si="4">IF(MOD(I44,4)&lt;&gt;0,1,IF(MOD(I44,100)=0,IF(MOD(I44,400)=0,2,1),2))</f>
        <v>1</v>
      </c>
      <c r="K44" s="12">
        <f t="shared" ref="K44" si="5">364+J44</f>
        <v>365</v>
      </c>
    </row>
    <row r="45" spans="1:11">
      <c r="A45" s="23">
        <f>A15/A28</f>
        <v>1.1208512303260703</v>
      </c>
      <c r="B45" s="3" t="s">
        <v>66</v>
      </c>
      <c r="C45" t="s">
        <v>67</v>
      </c>
      <c r="D45" t="s">
        <v>67</v>
      </c>
      <c r="E45" s="39"/>
    </row>
    <row r="46" spans="1:11">
      <c r="A46" s="31"/>
      <c r="B46" s="30"/>
      <c r="C46" s="31"/>
      <c r="D46" s="31"/>
      <c r="E46" s="38"/>
    </row>
    <row r="47" spans="1:11">
      <c r="A47" s="412">
        <f>A29/A20/A24/365</f>
        <v>5.0794217508245E-4</v>
      </c>
      <c r="B47" s="414" t="s">
        <v>68</v>
      </c>
      <c r="C47" s="31"/>
      <c r="D47" s="31"/>
      <c r="E47" s="38"/>
    </row>
    <row r="48" spans="1:11">
      <c r="A48" s="977"/>
      <c r="B48" s="86"/>
      <c r="E48" s="31"/>
      <c r="F48" s="275"/>
    </row>
    <row r="50" spans="5:5">
      <c r="E50" s="38"/>
    </row>
  </sheetData>
  <mergeCells count="1">
    <mergeCell ref="A4:C4"/>
  </mergeCells>
  <printOptions gridLines="1"/>
  <pageMargins left="0.5" right="0.5" top="0.75" bottom="0.75" header="0.3" footer="0.3"/>
  <pageSetup scale="68" orientation="landscape" r:id="rId1"/>
  <headerFooter>
    <oddFooter>&amp;L&amp;"-,Italic"&amp;9&amp;F, &amp;A&amp;R&amp;"-,Italic"&amp;9&amp;P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Z100"/>
  <sheetViews>
    <sheetView tabSelected="1" zoomScale="80" zoomScaleNormal="80" workbookViewId="0">
      <selection activeCell="A18" sqref="A18"/>
    </sheetView>
  </sheetViews>
  <sheetFormatPr defaultRowHeight="15"/>
  <cols>
    <col min="1" max="1" width="36.140625" customWidth="1"/>
    <col min="2" max="2" width="6" customWidth="1"/>
    <col min="3" max="26" width="11.42578125" customWidth="1"/>
  </cols>
  <sheetData>
    <row r="1" spans="1:16">
      <c r="A1" s="728" t="s">
        <v>843</v>
      </c>
      <c r="B1" s="1305"/>
      <c r="C1" s="727"/>
      <c r="D1" s="101"/>
      <c r="E1" s="101"/>
      <c r="F1" s="101"/>
      <c r="G1" s="101"/>
      <c r="H1" s="101"/>
      <c r="I1" s="101"/>
      <c r="J1" s="101"/>
      <c r="K1" s="745" t="s">
        <v>1226</v>
      </c>
      <c r="L1" s="238"/>
      <c r="M1" s="238"/>
      <c r="P1" s="58" t="s">
        <v>1453</v>
      </c>
    </row>
    <row r="2" spans="1:16">
      <c r="A2" s="716" t="s">
        <v>834</v>
      </c>
      <c r="B2" s="716"/>
      <c r="C2" s="183"/>
    </row>
    <row r="3" spans="1:16">
      <c r="A3" s="717" t="s">
        <v>815</v>
      </c>
      <c r="B3" s="717"/>
      <c r="C3" s="183"/>
    </row>
    <row r="4" spans="1:16">
      <c r="A4" s="717" t="s">
        <v>837</v>
      </c>
      <c r="B4" s="717"/>
      <c r="C4" s="183"/>
    </row>
    <row r="5" spans="1:16">
      <c r="A5" s="717" t="s">
        <v>1169</v>
      </c>
      <c r="B5" s="717"/>
      <c r="C5" s="183"/>
    </row>
    <row r="6" spans="1:16">
      <c r="A6" s="38" t="s">
        <v>829</v>
      </c>
      <c r="B6" s="38"/>
    </row>
    <row r="7" spans="1:16">
      <c r="A7" s="61" t="s">
        <v>833</v>
      </c>
      <c r="B7" s="61"/>
    </row>
    <row r="8" spans="1:16">
      <c r="A8" s="417" t="s">
        <v>836</v>
      </c>
      <c r="B8" s="417"/>
      <c r="C8" s="4"/>
      <c r="D8" s="4"/>
    </row>
    <row r="9" spans="1:16">
      <c r="A9" s="752" t="s">
        <v>814</v>
      </c>
      <c r="B9" s="752"/>
      <c r="C9" s="4"/>
      <c r="D9" s="4"/>
    </row>
    <row r="10" spans="1:16">
      <c r="A10" s="651" t="s">
        <v>783</v>
      </c>
      <c r="B10" s="651"/>
      <c r="C10" s="4"/>
      <c r="D10" s="4"/>
    </row>
    <row r="11" spans="1:16">
      <c r="A11" s="417" t="s">
        <v>835</v>
      </c>
      <c r="B11" s="417"/>
      <c r="C11" s="4"/>
      <c r="D11" s="4"/>
    </row>
    <row r="12" spans="1:16">
      <c r="A12" s="417" t="s">
        <v>1170</v>
      </c>
      <c r="B12" s="417"/>
      <c r="C12" s="4"/>
      <c r="D12" s="4"/>
    </row>
    <row r="13" spans="1:16">
      <c r="A13" s="751" t="s">
        <v>844</v>
      </c>
      <c r="B13" s="417"/>
      <c r="C13" s="4"/>
      <c r="D13" s="4"/>
      <c r="I13" s="1102" t="s">
        <v>1093</v>
      </c>
    </row>
    <row r="14" spans="1:16">
      <c r="A14" s="717" t="s">
        <v>1091</v>
      </c>
      <c r="B14" s="417"/>
      <c r="C14" s="4"/>
      <c r="D14" s="4"/>
      <c r="I14" s="1103">
        <f>Tmdl_TN</f>
        <v>0.23</v>
      </c>
    </row>
    <row r="15" spans="1:16">
      <c r="A15" s="717" t="s">
        <v>841</v>
      </c>
      <c r="B15" s="417"/>
      <c r="C15" s="4"/>
      <c r="D15" s="4"/>
    </row>
    <row r="16" spans="1:16">
      <c r="A16" s="717" t="s">
        <v>842</v>
      </c>
      <c r="B16" s="417"/>
      <c r="C16" s="4"/>
      <c r="D16" s="4"/>
    </row>
    <row r="17" spans="1:26">
      <c r="A17" s="717" t="s">
        <v>1092</v>
      </c>
      <c r="B17" s="417"/>
      <c r="C17" s="4"/>
      <c r="D17" s="4"/>
    </row>
    <row r="18" spans="1:26">
      <c r="B18" s="183"/>
      <c r="C18" s="183"/>
      <c r="D18" s="183"/>
      <c r="E18" s="183"/>
      <c r="F18" s="183"/>
      <c r="G18" s="183"/>
      <c r="H18" s="183"/>
      <c r="I18" s="183"/>
      <c r="J18" s="183"/>
      <c r="K18" s="183"/>
      <c r="L18" s="183"/>
      <c r="M18" s="183"/>
      <c r="N18" s="183"/>
      <c r="O18" s="183"/>
      <c r="P18" s="183"/>
      <c r="Q18" s="183"/>
      <c r="R18" s="183"/>
      <c r="S18" s="183"/>
      <c r="T18" s="183"/>
      <c r="U18" s="183"/>
      <c r="V18" s="183"/>
    </row>
    <row r="20" spans="1:26">
      <c r="A20" s="215" t="s">
        <v>839</v>
      </c>
      <c r="B20" s="968"/>
      <c r="C20" s="965"/>
      <c r="D20" s="966"/>
      <c r="E20" s="966"/>
      <c r="F20" s="966"/>
      <c r="G20" s="966"/>
      <c r="H20" s="966"/>
      <c r="I20" s="966"/>
      <c r="J20" s="966"/>
      <c r="K20" s="966"/>
      <c r="L20" s="966"/>
      <c r="M20" s="966"/>
      <c r="N20" s="966"/>
      <c r="O20" s="966"/>
      <c r="P20" s="966"/>
      <c r="Q20" s="966"/>
      <c r="R20" s="966"/>
      <c r="S20" s="966"/>
      <c r="T20" s="966"/>
      <c r="U20" s="966"/>
      <c r="V20" s="966"/>
      <c r="W20" s="966"/>
      <c r="X20" s="966"/>
      <c r="Y20" s="966"/>
      <c r="Z20" s="967"/>
    </row>
    <row r="22" spans="1:26">
      <c r="C22" s="1415" t="s">
        <v>819</v>
      </c>
      <c r="D22" s="1415"/>
      <c r="E22" s="1415"/>
      <c r="F22" s="1399" t="s">
        <v>762</v>
      </c>
      <c r="G22" s="1400"/>
      <c r="H22" s="1400"/>
      <c r="I22" s="1401"/>
      <c r="J22" s="1405" t="s">
        <v>976</v>
      </c>
      <c r="K22" s="1406"/>
      <c r="L22" s="1406"/>
      <c r="M22" s="1407"/>
      <c r="N22" s="1402" t="s">
        <v>1110</v>
      </c>
      <c r="O22" s="1403"/>
      <c r="P22" s="1403"/>
      <c r="Q22" s="1404"/>
      <c r="R22" s="1416" t="s">
        <v>809</v>
      </c>
      <c r="S22" s="1416"/>
      <c r="T22" s="1416"/>
      <c r="U22" s="1416"/>
      <c r="V22" s="1416"/>
      <c r="W22" s="1398" t="s">
        <v>838</v>
      </c>
      <c r="X22" s="1398"/>
      <c r="Y22" s="1398"/>
      <c r="Z22" s="1398"/>
    </row>
    <row r="23" spans="1:26" s="396" customFormat="1" ht="30" customHeight="1">
      <c r="C23" s="1412" t="s">
        <v>797</v>
      </c>
      <c r="D23" s="1413"/>
      <c r="E23" s="1414"/>
      <c r="F23" s="1417" t="str">
        <f xml:space="preserve"> "Summary of " &amp; $C$99 &amp; " Reductions for Current Phase"</f>
        <v>Summary of TN Reductions for Current Phase</v>
      </c>
      <c r="G23" s="1418"/>
      <c r="H23" s="1418"/>
      <c r="I23" s="1419"/>
      <c r="J23" s="1408" t="str">
        <f xml:space="preserve"> "Summary of " &amp; $C$99 &amp; " Reductions for Near-Term Phase"</f>
        <v>Summary of TN Reductions for Near-Term Phase</v>
      </c>
      <c r="K23" s="1408"/>
      <c r="L23" s="1408"/>
      <c r="M23" s="1408"/>
      <c r="N23" s="1420" t="str">
        <f xml:space="preserve"> "Summary of " &amp; $C$99 &amp; " Reductions for Long-Term Phase"</f>
        <v>Summary of TN Reductions for Long-Term Phase</v>
      </c>
      <c r="O23" s="1421"/>
      <c r="P23" s="1421"/>
      <c r="Q23" s="1422"/>
      <c r="R23" s="1409" t="str">
        <f xml:space="preserve">  $C$99 &amp; " Load Reduction as a percentage of Baseline Load"</f>
        <v>TN Load Reduction as a percentage of Baseline Load</v>
      </c>
      <c r="S23" s="1409"/>
      <c r="T23" s="1409"/>
      <c r="U23" s="1409" t="str">
        <f xml:space="preserve"> "Overall " &amp; $C$99 &amp; " Load Reduction, All Phases"</f>
        <v>Overall TN Load Reduction, All Phases</v>
      </c>
      <c r="V23" s="1409"/>
      <c r="W23" s="1397" t="str">
        <f xml:space="preserve"> "Based on a " &amp; TEXT(Tmdl_TN*100,"##.0#") &amp; "-percent reduction to 
Baseline Values within CRWPP"</f>
        <v>Based on a 23.0-percent reduction to 
Baseline Values within CRWPP</v>
      </c>
      <c r="X23" s="1397"/>
      <c r="Y23" s="1397"/>
      <c r="Z23" s="1397"/>
    </row>
    <row r="24" spans="1:26" s="396" customFormat="1" ht="60">
      <c r="A24" s="732" t="s">
        <v>788</v>
      </c>
      <c r="B24" s="732"/>
      <c r="C24" s="731" t="s">
        <v>488</v>
      </c>
      <c r="D24" s="731" t="str">
        <f xml:space="preserve"> $C$99 &amp; " Load, in mton/yr"</f>
        <v>TN Load, in mton/yr</v>
      </c>
      <c r="E24" s="731" t="str">
        <f>$C$99 &amp; " Conc., in " &amp; $F$99</f>
        <v>TN Conc., in ppm</v>
      </c>
      <c r="F24" s="731" t="str">
        <f xml:space="preserve"> $C$99 &amp; " Total Reduction, in mton/yr"</f>
        <v>TN Total Reduction, in mton/yr</v>
      </c>
      <c r="G24" s="731" t="str">
        <f>$C$99 &amp; " Remaining Load, in mton/yr"</f>
        <v>TN Remaining Load, in mton/yr</v>
      </c>
      <c r="H24" s="731" t="s">
        <v>807</v>
      </c>
      <c r="I24" s="731" t="str">
        <f>$C$99 &amp; " Conc., in " &amp; $F$99</f>
        <v>TN Conc., in ppm</v>
      </c>
      <c r="J24" s="731" t="str">
        <f xml:space="preserve"> $C$99 &amp; " Total Reduction, in mton/yr"</f>
        <v>TN Total Reduction, in mton/yr</v>
      </c>
      <c r="K24" s="731" t="str">
        <f>$C$99 &amp; " Remaining Load, in mton/yr"</f>
        <v>TN Remaining Load, in mton/yr</v>
      </c>
      <c r="L24" s="731" t="s">
        <v>807</v>
      </c>
      <c r="M24" s="731" t="str">
        <f>$C$99 &amp; " Conc., in " &amp; $F$99</f>
        <v>TN Conc., in ppm</v>
      </c>
      <c r="N24" s="731" t="str">
        <f xml:space="preserve"> $C$99 &amp; " Total Reduction, in mton/yr"</f>
        <v>TN Total Reduction, in mton/yr</v>
      </c>
      <c r="O24" s="731" t="str">
        <f>$C$99 &amp; " Remaining Load, in mton/yr"</f>
        <v>TN Remaining Load, in mton/yr</v>
      </c>
      <c r="P24" s="731" t="s">
        <v>807</v>
      </c>
      <c r="Q24" s="731" t="str">
        <f>$C$99 &amp; " Conc., in " &amp; $F$99</f>
        <v>TN Conc., in ppm</v>
      </c>
      <c r="R24" s="731" t="s">
        <v>808</v>
      </c>
      <c r="S24" s="731" t="s">
        <v>987</v>
      </c>
      <c r="T24" s="731" t="s">
        <v>1168</v>
      </c>
      <c r="U24" s="731" t="s">
        <v>988</v>
      </c>
      <c r="V24" s="731" t="s">
        <v>1038</v>
      </c>
      <c r="W24" s="731" t="s">
        <v>488</v>
      </c>
      <c r="X24" s="731" t="str">
        <f xml:space="preserve"> $C$99 &amp; " Total Reduction, in mton/yr"</f>
        <v>TN Total Reduction, in mton/yr</v>
      </c>
      <c r="Y24" s="731" t="str">
        <f>$C$99 &amp; " Remaining Load, in mton/yr"</f>
        <v>TN Remaining Load, in mton/yr</v>
      </c>
      <c r="Z24" s="731" t="str">
        <f>$C$99 &amp; " Conc., in " &amp; $F$99</f>
        <v>TN Conc., in ppm</v>
      </c>
    </row>
    <row r="25" spans="1:26">
      <c r="A25" s="686" t="s">
        <v>782</v>
      </c>
      <c r="B25" s="951"/>
      <c r="C25" s="6"/>
      <c r="D25" s="7"/>
      <c r="E25" s="8"/>
      <c r="F25" s="6"/>
      <c r="G25" s="7"/>
      <c r="H25" s="7"/>
      <c r="I25" s="8"/>
      <c r="J25" s="6"/>
      <c r="K25" s="7"/>
      <c r="L25" s="7"/>
      <c r="M25" s="8"/>
      <c r="N25" s="6"/>
      <c r="O25" s="7"/>
      <c r="P25" s="7"/>
      <c r="Q25" s="7"/>
      <c r="R25" s="6"/>
      <c r="S25" s="7"/>
      <c r="T25" s="7"/>
      <c r="U25" s="6"/>
      <c r="V25" s="8"/>
      <c r="W25" s="7"/>
      <c r="X25" s="7"/>
      <c r="Y25" s="7"/>
      <c r="Z25" s="8"/>
    </row>
    <row r="26" spans="1:26">
      <c r="A26" s="687" t="s">
        <v>150</v>
      </c>
      <c r="B26" s="955">
        <v>1</v>
      </c>
      <c r="C26" s="681">
        <f t="shared" ref="C26:D31" si="0">VLOOKUP(C$92,loads_summ,$B26+C$93,FALSE)</f>
        <v>222351.6538822767</v>
      </c>
      <c r="D26" s="667">
        <f t="shared" si="0"/>
        <v>282.43225947662467</v>
      </c>
      <c r="E26" s="669">
        <f t="shared" ref="E26:E31" si="1">VLOOKUP(E$92,loads_summ,$B26+E$93,FALSE)*$E$99</f>
        <v>1.0297722329100547</v>
      </c>
      <c r="F26" s="666">
        <f t="shared" ref="F26:H31" si="2">VLOOKUP(F$92,loads_summ,$B26+F$93,FALSE)</f>
        <v>2.5538225769479368</v>
      </c>
      <c r="G26" s="667">
        <f t="shared" si="2"/>
        <v>279.87843689967673</v>
      </c>
      <c r="H26" s="668">
        <f t="shared" si="2"/>
        <v>222351.6538822767</v>
      </c>
      <c r="I26" s="669">
        <f t="shared" ref="I26:I31" si="3">VLOOKUP(I$92,loads_summ,$B26+I$93,FALSE)*$E$99</f>
        <v>1.0204607768377447</v>
      </c>
      <c r="J26" s="666">
        <f t="shared" ref="J26:L31" si="4">VLOOKUP(J$92,loads_summ,$B26+J$93,FALSE)</f>
        <v>8.1363747904133561</v>
      </c>
      <c r="K26" s="667">
        <f t="shared" si="4"/>
        <v>271.74206210926337</v>
      </c>
      <c r="L26" s="668">
        <f t="shared" si="4"/>
        <v>222351.6538822767</v>
      </c>
      <c r="M26" s="669">
        <f t="shared" ref="M26:M31" si="5">VLOOKUP(M$92,loads_summ,$B26+M$93,FALSE)*$E$99</f>
        <v>0.99079485676457946</v>
      </c>
      <c r="N26" s="666">
        <f t="shared" ref="N26:P31" si="6">VLOOKUP(N$92,loads_summ,$B26+N$93,FALSE)</f>
        <v>48.856774070388951</v>
      </c>
      <c r="O26" s="667">
        <f t="shared" si="6"/>
        <v>222.88528803887442</v>
      </c>
      <c r="P26" s="668">
        <f t="shared" si="6"/>
        <v>216457.6538822767</v>
      </c>
      <c r="Q26" s="698">
        <f t="shared" ref="Q26:Q31" si="7">VLOOKUP(Q$92,loads_summ,$B26+Q$93,FALSE)*$E$99</f>
        <v>0.83478703789820408</v>
      </c>
      <c r="R26" s="959">
        <f t="shared" ref="R26:U31" si="8">VLOOKUP(R$92,loads_summ,$B26+R$93,FALSE)</f>
        <v>9.0422481542314827E-3</v>
      </c>
      <c r="S26" s="703">
        <f t="shared" si="8"/>
        <v>2.8808234602842025E-2</v>
      </c>
      <c r="T26" s="703">
        <f t="shared" si="8"/>
        <v>0.17298581316782105</v>
      </c>
      <c r="U26" s="959">
        <f t="shared" si="8"/>
        <v>0.21083629592489456</v>
      </c>
      <c r="V26" s="979">
        <f t="shared" ref="V26:V31" si="9">VLOOKUP(V$92,loads_summ,$B26+V$93,FALSE)</f>
        <v>59.546971437750244</v>
      </c>
      <c r="W26" s="668">
        <f>C26</f>
        <v>222351.6538822767</v>
      </c>
      <c r="X26" s="667">
        <f>D26*Tmdl_TN</f>
        <v>64.959419679623679</v>
      </c>
      <c r="Y26" s="667">
        <f>D26*(1-Tmdl_TN)</f>
        <v>217.472839797001</v>
      </c>
      <c r="Z26" s="756">
        <f t="shared" ref="Z26:Z31" si="10">Y26/W26*mtonacft_mgl*$E$99</f>
        <v>0.7929246193407421</v>
      </c>
    </row>
    <row r="27" spans="1:26">
      <c r="A27" s="687" t="s">
        <v>203</v>
      </c>
      <c r="B27" s="955">
        <v>2</v>
      </c>
      <c r="C27" s="681">
        <f t="shared" si="0"/>
        <v>436972.92238569196</v>
      </c>
      <c r="D27" s="667">
        <f t="shared" si="0"/>
        <v>629.5347888603726</v>
      </c>
      <c r="E27" s="669">
        <f t="shared" si="1"/>
        <v>1.1679720484565255</v>
      </c>
      <c r="F27" s="666">
        <f t="shared" si="2"/>
        <v>16.120347665997656</v>
      </c>
      <c r="G27" s="667">
        <f t="shared" si="2"/>
        <v>613.41444119437494</v>
      </c>
      <c r="H27" s="668">
        <f t="shared" si="2"/>
        <v>436972.92238569196</v>
      </c>
      <c r="I27" s="669">
        <f t="shared" si="3"/>
        <v>1.1380640658978958</v>
      </c>
      <c r="J27" s="666">
        <f t="shared" si="4"/>
        <v>24.824757888751492</v>
      </c>
      <c r="K27" s="667">
        <f t="shared" si="4"/>
        <v>588.58968330562345</v>
      </c>
      <c r="L27" s="668">
        <f t="shared" si="4"/>
        <v>435972.92238569196</v>
      </c>
      <c r="M27" s="669">
        <f t="shared" si="5"/>
        <v>1.0945116026319424</v>
      </c>
      <c r="N27" s="666">
        <f t="shared" si="6"/>
        <v>90.469634834896965</v>
      </c>
      <c r="O27" s="667">
        <f t="shared" si="6"/>
        <v>498.12004847072649</v>
      </c>
      <c r="P27" s="668">
        <f t="shared" si="6"/>
        <v>432551.92238569196</v>
      </c>
      <c r="Q27" s="698">
        <f t="shared" si="7"/>
        <v>0.93360467145584647</v>
      </c>
      <c r="R27" s="959">
        <f t="shared" si="8"/>
        <v>2.5606762249279064E-2</v>
      </c>
      <c r="S27" s="703">
        <f t="shared" si="8"/>
        <v>3.943349649300714E-2</v>
      </c>
      <c r="T27" s="703">
        <f t="shared" si="8"/>
        <v>0.14370871385626099</v>
      </c>
      <c r="U27" s="959">
        <f t="shared" si="8"/>
        <v>0.20874897259854719</v>
      </c>
      <c r="V27" s="979">
        <f t="shared" si="9"/>
        <v>131.41474038964611</v>
      </c>
      <c r="W27" s="668">
        <f t="shared" ref="W27:W31" si="11">C27</f>
        <v>436972.92238569196</v>
      </c>
      <c r="X27" s="667">
        <f>D27*Tmdl_TN</f>
        <v>144.79300143788569</v>
      </c>
      <c r="Y27" s="667">
        <f>D27*(1-Tmdl_TN)</f>
        <v>484.74178742248694</v>
      </c>
      <c r="Z27" s="756">
        <f t="shared" si="10"/>
        <v>0.89933847731152472</v>
      </c>
    </row>
    <row r="28" spans="1:26">
      <c r="A28" s="687" t="s">
        <v>204</v>
      </c>
      <c r="B28" s="955">
        <v>3</v>
      </c>
      <c r="C28" s="681">
        <f t="shared" si="0"/>
        <v>592883.25223140384</v>
      </c>
      <c r="D28" s="667">
        <f t="shared" si="0"/>
        <v>957.86749900000109</v>
      </c>
      <c r="E28" s="669">
        <f t="shared" si="1"/>
        <v>1.3097955059772124</v>
      </c>
      <c r="F28" s="666">
        <f t="shared" si="2"/>
        <v>121.34746689185147</v>
      </c>
      <c r="G28" s="667">
        <f t="shared" si="2"/>
        <v>836.52003210814962</v>
      </c>
      <c r="H28" s="668">
        <f t="shared" si="2"/>
        <v>592268.25223140384</v>
      </c>
      <c r="I28" s="669">
        <f t="shared" si="3"/>
        <v>1.1450517976348811</v>
      </c>
      <c r="J28" s="666">
        <f t="shared" si="4"/>
        <v>42.45990993325313</v>
      </c>
      <c r="K28" s="667">
        <f t="shared" si="4"/>
        <v>794.06012217489649</v>
      </c>
      <c r="L28" s="668">
        <f t="shared" si="4"/>
        <v>592268.25223140384</v>
      </c>
      <c r="M28" s="669">
        <f t="shared" si="5"/>
        <v>1.0869314964701138</v>
      </c>
      <c r="N28" s="666">
        <f t="shared" si="6"/>
        <v>213.96027257630362</v>
      </c>
      <c r="O28" s="667">
        <f t="shared" si="6"/>
        <v>580.09984959859287</v>
      </c>
      <c r="P28" s="668">
        <f t="shared" si="6"/>
        <v>587868.25223140384</v>
      </c>
      <c r="Q28" s="698">
        <f t="shared" si="7"/>
        <v>0.80000000000000016</v>
      </c>
      <c r="R28" s="959">
        <f t="shared" si="8"/>
        <v>0.12668502378307683</v>
      </c>
      <c r="S28" s="703">
        <f t="shared" si="8"/>
        <v>4.432754005912156E-2</v>
      </c>
      <c r="T28" s="703">
        <f t="shared" si="8"/>
        <v>0.22337147131484766</v>
      </c>
      <c r="U28" s="959">
        <f t="shared" si="8"/>
        <v>0.39438403515704606</v>
      </c>
      <c r="V28" s="979">
        <f t="shared" si="9"/>
        <v>377.76764940140822</v>
      </c>
      <c r="W28" s="668">
        <f t="shared" si="11"/>
        <v>592883.25223140384</v>
      </c>
      <c r="X28" s="667">
        <f>D28*Tmdl_TN</f>
        <v>220.30952477000025</v>
      </c>
      <c r="Y28" s="667">
        <f>D28*(1-Tmdl_TN)</f>
        <v>737.55797423000081</v>
      </c>
      <c r="Z28" s="756">
        <f t="shared" si="10"/>
        <v>1.0085425396024534</v>
      </c>
    </row>
    <row r="29" spans="1:26">
      <c r="A29" s="687" t="s">
        <v>202</v>
      </c>
      <c r="B29" s="955">
        <v>4</v>
      </c>
      <c r="C29" s="681">
        <f t="shared" si="0"/>
        <v>304048.44256774255</v>
      </c>
      <c r="D29" s="667">
        <f t="shared" si="0"/>
        <v>508.66752665601132</v>
      </c>
      <c r="E29" s="669">
        <f t="shared" si="1"/>
        <v>1.3563084606842892</v>
      </c>
      <c r="F29" s="666">
        <f t="shared" si="2"/>
        <v>79.765747258721262</v>
      </c>
      <c r="G29" s="667">
        <f t="shared" si="2"/>
        <v>428.90177939729006</v>
      </c>
      <c r="H29" s="668">
        <f t="shared" si="2"/>
        <v>299038.44256774255</v>
      </c>
      <c r="I29" s="669">
        <f t="shared" si="3"/>
        <v>1.1627813749016025</v>
      </c>
      <c r="J29" s="666">
        <f t="shared" si="4"/>
        <v>64.359539002539464</v>
      </c>
      <c r="K29" s="667">
        <f t="shared" si="4"/>
        <v>364.54224039475059</v>
      </c>
      <c r="L29" s="668">
        <f t="shared" si="4"/>
        <v>298888.44256774255</v>
      </c>
      <c r="M29" s="669">
        <f t="shared" si="5"/>
        <v>0.98879435231014279</v>
      </c>
      <c r="N29" s="666">
        <f t="shared" si="6"/>
        <v>71.863206832997264</v>
      </c>
      <c r="O29" s="667">
        <f t="shared" si="6"/>
        <v>292.67903356175333</v>
      </c>
      <c r="P29" s="668">
        <f t="shared" si="6"/>
        <v>296598.44256774255</v>
      </c>
      <c r="Q29" s="698">
        <f t="shared" si="7"/>
        <v>0.80000000000000016</v>
      </c>
      <c r="R29" s="959">
        <f t="shared" si="8"/>
        <v>0.15681313053951487</v>
      </c>
      <c r="S29" s="703">
        <f t="shared" si="8"/>
        <v>0.12652574742806982</v>
      </c>
      <c r="T29" s="703">
        <f t="shared" si="8"/>
        <v>0.14127736304581337</v>
      </c>
      <c r="U29" s="959">
        <f t="shared" si="8"/>
        <v>0.42461624101339812</v>
      </c>
      <c r="V29" s="979">
        <f t="shared" si="9"/>
        <v>215.98849309425799</v>
      </c>
      <c r="W29" s="668">
        <f t="shared" si="11"/>
        <v>304048.44256774255</v>
      </c>
      <c r="X29" s="667">
        <f>D29*Tmdl_TN</f>
        <v>116.9935311308826</v>
      </c>
      <c r="Y29" s="667">
        <f>D29*(1-Tmdl_TN)</f>
        <v>391.6739955251287</v>
      </c>
      <c r="Z29" s="756">
        <f t="shared" si="10"/>
        <v>1.0443575147269029</v>
      </c>
    </row>
    <row r="30" spans="1:26">
      <c r="A30" s="687" t="s">
        <v>152</v>
      </c>
      <c r="B30" s="955">
        <v>5</v>
      </c>
      <c r="C30" s="681">
        <f t="shared" si="0"/>
        <v>63034.099834710752</v>
      </c>
      <c r="D30" s="667">
        <f t="shared" si="0"/>
        <v>157.62772899999999</v>
      </c>
      <c r="E30" s="669">
        <f t="shared" si="1"/>
        <v>2.0273293335279883</v>
      </c>
      <c r="F30" s="666">
        <f t="shared" si="2"/>
        <v>33.720337616486532</v>
      </c>
      <c r="G30" s="667">
        <f t="shared" si="2"/>
        <v>123.90739138351346</v>
      </c>
      <c r="H30" s="668">
        <f t="shared" si="2"/>
        <v>63034.099834710752</v>
      </c>
      <c r="I30" s="669">
        <f t="shared" si="3"/>
        <v>1.5936351477393291</v>
      </c>
      <c r="J30" s="666">
        <f t="shared" si="4"/>
        <v>7.4545974743895442</v>
      </c>
      <c r="K30" s="667">
        <f t="shared" si="4"/>
        <v>116.45279390912391</v>
      </c>
      <c r="L30" s="668">
        <f t="shared" si="4"/>
        <v>61586.099834710752</v>
      </c>
      <c r="M30" s="669">
        <f t="shared" si="5"/>
        <v>1.532972809273655</v>
      </c>
      <c r="N30" s="666">
        <f t="shared" si="6"/>
        <v>16.397046191506689</v>
      </c>
      <c r="O30" s="667">
        <f t="shared" si="6"/>
        <v>100.05574771761722</v>
      </c>
      <c r="P30" s="668">
        <f t="shared" si="6"/>
        <v>61556.099834710752</v>
      </c>
      <c r="Q30" s="698">
        <f t="shared" si="7"/>
        <v>1.3177656642802209</v>
      </c>
      <c r="R30" s="959">
        <f t="shared" si="8"/>
        <v>0.21392389416767232</v>
      </c>
      <c r="S30" s="703">
        <f t="shared" si="8"/>
        <v>4.7292424509837006E-2</v>
      </c>
      <c r="T30" s="703">
        <f t="shared" si="8"/>
        <v>0.10402386874143629</v>
      </c>
      <c r="U30" s="959">
        <f t="shared" si="8"/>
        <v>0.36524018741894559</v>
      </c>
      <c r="V30" s="979">
        <f t="shared" si="9"/>
        <v>57.571981282382765</v>
      </c>
      <c r="W30" s="668">
        <f t="shared" si="11"/>
        <v>63034.099834710752</v>
      </c>
      <c r="X30" s="667">
        <f>D30*Tmdl_TN</f>
        <v>36.254377669999997</v>
      </c>
      <c r="Y30" s="667">
        <f>D30*(1-Tmdl_TN)</f>
        <v>121.37335132999999</v>
      </c>
      <c r="Z30" s="756">
        <f t="shared" si="10"/>
        <v>1.5610435868165509</v>
      </c>
    </row>
    <row r="31" spans="1:26">
      <c r="A31" s="688" t="s">
        <v>205</v>
      </c>
      <c r="B31" s="955">
        <v>6</v>
      </c>
      <c r="C31" s="690">
        <f t="shared" si="0"/>
        <v>1619290.3709018258</v>
      </c>
      <c r="D31" s="693">
        <f t="shared" si="0"/>
        <v>2536.1298029930094</v>
      </c>
      <c r="E31" s="669">
        <f t="shared" si="1"/>
        <v>1.2697376143261829</v>
      </c>
      <c r="F31" s="695">
        <f t="shared" si="2"/>
        <v>253.50772201000484</v>
      </c>
      <c r="G31" s="693">
        <f t="shared" si="2"/>
        <v>2282.6220809830047</v>
      </c>
      <c r="H31" s="691">
        <f t="shared" si="2"/>
        <v>1613665.3709018258</v>
      </c>
      <c r="I31" s="669">
        <f t="shared" si="3"/>
        <v>1.1468002417718701</v>
      </c>
      <c r="J31" s="695">
        <f t="shared" si="4"/>
        <v>147.23517908934699</v>
      </c>
      <c r="K31" s="693">
        <f t="shared" si="4"/>
        <v>2135.386901893658</v>
      </c>
      <c r="L31" s="691">
        <f t="shared" si="4"/>
        <v>1611067.3709018258</v>
      </c>
      <c r="M31" s="669">
        <f t="shared" si="5"/>
        <v>1.0745586227361117</v>
      </c>
      <c r="N31" s="695">
        <f t="shared" si="6"/>
        <v>441.54693450609352</v>
      </c>
      <c r="O31" s="693">
        <f t="shared" si="6"/>
        <v>1693.8399673875642</v>
      </c>
      <c r="P31" s="691">
        <f t="shared" si="6"/>
        <v>1595032.3709018258</v>
      </c>
      <c r="Q31" s="698">
        <f t="shared" si="7"/>
        <v>0.86093450815255901</v>
      </c>
      <c r="R31" s="705">
        <f t="shared" si="8"/>
        <v>9.9958496489741228E-2</v>
      </c>
      <c r="S31" s="702">
        <f t="shared" si="8"/>
        <v>5.8055064419647459E-2</v>
      </c>
      <c r="T31" s="702">
        <f t="shared" si="8"/>
        <v>0.17410265593858903</v>
      </c>
      <c r="U31" s="705">
        <f t="shared" si="8"/>
        <v>0.33211621684797771</v>
      </c>
      <c r="V31" s="980">
        <f t="shared" si="9"/>
        <v>842.28983560544532</v>
      </c>
      <c r="W31" s="668">
        <f t="shared" si="11"/>
        <v>1619290.3709018258</v>
      </c>
      <c r="X31" s="692">
        <f>SUM(X26:X30)</f>
        <v>583.30985468839231</v>
      </c>
      <c r="Y31" s="692">
        <f>SUM(Y26:Y30)</f>
        <v>1952.8199483046174</v>
      </c>
      <c r="Z31" s="756">
        <f t="shared" si="10"/>
        <v>0.97769796303116097</v>
      </c>
    </row>
    <row r="32" spans="1:26">
      <c r="A32" s="688"/>
      <c r="B32" s="953"/>
      <c r="C32" s="690"/>
      <c r="D32" s="693"/>
      <c r="E32" s="694"/>
      <c r="F32" s="695"/>
      <c r="G32" s="693"/>
      <c r="H32" s="691"/>
      <c r="I32" s="694"/>
      <c r="J32" s="695"/>
      <c r="K32" s="693"/>
      <c r="L32" s="691"/>
      <c r="M32" s="694"/>
      <c r="N32" s="695"/>
      <c r="O32" s="693"/>
      <c r="P32" s="691"/>
      <c r="Q32" s="699"/>
      <c r="R32" s="705"/>
      <c r="S32" s="702"/>
      <c r="T32" s="702"/>
      <c r="U32" s="705"/>
      <c r="V32" s="980"/>
      <c r="W32" s="668"/>
      <c r="X32" s="65"/>
      <c r="Y32" s="65"/>
      <c r="Z32" s="756"/>
    </row>
    <row r="33" spans="1:26">
      <c r="A33" s="688" t="s">
        <v>818</v>
      </c>
      <c r="B33" s="953"/>
      <c r="C33" s="690"/>
      <c r="D33" s="693"/>
      <c r="E33" s="694"/>
      <c r="F33" s="695"/>
      <c r="G33" s="693"/>
      <c r="H33" s="691"/>
      <c r="I33" s="694"/>
      <c r="J33" s="695"/>
      <c r="K33" s="693"/>
      <c r="L33" s="691"/>
      <c r="M33" s="694"/>
      <c r="N33" s="695"/>
      <c r="O33" s="693"/>
      <c r="P33" s="691"/>
      <c r="Q33" s="699"/>
      <c r="R33" s="705"/>
      <c r="S33" s="702"/>
      <c r="T33" s="702"/>
      <c r="U33" s="705"/>
      <c r="V33" s="980"/>
      <c r="W33" s="668"/>
      <c r="X33" s="65"/>
      <c r="Y33" s="65"/>
      <c r="Z33" s="756"/>
    </row>
    <row r="34" spans="1:26">
      <c r="A34" s="687" t="s">
        <v>784</v>
      </c>
      <c r="B34" s="952"/>
      <c r="C34" s="1093">
        <f>SUM(C27:C30)</f>
        <v>1396938.7170195491</v>
      </c>
      <c r="D34" s="319">
        <f>SUM(D27:D30)</f>
        <v>2253.6975435163849</v>
      </c>
      <c r="E34" s="1094">
        <f>D34/C34*mtonacft_mgl*$E$99</f>
        <v>1.3079330618302851</v>
      </c>
      <c r="F34" s="670">
        <f>SUM(F27:F30)</f>
        <v>250.9538994330569</v>
      </c>
      <c r="G34" s="65">
        <f>SUM(G27:G30)</f>
        <v>2002.743644083328</v>
      </c>
      <c r="H34" s="671">
        <f>SUM(H27:H30)</f>
        <v>1391313.7170195491</v>
      </c>
      <c r="I34" s="669">
        <f>G34/H34*mtonacft_mgl*$E$99</f>
        <v>1.1669910791330387</v>
      </c>
      <c r="J34" s="670">
        <f>SUM(J27:J30)</f>
        <v>139.09880429893363</v>
      </c>
      <c r="K34" s="65">
        <f>SUM(K27:K30)</f>
        <v>1863.6448397843947</v>
      </c>
      <c r="L34" s="671">
        <f>SUM(L27:L30)</f>
        <v>1388715.7170195491</v>
      </c>
      <c r="M34" s="669">
        <f>K34/L34*mtonacft_mgl*$E$99</f>
        <v>1.0879703035221193</v>
      </c>
      <c r="N34" s="670">
        <f>SUM(N27:N30)</f>
        <v>392.69016043570457</v>
      </c>
      <c r="O34" s="65">
        <f>SUM(O27:O30)</f>
        <v>1470.9546793486898</v>
      </c>
      <c r="P34" s="671">
        <f>SUM(P27:P30)</f>
        <v>1378574.7170195491</v>
      </c>
      <c r="Q34" s="698">
        <f>O34/P34*mtonacft_mgl*$E$99</f>
        <v>0.865040067319095</v>
      </c>
      <c r="R34" s="706">
        <f>F34/$D34</f>
        <v>0.11135207568336794</v>
      </c>
      <c r="S34" s="525">
        <f>J34/$D34</f>
        <v>6.1720262640878341E-2</v>
      </c>
      <c r="T34" s="525">
        <f>N34/$D34</f>
        <v>0.17424261812124109</v>
      </c>
      <c r="U34" s="704">
        <f>SUM(R34:T34)</f>
        <v>0.34731495644548738</v>
      </c>
      <c r="V34" s="981">
        <f>SUM(V27:V30)</f>
        <v>782.74286416769507</v>
      </c>
      <c r="W34" s="318">
        <f>W27+W28+W29+W30</f>
        <v>1396938.7170195491</v>
      </c>
      <c r="X34" s="319">
        <f>X27+X28+X29+X30</f>
        <v>518.3504350087685</v>
      </c>
      <c r="Y34" s="319">
        <f>Y27+Y28+Y29+Y30</f>
        <v>1735.3471085076162</v>
      </c>
      <c r="Z34" s="1099">
        <f>Y34/W34*mtonacft_mgl*$E$99</f>
        <v>1.0071084576093194</v>
      </c>
    </row>
    <row r="35" spans="1:26">
      <c r="A35" s="687" t="s">
        <v>785</v>
      </c>
      <c r="B35" s="952"/>
      <c r="C35" s="1093">
        <f>SUM(C28:C30)</f>
        <v>959965.79463385709</v>
      </c>
      <c r="D35" s="319">
        <f>SUM(D28:D30)</f>
        <v>1624.1627546560123</v>
      </c>
      <c r="E35" s="1094">
        <f>D35/C35*mtonacft_mgl*$E$99</f>
        <v>1.3716428037563726</v>
      </c>
      <c r="F35" s="670">
        <f>SUM(F28:F30)</f>
        <v>234.83355176705925</v>
      </c>
      <c r="G35" s="65">
        <f>SUM(G28:G30)</f>
        <v>1389.329202888953</v>
      </c>
      <c r="H35" s="671">
        <f>SUM(H28:H30)</f>
        <v>954340.79463385709</v>
      </c>
      <c r="I35" s="669">
        <f>G35/H35*mtonacft_mgl*$E$99</f>
        <v>1.1802361605340697</v>
      </c>
      <c r="J35" s="670">
        <f>SUM(J28:J30)</f>
        <v>114.27404641018214</v>
      </c>
      <c r="K35" s="65">
        <f>SUM(K28:K30)</f>
        <v>1275.0551564787711</v>
      </c>
      <c r="L35" s="671">
        <f>SUM(L28:L30)</f>
        <v>952742.79463385709</v>
      </c>
      <c r="M35" s="669">
        <f>K35/L35*mtonacft_mgl*$E$99</f>
        <v>1.0849770200198239</v>
      </c>
      <c r="N35" s="670">
        <f>SUM(N28:N30)</f>
        <v>302.2205256008076</v>
      </c>
      <c r="O35" s="65">
        <f>SUM(O28:O30)</f>
        <v>972.83463087796338</v>
      </c>
      <c r="P35" s="671">
        <f>SUM(P28:P30)</f>
        <v>946022.79463385709</v>
      </c>
      <c r="Q35" s="698">
        <f>O35/P35*mtonacft_mgl*$E$99</f>
        <v>0.83369013421474059</v>
      </c>
      <c r="R35" s="706">
        <f>F35/$D35</f>
        <v>0.14458745042259977</v>
      </c>
      <c r="S35" s="525">
        <f>J35/$D35</f>
        <v>7.0358740885167428E-2</v>
      </c>
      <c r="T35" s="525">
        <f>N35/$D35</f>
        <v>0.18607773434923772</v>
      </c>
      <c r="U35" s="704">
        <f>SUM(R35:T35)</f>
        <v>0.40102392565700495</v>
      </c>
      <c r="V35" s="981">
        <f>SUM(V28:V30)</f>
        <v>651.32812377804896</v>
      </c>
      <c r="W35" s="318">
        <f>W28+W29+W30</f>
        <v>959965.79463385709</v>
      </c>
      <c r="X35" s="319">
        <f>X28+X29+X30</f>
        <v>373.55743357088284</v>
      </c>
      <c r="Y35" s="319">
        <f>Y28+Y29+Y30</f>
        <v>1250.6053210851296</v>
      </c>
      <c r="Z35" s="1099">
        <f>Y35/W35*mtonacft_mgl*$E$99</f>
        <v>1.0561649588924071</v>
      </c>
    </row>
    <row r="36" spans="1:26">
      <c r="A36" s="687" t="s">
        <v>786</v>
      </c>
      <c r="B36" s="952"/>
      <c r="C36" s="1093">
        <f>SUM(C26:C27)</f>
        <v>659324.57626796863</v>
      </c>
      <c r="D36" s="319">
        <f>SUM(D26:D27)</f>
        <v>911.96704833699732</v>
      </c>
      <c r="E36" s="1094">
        <f>D36/C36*mtonacft_mgl*$E$99</f>
        <v>1.121365325972554</v>
      </c>
      <c r="F36" s="670">
        <f>SUM(F26:F27)</f>
        <v>18.674170242945593</v>
      </c>
      <c r="G36" s="65">
        <f>SUM(G26:G27)</f>
        <v>893.29287809405173</v>
      </c>
      <c r="H36" s="671">
        <f>SUM(H26:H27)</f>
        <v>659324.57626796863</v>
      </c>
      <c r="I36" s="669">
        <f>G36/H36*mtonacft_mgl*$E$99</f>
        <v>1.0984033483002977</v>
      </c>
      <c r="J36" s="670">
        <f>SUM(J26:J27)</f>
        <v>32.961132679164848</v>
      </c>
      <c r="K36" s="65">
        <f>SUM(K26:K27)</f>
        <v>860.33174541488688</v>
      </c>
      <c r="L36" s="671">
        <f>SUM(L26:L27)</f>
        <v>658324.57626796863</v>
      </c>
      <c r="M36" s="669">
        <f>K36/L36*mtonacft_mgl*$E$99</f>
        <v>1.0594808733986034</v>
      </c>
      <c r="N36" s="670">
        <f>SUM(N26:N27)</f>
        <v>139.32640890528592</v>
      </c>
      <c r="O36" s="65">
        <f>SUM(O26:O27)</f>
        <v>721.00533650960097</v>
      </c>
      <c r="P36" s="671">
        <f>SUM(P26:P27)</f>
        <v>649009.57626796863</v>
      </c>
      <c r="Q36" s="698">
        <f>O36/P36*mtonacft_mgl*$E$99</f>
        <v>0.90064701735606456</v>
      </c>
      <c r="R36" s="706">
        <f>F36/$D36</f>
        <v>2.0476803714562463E-2</v>
      </c>
      <c r="S36" s="525">
        <f>J36/$D36</f>
        <v>3.6142898736605214E-2</v>
      </c>
      <c r="T36" s="525">
        <f>N36/$D36</f>
        <v>0.15277570517416428</v>
      </c>
      <c r="U36" s="704">
        <f>SUM(R36:T36)</f>
        <v>0.20939540762533196</v>
      </c>
      <c r="V36" s="981">
        <f>SUM(V26:V27)</f>
        <v>190.96171182739636</v>
      </c>
      <c r="W36" s="318">
        <f>W26+W27</f>
        <v>659324.57626796863</v>
      </c>
      <c r="X36" s="319">
        <f>X26+X27</f>
        <v>209.75242111750936</v>
      </c>
      <c r="Y36" s="319">
        <f>Y26+Y27</f>
        <v>702.21462721948797</v>
      </c>
      <c r="Z36" s="1099">
        <f>Y36/W36*mtonacft_mgl*$E$99</f>
        <v>0.86345130099886669</v>
      </c>
    </row>
    <row r="37" spans="1:26">
      <c r="A37" s="689"/>
      <c r="B37" s="9"/>
      <c r="C37" s="1093"/>
      <c r="D37" s="319"/>
      <c r="E37" s="1095"/>
      <c r="F37" s="670"/>
      <c r="G37" s="65"/>
      <c r="H37" s="671"/>
      <c r="I37" s="669"/>
      <c r="J37" s="670"/>
      <c r="K37" s="65"/>
      <c r="L37" s="671"/>
      <c r="M37" s="669"/>
      <c r="N37" s="670"/>
      <c r="O37" s="65"/>
      <c r="P37" s="671"/>
      <c r="Q37" s="698"/>
      <c r="R37" s="9"/>
      <c r="S37" s="4"/>
      <c r="T37" s="4"/>
      <c r="U37" s="983"/>
      <c r="V37" s="981"/>
      <c r="W37" s="318"/>
      <c r="X37" s="319"/>
      <c r="Y37" s="319"/>
      <c r="Z37" s="1099"/>
    </row>
    <row r="38" spans="1:26">
      <c r="A38" s="689" t="s">
        <v>802</v>
      </c>
      <c r="B38" s="9"/>
      <c r="C38" s="1093">
        <f>VLOOKUP(4,okee_dat,2,FALSE)</f>
        <v>861534.32528925652</v>
      </c>
      <c r="D38" s="319">
        <f>VLOOKUP(4,okee_dat,4,FALSE)</f>
        <v>1727.0932900000003</v>
      </c>
      <c r="E38" s="1094">
        <f>D38/C38*mtonacft_mgl*$E$99</f>
        <v>1.6252136171578822</v>
      </c>
      <c r="F38" s="670">
        <v>0</v>
      </c>
      <c r="G38" s="65">
        <f>VLOOKUP(4,okee_dat,4,FALSE)</f>
        <v>1727.0932900000003</v>
      </c>
      <c r="H38" s="671">
        <f>VLOOKUP(4,okee_dat,2,FALSE)</f>
        <v>861534.32528925652</v>
      </c>
      <c r="I38" s="669">
        <f>G38/H38*mtonacft_mgl*$E$99</f>
        <v>1.6252136171578822</v>
      </c>
      <c r="J38" s="670">
        <v>0</v>
      </c>
      <c r="K38" s="65">
        <f>VLOOKUP(4,okee_dat,4,FALSE)</f>
        <v>1727.0932900000003</v>
      </c>
      <c r="L38" s="671">
        <f>VLOOKUP(4,okee_dat,2,FALSE)</f>
        <v>861534.32528925652</v>
      </c>
      <c r="M38" s="669">
        <f>K38/L38*mtonacft_mgl*$E$99</f>
        <v>1.6252136171578822</v>
      </c>
      <c r="N38" s="670">
        <f>VLOOKUP(7,okee_dat,4,FALSE)</f>
        <v>509.79662786806557</v>
      </c>
      <c r="O38" s="65">
        <f>VLOOKUP(5,okee_dat,4,FALSE)</f>
        <v>1217.2966621319347</v>
      </c>
      <c r="P38" s="671">
        <f>VLOOKUP(5,okee_dat,2,FALSE)</f>
        <v>674700</v>
      </c>
      <c r="Q38" s="698">
        <f>O38/P38*mtonacft_mgl*$E$99</f>
        <v>1.462692255442094</v>
      </c>
      <c r="R38" s="706">
        <f>F38/$D38</f>
        <v>0</v>
      </c>
      <c r="S38" s="525">
        <f>J38/$D38</f>
        <v>0</v>
      </c>
      <c r="T38" s="525">
        <f>N38/$D38</f>
        <v>0.29517608042358007</v>
      </c>
      <c r="U38" s="704">
        <f>SUM(R38:T38)</f>
        <v>0.29517608042358007</v>
      </c>
      <c r="V38" s="981">
        <f>VLOOKUP(7,okee_dat,4,FALSE)</f>
        <v>509.79662786806557</v>
      </c>
      <c r="W38" s="318">
        <f>VLOOKUP(5,okee_dat,2,FALSE)</f>
        <v>674700</v>
      </c>
      <c r="X38" s="319">
        <f>VLOOKUP(7,okee_dat,4,FALSE)</f>
        <v>509.79662786806557</v>
      </c>
      <c r="Y38" s="319">
        <f>VLOOKUP(5,okee_dat,4,FALSE)</f>
        <v>1217.2966621319347</v>
      </c>
      <c r="Z38" s="1099">
        <f>Y38/W38*mtonacft_mgl*$E$99</f>
        <v>1.462692255442094</v>
      </c>
    </row>
    <row r="39" spans="1:26">
      <c r="A39" s="689"/>
      <c r="B39" s="9"/>
      <c r="C39" s="1093"/>
      <c r="D39" s="319"/>
      <c r="E39" s="1095"/>
      <c r="F39" s="670"/>
      <c r="G39" s="65"/>
      <c r="H39" s="671"/>
      <c r="I39" s="669"/>
      <c r="J39" s="670"/>
      <c r="K39" s="65"/>
      <c r="L39" s="671"/>
      <c r="M39" s="669"/>
      <c r="N39" s="670"/>
      <c r="O39" s="65"/>
      <c r="P39" s="671"/>
      <c r="Q39" s="698"/>
      <c r="R39" s="9"/>
      <c r="S39" s="4"/>
      <c r="T39" s="4"/>
      <c r="U39" s="983"/>
      <c r="V39" s="981"/>
      <c r="W39" s="318"/>
      <c r="X39" s="319"/>
      <c r="Y39" s="319"/>
      <c r="Z39" s="1099"/>
    </row>
    <row r="40" spans="1:26">
      <c r="A40" s="688" t="s">
        <v>783</v>
      </c>
      <c r="B40" s="953"/>
      <c r="C40" s="1093"/>
      <c r="D40" s="319"/>
      <c r="E40" s="1095"/>
      <c r="F40" s="670"/>
      <c r="G40" s="65"/>
      <c r="H40" s="671"/>
      <c r="I40" s="669"/>
      <c r="J40" s="670"/>
      <c r="K40" s="65"/>
      <c r="L40" s="671"/>
      <c r="M40" s="669"/>
      <c r="N40" s="670"/>
      <c r="O40" s="65"/>
      <c r="P40" s="671"/>
      <c r="Q40" s="698"/>
      <c r="R40" s="9"/>
      <c r="S40" s="4"/>
      <c r="T40" s="4"/>
      <c r="U40" s="983"/>
      <c r="V40" s="981"/>
      <c r="W40" s="318"/>
      <c r="X40" s="319"/>
      <c r="Y40" s="319"/>
      <c r="Z40" s="1099"/>
    </row>
    <row r="41" spans="1:26">
      <c r="A41" s="687" t="s">
        <v>827</v>
      </c>
      <c r="B41" s="952"/>
      <c r="C41" s="1093">
        <f>C38+C31</f>
        <v>2480824.6961910822</v>
      </c>
      <c r="D41" s="319">
        <f>D38+D31</f>
        <v>4263.2230929930101</v>
      </c>
      <c r="E41" s="1094">
        <f>D41/C41*mtonacft_mgl*$E$99</f>
        <v>1.3931863927611674</v>
      </c>
      <c r="F41" s="670">
        <f>F38+F31</f>
        <v>253.50772201000484</v>
      </c>
      <c r="G41" s="65">
        <f>G38+G31</f>
        <v>4009.715370983005</v>
      </c>
      <c r="H41" s="671">
        <f>H38+H31</f>
        <v>2475199.6961910822</v>
      </c>
      <c r="I41" s="669">
        <f>G41/H41*mtonacft_mgl*$E$99</f>
        <v>1.3133199553961097</v>
      </c>
      <c r="J41" s="670">
        <f>J38+J31</f>
        <v>147.23517908934699</v>
      </c>
      <c r="K41" s="65">
        <f>K38+K31</f>
        <v>3862.4801918936582</v>
      </c>
      <c r="L41" s="671">
        <f>L38+L31</f>
        <v>2472601.6961910822</v>
      </c>
      <c r="M41" s="669">
        <f>K41/L41*mtonacft_mgl*$E$99</f>
        <v>1.2664246154744976</v>
      </c>
      <c r="N41" s="670">
        <f>N38+N31</f>
        <v>951.34356237415909</v>
      </c>
      <c r="O41" s="65">
        <f>O38+O31</f>
        <v>2911.1366295194989</v>
      </c>
      <c r="P41" s="671">
        <f>P38+P31</f>
        <v>2269732.3709018258</v>
      </c>
      <c r="Q41" s="698">
        <f>O41/P41*mtonacft_mgl*$E$99</f>
        <v>1.0398128452205246</v>
      </c>
      <c r="R41" s="706">
        <f>F41/$D41</f>
        <v>5.9463864892894659E-2</v>
      </c>
      <c r="S41" s="525">
        <f>J41/$D41</f>
        <v>3.4536118771579472E-2</v>
      </c>
      <c r="T41" s="525">
        <f>N41/$D41</f>
        <v>0.22315125003375441</v>
      </c>
      <c r="U41" s="704">
        <f>SUM(R41:T41)</f>
        <v>0.31715123369822851</v>
      </c>
      <c r="V41" s="981">
        <f>V38+V31</f>
        <v>1352.0864634735108</v>
      </c>
      <c r="W41" s="318">
        <f>W38+W31</f>
        <v>2293990.3709018258</v>
      </c>
      <c r="X41" s="319">
        <f t="shared" ref="X41:Y41" si="12">X38+X31</f>
        <v>1093.1064825564579</v>
      </c>
      <c r="Y41" s="319">
        <f t="shared" si="12"/>
        <v>3170.116610436552</v>
      </c>
      <c r="Z41" s="1099">
        <f>Y41/W41*mtonacft_mgl*$E$99</f>
        <v>1.1203426982664775</v>
      </c>
    </row>
    <row r="42" spans="1:26">
      <c r="A42" s="687" t="s">
        <v>825</v>
      </c>
      <c r="B42" s="952"/>
      <c r="C42" s="1093">
        <f>C38+C34</f>
        <v>2258473.0423088055</v>
      </c>
      <c r="D42" s="319">
        <f>D38+D34</f>
        <v>3980.7908335163852</v>
      </c>
      <c r="E42" s="1094">
        <f>D42/C42*mtonacft_mgl*$E$99</f>
        <v>1.4289653185988325</v>
      </c>
      <c r="F42" s="670">
        <f>F38+F34</f>
        <v>250.9538994330569</v>
      </c>
      <c r="G42" s="65">
        <f>G38+G34</f>
        <v>3729.8369340833283</v>
      </c>
      <c r="H42" s="671">
        <f>H38+H34</f>
        <v>2252848.0423088055</v>
      </c>
      <c r="I42" s="669">
        <f>G42/H42*mtonacft_mgl*$E$99</f>
        <v>1.342224578115502</v>
      </c>
      <c r="J42" s="670">
        <f>J38+J34</f>
        <v>139.09880429893363</v>
      </c>
      <c r="K42" s="65">
        <f>K38+K34</f>
        <v>3590.7381297843949</v>
      </c>
      <c r="L42" s="671">
        <f>L38+L34</f>
        <v>2250250.0423088055</v>
      </c>
      <c r="M42" s="669">
        <f>K42/L42*mtonacft_mgl*$E$99</f>
        <v>1.2936601366637082</v>
      </c>
      <c r="N42" s="670">
        <f>N38+N34</f>
        <v>902.48678830377014</v>
      </c>
      <c r="O42" s="65">
        <f>O38+O34</f>
        <v>2688.2513414806244</v>
      </c>
      <c r="P42" s="671">
        <f>P38+P34</f>
        <v>2053274.7170195491</v>
      </c>
      <c r="Q42" s="698">
        <f>O42/P42*mtonacft_mgl*$E$99</f>
        <v>1.0614268089392853</v>
      </c>
      <c r="R42" s="706">
        <f>F42/$D42</f>
        <v>6.3041217167238026E-2</v>
      </c>
      <c r="S42" s="525">
        <f>J42/$D42</f>
        <v>3.4942505174546515E-2</v>
      </c>
      <c r="T42" s="525">
        <f>N42/$D42</f>
        <v>0.22671042665825497</v>
      </c>
      <c r="U42" s="704">
        <f>SUM(R42:T42)</f>
        <v>0.32469414900003951</v>
      </c>
      <c r="V42" s="981">
        <f>V38+V34</f>
        <v>1292.5394920357608</v>
      </c>
      <c r="W42" s="318">
        <f>W38+W34</f>
        <v>2071638.7170195491</v>
      </c>
      <c r="X42" s="319">
        <f t="shared" ref="X42:Y42" si="13">X38+X34</f>
        <v>1028.1470628768341</v>
      </c>
      <c r="Y42" s="319">
        <f t="shared" si="13"/>
        <v>2952.6437706395509</v>
      </c>
      <c r="Z42" s="1099">
        <f>Y42/W42*mtonacft_mgl*$E$99</f>
        <v>1.1554849027261598</v>
      </c>
    </row>
    <row r="43" spans="1:26">
      <c r="A43" s="729" t="s">
        <v>826</v>
      </c>
      <c r="B43" s="954"/>
      <c r="C43" s="1096">
        <f>C38+C35</f>
        <v>1821500.1199231136</v>
      </c>
      <c r="D43" s="1097">
        <f>D38+D35</f>
        <v>3351.2560446560128</v>
      </c>
      <c r="E43" s="1098">
        <f>D43/C43*mtonacft_mgl*$E$99</f>
        <v>1.4915768939315293</v>
      </c>
      <c r="F43" s="755">
        <f>F38+F35</f>
        <v>234.83355176705925</v>
      </c>
      <c r="G43" s="678">
        <f>G38+G35</f>
        <v>3116.4224928889535</v>
      </c>
      <c r="H43" s="679">
        <f>H38+H35</f>
        <v>1815875.1199231136</v>
      </c>
      <c r="I43" s="960">
        <f>G43/H43*mtonacft_mgl*$E$99</f>
        <v>1.3913538462467072</v>
      </c>
      <c r="J43" s="755">
        <f>J38+J35</f>
        <v>114.27404641018214</v>
      </c>
      <c r="K43" s="678">
        <f>K38+K35</f>
        <v>3002.1484464787713</v>
      </c>
      <c r="L43" s="679">
        <f>L38+L35</f>
        <v>1814277.1199231136</v>
      </c>
      <c r="M43" s="960">
        <f>K43/L43*mtonacft_mgl*$E$99</f>
        <v>1.3415157632475536</v>
      </c>
      <c r="N43" s="755">
        <f>N38+N35</f>
        <v>812.01715346887318</v>
      </c>
      <c r="O43" s="678">
        <f>O38+O35</f>
        <v>2190.1312930098979</v>
      </c>
      <c r="P43" s="679">
        <f>P38+P35</f>
        <v>1620722.794633857</v>
      </c>
      <c r="Q43" s="844">
        <f>O43/P43*mtonacft_mgl*$E$99</f>
        <v>1.0955410396238734</v>
      </c>
      <c r="R43" s="707">
        <f>F43/$D43</f>
        <v>7.0073294501484015E-2</v>
      </c>
      <c r="S43" s="841">
        <f>J43/$D43</f>
        <v>3.409887065848223E-2</v>
      </c>
      <c r="T43" s="841">
        <f>N43/$D43</f>
        <v>0.24230233161794179</v>
      </c>
      <c r="U43" s="984">
        <f>SUM(R43:T43)</f>
        <v>0.34647449677790804</v>
      </c>
      <c r="V43" s="982">
        <f>V38+V35</f>
        <v>1161.1247516461144</v>
      </c>
      <c r="W43" s="1100">
        <f>W38+W35</f>
        <v>1634665.794633857</v>
      </c>
      <c r="X43" s="1097">
        <f t="shared" ref="X43:Y43" si="14">X38+X35</f>
        <v>883.35406143894841</v>
      </c>
      <c r="Y43" s="1097">
        <f t="shared" si="14"/>
        <v>2467.9019832170643</v>
      </c>
      <c r="Z43" s="1101">
        <f>Y43/W43*mtonacft_mgl*$E$99</f>
        <v>1.2239570347298474</v>
      </c>
    </row>
    <row r="44" spans="1:26">
      <c r="A44" s="417"/>
      <c r="B44" s="417"/>
      <c r="C44" s="671"/>
      <c r="D44" s="65"/>
      <c r="E44" s="698"/>
      <c r="F44" s="65"/>
      <c r="G44" s="65"/>
      <c r="H44" s="671"/>
      <c r="I44" s="700"/>
      <c r="J44" s="700"/>
      <c r="K44" s="700"/>
      <c r="L44" s="700"/>
      <c r="M44" s="700"/>
      <c r="N44" s="65"/>
      <c r="O44" s="65"/>
      <c r="P44" s="671"/>
      <c r="Q44" s="700"/>
      <c r="R44" s="525"/>
      <c r="S44" s="525"/>
      <c r="T44" s="703"/>
      <c r="U44" s="703"/>
      <c r="V44" s="524"/>
    </row>
    <row r="45" spans="1:26">
      <c r="A45" s="417"/>
      <c r="B45" s="417"/>
      <c r="C45" s="671"/>
      <c r="D45" s="65"/>
      <c r="E45" s="698"/>
      <c r="F45" s="65"/>
      <c r="G45" s="65"/>
      <c r="H45" s="671"/>
      <c r="I45" s="700"/>
      <c r="J45" s="700"/>
      <c r="K45" s="700"/>
      <c r="L45" s="700"/>
      <c r="M45" s="700"/>
      <c r="N45" s="65"/>
      <c r="O45" s="65"/>
      <c r="P45" s="671"/>
      <c r="Q45" s="700"/>
      <c r="R45" s="525"/>
      <c r="S45" s="525"/>
      <c r="T45" s="703"/>
      <c r="U45" s="703"/>
      <c r="V45" s="524"/>
    </row>
    <row r="46" spans="1:26">
      <c r="A46" s="417"/>
      <c r="B46" s="417"/>
      <c r="C46" s="671"/>
      <c r="D46" s="65"/>
      <c r="E46" s="698"/>
      <c r="F46" s="65"/>
      <c r="G46" s="65"/>
      <c r="H46" s="671"/>
      <c r="I46" s="700"/>
      <c r="J46" s="700"/>
      <c r="K46" s="700"/>
      <c r="L46" s="700"/>
      <c r="M46" s="700"/>
      <c r="N46" s="65"/>
      <c r="O46" s="65"/>
      <c r="P46" s="671"/>
      <c r="Q46" s="700"/>
      <c r="R46" s="525"/>
      <c r="S46" s="525"/>
      <c r="T46" s="703"/>
      <c r="U46" s="703"/>
      <c r="V46" s="524"/>
    </row>
    <row r="47" spans="1:26">
      <c r="A47" s="961" t="s">
        <v>840</v>
      </c>
      <c r="B47" s="969"/>
      <c r="C47" s="962"/>
      <c r="D47" s="963"/>
      <c r="E47" s="963"/>
      <c r="F47" s="963"/>
      <c r="G47" s="963"/>
      <c r="H47" s="963"/>
      <c r="I47" s="963"/>
      <c r="J47" s="963"/>
      <c r="K47" s="963"/>
      <c r="L47" s="963"/>
      <c r="M47" s="963"/>
      <c r="N47" s="963"/>
      <c r="O47" s="963"/>
      <c r="P47" s="963"/>
      <c r="Q47" s="963"/>
      <c r="R47" s="963"/>
      <c r="S47" s="963"/>
      <c r="T47" s="963"/>
      <c r="U47" s="963"/>
      <c r="V47" s="964"/>
    </row>
    <row r="49" spans="1:22">
      <c r="C49" s="1423" t="s">
        <v>819</v>
      </c>
      <c r="D49" s="1424"/>
      <c r="E49" s="1425"/>
      <c r="F49" s="1399" t="s">
        <v>762</v>
      </c>
      <c r="G49" s="1400"/>
      <c r="H49" s="1400"/>
      <c r="I49" s="1401"/>
      <c r="J49" s="1405" t="s">
        <v>976</v>
      </c>
      <c r="K49" s="1406"/>
      <c r="L49" s="1406"/>
      <c r="M49" s="1407"/>
      <c r="N49" s="1402" t="s">
        <v>1110</v>
      </c>
      <c r="O49" s="1403"/>
      <c r="P49" s="1403"/>
      <c r="Q49" s="1404"/>
      <c r="R49" s="1426" t="s">
        <v>809</v>
      </c>
      <c r="S49" s="1427"/>
      <c r="T49" s="1427"/>
      <c r="U49" s="1427"/>
      <c r="V49" s="1428"/>
    </row>
    <row r="50" spans="1:22" s="396" customFormat="1" ht="30" customHeight="1">
      <c r="C50" s="1412" t="s">
        <v>797</v>
      </c>
      <c r="D50" s="1413"/>
      <c r="E50" s="1414"/>
      <c r="F50" s="1417" t="str">
        <f xml:space="preserve"> "Summary of " &amp; $C$100 &amp; " Reductions for Current Phase"</f>
        <v>Summary of TP Reductions for Current Phase</v>
      </c>
      <c r="G50" s="1418"/>
      <c r="H50" s="1418"/>
      <c r="I50" s="1419"/>
      <c r="J50" s="1408" t="str">
        <f xml:space="preserve"> "Summary of " &amp; $C$100 &amp; " Reductions for Near-Term Phase"</f>
        <v>Summary of TP Reductions for Near-Term Phase</v>
      </c>
      <c r="K50" s="1408"/>
      <c r="L50" s="1408"/>
      <c r="M50" s="1408"/>
      <c r="N50" s="1420" t="str">
        <f xml:space="preserve"> "Summary of " &amp; $C$100 &amp; " Reductions for Long-Term Phase"</f>
        <v>Summary of TP Reductions for Long-Term Phase</v>
      </c>
      <c r="O50" s="1421"/>
      <c r="P50" s="1421"/>
      <c r="Q50" s="1422"/>
      <c r="R50" s="1410" t="str">
        <f xml:space="preserve"> "Overall " &amp; $C$100 &amp; " Load Reduction as a percentage of Baseline Load"</f>
        <v>Overall TP Load Reduction as a percentage of Baseline Load</v>
      </c>
      <c r="S50" s="1411"/>
      <c r="T50" s="1411"/>
      <c r="U50" s="1409" t="str">
        <f xml:space="preserve"> "Overall " &amp; $C$100 &amp; " Load Reduction, All Phases"</f>
        <v>Overall TP Load Reduction, All Phases</v>
      </c>
      <c r="V50" s="1409"/>
    </row>
    <row r="51" spans="1:22" s="396" customFormat="1" ht="60">
      <c r="A51" s="732" t="s">
        <v>788</v>
      </c>
      <c r="B51" s="732"/>
      <c r="C51" s="734" t="s">
        <v>488</v>
      </c>
      <c r="D51" s="734" t="str">
        <f xml:space="preserve"> $C$100 &amp; " Load, in mton/yr"</f>
        <v>TP Load, in mton/yr</v>
      </c>
      <c r="E51" s="734" t="str">
        <f>$C$100 &amp; " Conc., in " &amp; $F$100</f>
        <v>TP Conc., in ppb</v>
      </c>
      <c r="F51" s="734" t="str">
        <f xml:space="preserve"> $C$100 &amp; " Total Reduction, in mton/yr"</f>
        <v>TP Total Reduction, in mton/yr</v>
      </c>
      <c r="G51" s="734" t="str">
        <f>$C$100 &amp; " Remaining Load, in mton/yr"</f>
        <v>TP Remaining Load, in mton/yr</v>
      </c>
      <c r="H51" s="734" t="s">
        <v>807</v>
      </c>
      <c r="I51" s="734" t="str">
        <f>$C$100 &amp; " Conc., in " &amp; $F$100</f>
        <v>TP Conc., in ppb</v>
      </c>
      <c r="J51" s="734" t="str">
        <f xml:space="preserve"> $C$100 &amp; " Total Reduction, in mton/yr"</f>
        <v>TP Total Reduction, in mton/yr</v>
      </c>
      <c r="K51" s="734" t="str">
        <f>$C$100 &amp; " Remaining Load, in mton/yr"</f>
        <v>TP Remaining Load, in mton/yr</v>
      </c>
      <c r="L51" s="734" t="s">
        <v>807</v>
      </c>
      <c r="M51" s="734" t="str">
        <f>$C$100 &amp; " Conc., in " &amp; $F$100</f>
        <v>TP Conc., in ppb</v>
      </c>
      <c r="N51" s="734" t="str">
        <f xml:space="preserve"> $C$100 &amp; " Total Reduction, in mton/yr"</f>
        <v>TP Total Reduction, in mton/yr</v>
      </c>
      <c r="O51" s="734" t="str">
        <f>$C$100 &amp; " Remaining Load, in mton/yr"</f>
        <v>TP Remaining Load, in mton/yr</v>
      </c>
      <c r="P51" s="734" t="s">
        <v>807</v>
      </c>
      <c r="Q51" s="734" t="str">
        <f>$C$100 &amp; " Conc., in " &amp; $F$100</f>
        <v>TP Conc., in ppb</v>
      </c>
      <c r="R51" s="734" t="s">
        <v>808</v>
      </c>
      <c r="S51" s="734" t="s">
        <v>987</v>
      </c>
      <c r="T51" s="734" t="s">
        <v>1168</v>
      </c>
      <c r="U51" s="734" t="s">
        <v>988</v>
      </c>
      <c r="V51" s="734" t="s">
        <v>1038</v>
      </c>
    </row>
    <row r="52" spans="1:22">
      <c r="A52" s="686" t="s">
        <v>782</v>
      </c>
      <c r="B52" s="951"/>
      <c r="C52" s="6"/>
      <c r="D52" s="7"/>
      <c r="E52" s="8"/>
      <c r="F52" s="6"/>
      <c r="G52" s="7"/>
      <c r="H52" s="7"/>
      <c r="I52" s="8"/>
      <c r="J52" s="6"/>
      <c r="K52" s="7"/>
      <c r="L52" s="7"/>
      <c r="M52" s="8"/>
      <c r="N52" s="6"/>
      <c r="O52" s="7"/>
      <c r="P52" s="7"/>
      <c r="Q52" s="7"/>
      <c r="R52" s="6"/>
      <c r="S52" s="7"/>
      <c r="T52" s="7"/>
      <c r="U52" s="6"/>
      <c r="V52" s="8"/>
    </row>
    <row r="53" spans="1:22">
      <c r="A53" s="687" t="s">
        <v>150</v>
      </c>
      <c r="B53" s="955">
        <v>1</v>
      </c>
      <c r="C53" s="681">
        <f t="shared" ref="C53:D58" si="15">VLOOKUP(C$92,loads_summ,$B53+C$94,FALSE)</f>
        <v>222351.6538822767</v>
      </c>
      <c r="D53" s="667">
        <f t="shared" si="15"/>
        <v>29.651060564799756</v>
      </c>
      <c r="E53" s="708">
        <f t="shared" ref="E53:E58" si="16">VLOOKUP(E$92,loads_summ,$B53+E$94,FALSE)*$E$100</f>
        <v>108.1103090084234</v>
      </c>
      <c r="F53" s="666">
        <f t="shared" ref="F53:H58" si="17">VLOOKUP(F$92,loads_summ,$B53+F$94,FALSE)</f>
        <v>0.11166686025765671</v>
      </c>
      <c r="G53" s="667">
        <f t="shared" si="17"/>
        <v>29.5393937045421</v>
      </c>
      <c r="H53" s="668">
        <f t="shared" si="17"/>
        <v>222351.6538822767</v>
      </c>
      <c r="I53" s="708">
        <f t="shared" ref="I53:I58" si="18">VLOOKUP(I$92,loads_summ,$B53+I$94,FALSE)*$E$100</f>
        <v>107.70316206195675</v>
      </c>
      <c r="J53" s="666">
        <f t="shared" ref="J53:L58" si="19">VLOOKUP(J$92,loads_summ,$B53+J$94,FALSE)</f>
        <v>1.2198042447853474</v>
      </c>
      <c r="K53" s="667">
        <f t="shared" si="19"/>
        <v>28.319589459756752</v>
      </c>
      <c r="L53" s="668">
        <f t="shared" si="19"/>
        <v>222351.6538822767</v>
      </c>
      <c r="M53" s="708">
        <f t="shared" ref="M53:M58" si="20">VLOOKUP(M$92,loads_summ,$B53+M$94,FALSE)*$E$100</f>
        <v>103.25565120326982</v>
      </c>
      <c r="N53" s="666">
        <f t="shared" ref="N53:P58" si="21">VLOOKUP(N$92,loads_summ,$B53+N$94,FALSE)</f>
        <v>6.9598626868018947</v>
      </c>
      <c r="O53" s="667">
        <f t="shared" si="21"/>
        <v>21.359726772954858</v>
      </c>
      <c r="P53" s="668">
        <f t="shared" si="21"/>
        <v>216457.6538822767</v>
      </c>
      <c r="Q53" s="714">
        <f t="shared" ref="Q53:Q58" si="22">VLOOKUP(Q$92,loads_summ,$B53+Q$94,FALSE)*$E$100</f>
        <v>80</v>
      </c>
      <c r="R53" s="959">
        <f t="shared" ref="R53:V58" si="23">VLOOKUP(R$92,loads_summ,$B53+R$94,FALSE)</f>
        <v>3.7660325846901399E-3</v>
      </c>
      <c r="S53" s="703">
        <f t="shared" si="23"/>
        <v>4.1138637928973022E-2</v>
      </c>
      <c r="T53" s="703">
        <f t="shared" si="23"/>
        <v>0.23472559005408031</v>
      </c>
      <c r="U53" s="959">
        <f t="shared" si="23"/>
        <v>0.27963026056774348</v>
      </c>
      <c r="V53" s="979">
        <f t="shared" si="23"/>
        <v>8.2913337918448988</v>
      </c>
    </row>
    <row r="54" spans="1:22">
      <c r="A54" s="687" t="s">
        <v>203</v>
      </c>
      <c r="B54" s="955">
        <v>2</v>
      </c>
      <c r="C54" s="681">
        <f t="shared" si="15"/>
        <v>436972.92238569196</v>
      </c>
      <c r="D54" s="667">
        <f t="shared" si="15"/>
        <v>93.663108536234503</v>
      </c>
      <c r="E54" s="708">
        <f t="shared" si="16"/>
        <v>173.77259315550725</v>
      </c>
      <c r="F54" s="666">
        <f t="shared" si="17"/>
        <v>2.7961137635228113</v>
      </c>
      <c r="G54" s="667">
        <f t="shared" si="17"/>
        <v>90.866994772711692</v>
      </c>
      <c r="H54" s="668">
        <f t="shared" si="17"/>
        <v>436972.92238569196</v>
      </c>
      <c r="I54" s="708">
        <f t="shared" si="18"/>
        <v>168.58498036922873</v>
      </c>
      <c r="J54" s="666">
        <f t="shared" si="19"/>
        <v>4.660094247385743</v>
      </c>
      <c r="K54" s="667">
        <f t="shared" si="19"/>
        <v>86.206900525325949</v>
      </c>
      <c r="L54" s="668">
        <f t="shared" si="19"/>
        <v>435972.92238569196</v>
      </c>
      <c r="M54" s="708">
        <f t="shared" si="20"/>
        <v>160.30599164089267</v>
      </c>
      <c r="N54" s="666">
        <f t="shared" si="21"/>
        <v>16.859770181865628</v>
      </c>
      <c r="O54" s="667">
        <f t="shared" si="21"/>
        <v>69.347130343460321</v>
      </c>
      <c r="P54" s="668">
        <f t="shared" si="21"/>
        <v>432551.92238569196</v>
      </c>
      <c r="Q54" s="714">
        <f t="shared" si="22"/>
        <v>129.97430045122312</v>
      </c>
      <c r="R54" s="959">
        <f t="shared" si="23"/>
        <v>2.9852882391161583E-2</v>
      </c>
      <c r="S54" s="703">
        <f t="shared" si="23"/>
        <v>4.975378588447061E-2</v>
      </c>
      <c r="T54" s="703">
        <f t="shared" si="23"/>
        <v>0.180004384280533</v>
      </c>
      <c r="U54" s="959">
        <f t="shared" si="23"/>
        <v>0.25961105255616518</v>
      </c>
      <c r="V54" s="979">
        <f t="shared" si="23"/>
        <v>24.315978192774182</v>
      </c>
    </row>
    <row r="55" spans="1:22">
      <c r="A55" s="687" t="s">
        <v>204</v>
      </c>
      <c r="B55" s="955">
        <v>3</v>
      </c>
      <c r="C55" s="681">
        <f t="shared" si="15"/>
        <v>592883.25223140384</v>
      </c>
      <c r="D55" s="667">
        <f t="shared" si="15"/>
        <v>108.05345510000004</v>
      </c>
      <c r="E55" s="708">
        <f t="shared" si="16"/>
        <v>147.75313917952485</v>
      </c>
      <c r="F55" s="666">
        <f t="shared" si="17"/>
        <v>17.045928729666741</v>
      </c>
      <c r="G55" s="667">
        <f t="shared" si="17"/>
        <v>91.007526370333295</v>
      </c>
      <c r="H55" s="668">
        <f t="shared" si="17"/>
        <v>592268.25223140384</v>
      </c>
      <c r="I55" s="708">
        <f t="shared" si="18"/>
        <v>124.57362366569292</v>
      </c>
      <c r="J55" s="666">
        <f t="shared" si="19"/>
        <v>6.2540685313659878</v>
      </c>
      <c r="K55" s="667">
        <f t="shared" si="19"/>
        <v>84.753457838967307</v>
      </c>
      <c r="L55" s="668">
        <f t="shared" si="19"/>
        <v>592268.25223140384</v>
      </c>
      <c r="M55" s="708">
        <f t="shared" si="20"/>
        <v>116.01288137680233</v>
      </c>
      <c r="N55" s="666">
        <f t="shared" si="21"/>
        <v>26.743472879108026</v>
      </c>
      <c r="O55" s="667">
        <f t="shared" si="21"/>
        <v>58.009984959859281</v>
      </c>
      <c r="P55" s="668">
        <f t="shared" si="21"/>
        <v>587868.25223140384</v>
      </c>
      <c r="Q55" s="714">
        <f t="shared" si="22"/>
        <v>80.000000000000014</v>
      </c>
      <c r="R55" s="959">
        <f t="shared" si="23"/>
        <v>0.15775459205715611</v>
      </c>
      <c r="S55" s="703">
        <f t="shared" si="23"/>
        <v>5.7879394282931963E-2</v>
      </c>
      <c r="T55" s="703">
        <f t="shared" si="23"/>
        <v>0.24750224649788194</v>
      </c>
      <c r="U55" s="959">
        <f t="shared" si="23"/>
        <v>0.46313623283797001</v>
      </c>
      <c r="V55" s="979">
        <f t="shared" si="23"/>
        <v>50.043470140140755</v>
      </c>
    </row>
    <row r="56" spans="1:22">
      <c r="A56" s="687" t="s">
        <v>202</v>
      </c>
      <c r="B56" s="955">
        <v>4</v>
      </c>
      <c r="C56" s="681">
        <f t="shared" si="15"/>
        <v>304048.44256774255</v>
      </c>
      <c r="D56" s="667">
        <f t="shared" si="15"/>
        <v>49.563984774778426</v>
      </c>
      <c r="E56" s="708">
        <f t="shared" si="16"/>
        <v>132.15715250625749</v>
      </c>
      <c r="F56" s="666">
        <f t="shared" si="17"/>
        <v>8.7547351830186173</v>
      </c>
      <c r="G56" s="667">
        <f t="shared" si="17"/>
        <v>40.809249591759809</v>
      </c>
      <c r="H56" s="668">
        <f t="shared" si="17"/>
        <v>299038.44256774255</v>
      </c>
      <c r="I56" s="708">
        <f t="shared" si="18"/>
        <v>110.6366017312656</v>
      </c>
      <c r="J56" s="666">
        <f t="shared" si="19"/>
        <v>11.315372362945773</v>
      </c>
      <c r="K56" s="667">
        <f t="shared" si="19"/>
        <v>29.493877228814036</v>
      </c>
      <c r="L56" s="668">
        <f t="shared" si="19"/>
        <v>298888.44256774255</v>
      </c>
      <c r="M56" s="708">
        <f t="shared" si="20"/>
        <v>80</v>
      </c>
      <c r="N56" s="666">
        <f t="shared" si="21"/>
        <v>0.22597387263870417</v>
      </c>
      <c r="O56" s="667">
        <f t="shared" si="21"/>
        <v>29.267903356175331</v>
      </c>
      <c r="P56" s="668">
        <f t="shared" si="21"/>
        <v>296598.44256774255</v>
      </c>
      <c r="Q56" s="714">
        <f t="shared" si="22"/>
        <v>80</v>
      </c>
      <c r="R56" s="959">
        <f t="shared" si="23"/>
        <v>0.17663501477535823</v>
      </c>
      <c r="S56" s="703">
        <f t="shared" si="23"/>
        <v>0.22829827775880956</v>
      </c>
      <c r="T56" s="703">
        <f t="shared" si="23"/>
        <v>4.5592353735387165E-3</v>
      </c>
      <c r="U56" s="959">
        <f t="shared" si="23"/>
        <v>0.40949252790770646</v>
      </c>
      <c r="V56" s="979">
        <f t="shared" si="23"/>
        <v>20.296081418603094</v>
      </c>
    </row>
    <row r="57" spans="1:22">
      <c r="A57" s="687" t="s">
        <v>152</v>
      </c>
      <c r="B57" s="955">
        <v>5</v>
      </c>
      <c r="C57" s="681">
        <f t="shared" si="15"/>
        <v>63034.099834710752</v>
      </c>
      <c r="D57" s="667">
        <f t="shared" si="15"/>
        <v>9.7744972000000026</v>
      </c>
      <c r="E57" s="708">
        <f t="shared" si="16"/>
        <v>125.7147141544315</v>
      </c>
      <c r="F57" s="666">
        <f t="shared" si="17"/>
        <v>1.6228751720356893</v>
      </c>
      <c r="G57" s="667">
        <f t="shared" si="17"/>
        <v>8.1516220279643132</v>
      </c>
      <c r="H57" s="668">
        <f t="shared" si="17"/>
        <v>63034.099834710752</v>
      </c>
      <c r="I57" s="708">
        <f t="shared" si="18"/>
        <v>104.84210207155213</v>
      </c>
      <c r="J57" s="666">
        <f t="shared" si="19"/>
        <v>0.53579442866389737</v>
      </c>
      <c r="K57" s="667">
        <f t="shared" si="19"/>
        <v>7.6158275993004159</v>
      </c>
      <c r="L57" s="668">
        <f t="shared" si="19"/>
        <v>61586.099834710752</v>
      </c>
      <c r="M57" s="708">
        <f t="shared" si="20"/>
        <v>100.25398479450897</v>
      </c>
      <c r="N57" s="666">
        <f t="shared" si="21"/>
        <v>1.5415611083902068</v>
      </c>
      <c r="O57" s="667">
        <f t="shared" si="21"/>
        <v>6.0742664909102091</v>
      </c>
      <c r="P57" s="668">
        <f t="shared" si="21"/>
        <v>61556.099834710752</v>
      </c>
      <c r="Q57" s="714">
        <f t="shared" si="22"/>
        <v>80.000000000000014</v>
      </c>
      <c r="R57" s="959">
        <f t="shared" si="23"/>
        <v>0.16603157572500904</v>
      </c>
      <c r="S57" s="703">
        <f t="shared" si="23"/>
        <v>5.4815548841110437E-2</v>
      </c>
      <c r="T57" s="703">
        <f t="shared" si="23"/>
        <v>0.15771257353168061</v>
      </c>
      <c r="U57" s="959">
        <f t="shared" si="23"/>
        <v>0.3785596980978001</v>
      </c>
      <c r="V57" s="979">
        <f t="shared" si="23"/>
        <v>3.7002307090897935</v>
      </c>
    </row>
    <row r="58" spans="1:22">
      <c r="A58" s="688" t="s">
        <v>205</v>
      </c>
      <c r="B58" s="955">
        <v>6</v>
      </c>
      <c r="C58" s="690">
        <f t="shared" si="15"/>
        <v>1619290.3709018258</v>
      </c>
      <c r="D58" s="693">
        <f t="shared" si="15"/>
        <v>290.70610617581258</v>
      </c>
      <c r="E58" s="708">
        <f t="shared" si="16"/>
        <v>145.54478926516828</v>
      </c>
      <c r="F58" s="695">
        <f t="shared" si="17"/>
        <v>30.331319708501518</v>
      </c>
      <c r="G58" s="693">
        <f t="shared" si="17"/>
        <v>260.3747864673112</v>
      </c>
      <c r="H58" s="691">
        <f t="shared" si="17"/>
        <v>1613665.3709018258</v>
      </c>
      <c r="I58" s="708">
        <f t="shared" si="18"/>
        <v>130.81353701065626</v>
      </c>
      <c r="J58" s="695">
        <f t="shared" si="19"/>
        <v>23.985133815146749</v>
      </c>
      <c r="K58" s="693">
        <f t="shared" si="19"/>
        <v>236.38965265216444</v>
      </c>
      <c r="L58" s="691">
        <f t="shared" si="19"/>
        <v>1611067.3709018258</v>
      </c>
      <c r="M58" s="708">
        <f t="shared" si="20"/>
        <v>118.95480831024949</v>
      </c>
      <c r="N58" s="695">
        <f t="shared" si="21"/>
        <v>52.330640728804461</v>
      </c>
      <c r="O58" s="693">
        <f t="shared" si="21"/>
        <v>184.05901192336003</v>
      </c>
      <c r="P58" s="691">
        <f t="shared" si="21"/>
        <v>1595032.3709018258</v>
      </c>
      <c r="Q58" s="714">
        <f t="shared" si="22"/>
        <v>93.552376819684767</v>
      </c>
      <c r="R58" s="705">
        <f t="shared" si="23"/>
        <v>0.10433671348532944</v>
      </c>
      <c r="S58" s="702">
        <f t="shared" si="23"/>
        <v>8.2506467203826372E-2</v>
      </c>
      <c r="T58" s="702">
        <f t="shared" si="23"/>
        <v>0.18001218280965883</v>
      </c>
      <c r="U58" s="705">
        <f t="shared" si="23"/>
        <v>0.36685536349881465</v>
      </c>
      <c r="V58" s="980">
        <f t="shared" si="23"/>
        <v>106.64709425245273</v>
      </c>
    </row>
    <row r="59" spans="1:22">
      <c r="A59" s="688"/>
      <c r="B59" s="953"/>
      <c r="C59" s="690"/>
      <c r="D59" s="693"/>
      <c r="E59" s="709"/>
      <c r="F59" s="695"/>
      <c r="G59" s="693"/>
      <c r="H59" s="691"/>
      <c r="I59" s="708"/>
      <c r="J59" s="958"/>
      <c r="K59" s="714"/>
      <c r="L59" s="714"/>
      <c r="M59" s="708"/>
      <c r="N59" s="695"/>
      <c r="O59" s="693"/>
      <c r="P59" s="691"/>
      <c r="Q59" s="714"/>
      <c r="R59" s="705"/>
      <c r="S59" s="702"/>
      <c r="T59" s="702"/>
      <c r="U59" s="705"/>
      <c r="V59" s="980"/>
    </row>
    <row r="60" spans="1:22">
      <c r="A60" s="688" t="s">
        <v>818</v>
      </c>
      <c r="B60" s="953"/>
      <c r="C60" s="690"/>
      <c r="D60" s="693"/>
      <c r="E60" s="709"/>
      <c r="F60" s="695"/>
      <c r="G60" s="693"/>
      <c r="H60" s="691"/>
      <c r="I60" s="708"/>
      <c r="J60" s="958"/>
      <c r="K60" s="714"/>
      <c r="L60" s="714"/>
      <c r="M60" s="708"/>
      <c r="N60" s="695"/>
      <c r="O60" s="693"/>
      <c r="P60" s="691"/>
      <c r="Q60" s="714"/>
      <c r="R60" s="705"/>
      <c r="S60" s="702"/>
      <c r="T60" s="702"/>
      <c r="U60" s="705"/>
      <c r="V60" s="980"/>
    </row>
    <row r="61" spans="1:22">
      <c r="A61" s="687" t="s">
        <v>784</v>
      </c>
      <c r="B61" s="952"/>
      <c r="C61" s="77">
        <f>SUM(C54:C57)</f>
        <v>1396938.7170195491</v>
      </c>
      <c r="D61" s="65">
        <f>SUM(D54:D57)</f>
        <v>261.05504561101293</v>
      </c>
      <c r="E61" s="708">
        <f>D61/C61*mtonacft_mgl*$E$100</f>
        <v>151.50326009563511</v>
      </c>
      <c r="F61" s="670">
        <f>SUM(F54:F57)</f>
        <v>30.219652848243861</v>
      </c>
      <c r="G61" s="65">
        <f>SUM(G54:G57)</f>
        <v>230.83539276276912</v>
      </c>
      <c r="H61" s="671">
        <f>SUM(H54:H57)</f>
        <v>1391313.7170195491</v>
      </c>
      <c r="I61" s="708">
        <f>G61/H61*mtonacft_mgl*$E$100</f>
        <v>134.5069025175319</v>
      </c>
      <c r="J61" s="670">
        <f>SUM(J54:J57)</f>
        <v>22.765329570361402</v>
      </c>
      <c r="K61" s="65">
        <f>SUM(K54:K57)</f>
        <v>208.0700631924077</v>
      </c>
      <c r="L61" s="671">
        <f>SUM(L54:L57)</f>
        <v>1388715.7170195491</v>
      </c>
      <c r="M61" s="708">
        <f>K61/L61*mtonacft_mgl*$E$100</f>
        <v>121.46844987454779</v>
      </c>
      <c r="N61" s="670">
        <f>SUM(N54:N57)</f>
        <v>45.370778042002563</v>
      </c>
      <c r="O61" s="65">
        <f>SUM(O54:O57)</f>
        <v>162.69928515040516</v>
      </c>
      <c r="P61" s="671">
        <f>SUM(P54:P57)</f>
        <v>1378574.7170195491</v>
      </c>
      <c r="Q61" s="714">
        <f>O61/P61*mtonacft_mgl*$E$100</f>
        <v>95.680310586858226</v>
      </c>
      <c r="R61" s="706">
        <f>F61/$D61</f>
        <v>0.1157596964943282</v>
      </c>
      <c r="S61" s="525">
        <f>J61/$D61</f>
        <v>8.7205093152204594E-2</v>
      </c>
      <c r="T61" s="525">
        <f>N61/$D61</f>
        <v>0.17379774421065064</v>
      </c>
      <c r="U61" s="704">
        <f>SUM(R61:T61)</f>
        <v>0.37676253385718345</v>
      </c>
      <c r="V61" s="981">
        <f>SUM(V54:V57)</f>
        <v>98.355760460607826</v>
      </c>
    </row>
    <row r="62" spans="1:22">
      <c r="A62" s="687" t="s">
        <v>785</v>
      </c>
      <c r="B62" s="952"/>
      <c r="C62" s="77">
        <f>SUM(C55:C57)</f>
        <v>959965.79463385709</v>
      </c>
      <c r="D62" s="65">
        <f>SUM(D55:D57)</f>
        <v>167.39193707477847</v>
      </c>
      <c r="E62" s="708">
        <f>D62/C62*mtonacft_mgl*$E$100</f>
        <v>141.36634105003085</v>
      </c>
      <c r="F62" s="670">
        <f>SUM(F55:F57)</f>
        <v>27.42353908472105</v>
      </c>
      <c r="G62" s="65">
        <f>SUM(G55:G57)</f>
        <v>139.96839799005744</v>
      </c>
      <c r="H62" s="671">
        <f>SUM(H55:H57)</f>
        <v>954340.79463385709</v>
      </c>
      <c r="I62" s="708">
        <f>G62/H62*mtonacft_mgl*$E$100</f>
        <v>118.9032551078492</v>
      </c>
      <c r="J62" s="670">
        <f>SUM(J55:J57)</f>
        <v>18.105235322975659</v>
      </c>
      <c r="K62" s="65">
        <f>SUM(K55:K57)</f>
        <v>121.86316266708175</v>
      </c>
      <c r="L62" s="671">
        <f>SUM(L55:L57)</f>
        <v>952742.79463385709</v>
      </c>
      <c r="M62" s="708">
        <f>K62/L62*mtonacft_mgl*$E$100</f>
        <v>103.69647964552408</v>
      </c>
      <c r="N62" s="670">
        <f>SUM(N55:N57)</f>
        <v>28.511007860136935</v>
      </c>
      <c r="O62" s="65">
        <f>SUM(O55:O57)</f>
        <v>93.352154806944824</v>
      </c>
      <c r="P62" s="671">
        <f>SUM(P55:P57)</f>
        <v>946022.79463385709</v>
      </c>
      <c r="Q62" s="714">
        <f>O62/P62*mtonacft_mgl*$E$100</f>
        <v>80.000000000000014</v>
      </c>
      <c r="R62" s="706">
        <f>F62/$D62</f>
        <v>0.16382831553272617</v>
      </c>
      <c r="S62" s="525">
        <f>J62/$D62</f>
        <v>0.10816073724559125</v>
      </c>
      <c r="T62" s="525">
        <f>N62/$D62</f>
        <v>0.17032485768654618</v>
      </c>
      <c r="U62" s="704">
        <f>SUM(R62:T62)</f>
        <v>0.44231391046486357</v>
      </c>
      <c r="V62" s="981">
        <f>SUM(V55:V57)</f>
        <v>74.039782267833644</v>
      </c>
    </row>
    <row r="63" spans="1:22">
      <c r="A63" s="687" t="s">
        <v>786</v>
      </c>
      <c r="B63" s="952"/>
      <c r="C63" s="77">
        <f>SUM(C53:C54)</f>
        <v>659324.57626796863</v>
      </c>
      <c r="D63" s="65">
        <f>SUM(D53:D54)</f>
        <v>123.31416910103425</v>
      </c>
      <c r="E63" s="708">
        <f>D63/C63*mtonacft_mgl*$E$100</f>
        <v>151.62854149519393</v>
      </c>
      <c r="F63" s="670">
        <f>SUM(F53:F54)</f>
        <v>2.907780623780468</v>
      </c>
      <c r="G63" s="65">
        <f>SUM(G53:G54)</f>
        <v>120.40638847725378</v>
      </c>
      <c r="H63" s="671">
        <f>SUM(H53:H54)</f>
        <v>659324.57626796863</v>
      </c>
      <c r="I63" s="708">
        <f>G63/H63*mtonacft_mgl*$E$100</f>
        <v>148.05310050421926</v>
      </c>
      <c r="J63" s="670">
        <f>SUM(J53:J54)</f>
        <v>5.8798984921710904</v>
      </c>
      <c r="K63" s="65">
        <f>SUM(K53:K54)</f>
        <v>114.5264899850827</v>
      </c>
      <c r="L63" s="671">
        <f>SUM(L53:L54)</f>
        <v>658324.57626796863</v>
      </c>
      <c r="M63" s="708">
        <f>K63/L63*mtonacft_mgl*$E$100</f>
        <v>141.03702006039242</v>
      </c>
      <c r="N63" s="670">
        <f>SUM(N53:N54)</f>
        <v>23.819632868667522</v>
      </c>
      <c r="O63" s="65">
        <f>SUM(O53:O54)</f>
        <v>90.706857116415179</v>
      </c>
      <c r="P63" s="671">
        <f>SUM(P53:P54)</f>
        <v>649009.57626796863</v>
      </c>
      <c r="Q63" s="714">
        <f>O63/P63*mtonacft_mgl*$E$100</f>
        <v>113.30687330433398</v>
      </c>
      <c r="R63" s="706">
        <f>F63/$D63</f>
        <v>2.3580263687281982E-2</v>
      </c>
      <c r="S63" s="525">
        <f>J63/$D63</f>
        <v>4.7682261779289518E-2</v>
      </c>
      <c r="T63" s="525">
        <f>N63/$D63</f>
        <v>0.1931621730277526</v>
      </c>
      <c r="U63" s="704">
        <f>SUM(R63:T63)</f>
        <v>0.2644246984943241</v>
      </c>
      <c r="V63" s="981">
        <f>SUM(V53:V54)</f>
        <v>32.607311984619081</v>
      </c>
    </row>
    <row r="64" spans="1:22">
      <c r="A64" s="689"/>
      <c r="B64" s="9"/>
      <c r="C64" s="77"/>
      <c r="D64" s="65"/>
      <c r="E64" s="710"/>
      <c r="F64" s="670"/>
      <c r="G64" s="65"/>
      <c r="H64" s="671"/>
      <c r="I64" s="708"/>
      <c r="J64" s="670"/>
      <c r="K64" s="65"/>
      <c r="L64" s="671"/>
      <c r="M64" s="708"/>
      <c r="N64" s="670"/>
      <c r="O64" s="65"/>
      <c r="P64" s="671"/>
      <c r="Q64" s="714"/>
      <c r="R64" s="9"/>
      <c r="S64" s="4"/>
      <c r="T64" s="4"/>
      <c r="U64" s="983"/>
      <c r="V64" s="981"/>
    </row>
    <row r="65" spans="1:22">
      <c r="A65" s="689" t="s">
        <v>802</v>
      </c>
      <c r="B65" s="9"/>
      <c r="C65" s="77">
        <f>VLOOKUP(4,okee_dat,2,FALSE)</f>
        <v>861534.32528925652</v>
      </c>
      <c r="D65" s="65">
        <f>VLOOKUP(4,okee_dat,3,FALSE)</f>
        <v>103.5593231</v>
      </c>
      <c r="E65" s="708">
        <f>D65/C65*mtonacft_mgl*$E$100</f>
        <v>97.450452190554671</v>
      </c>
      <c r="F65" s="670">
        <v>0</v>
      </c>
      <c r="G65" s="65">
        <f>VLOOKUP(4,okee_dat,3,FALSE)</f>
        <v>103.5593231</v>
      </c>
      <c r="H65" s="671">
        <f>VLOOKUP(4,okee_dat,2,FALSE)</f>
        <v>861534.32528925652</v>
      </c>
      <c r="I65" s="708">
        <f>G65/H65*mtonacft_mgl*$E$100</f>
        <v>97.450452190554671</v>
      </c>
      <c r="J65" s="670">
        <v>0</v>
      </c>
      <c r="K65" s="65">
        <f>VLOOKUP(4,okee_dat,3,FALSE)</f>
        <v>103.5593231</v>
      </c>
      <c r="L65" s="671">
        <f>VLOOKUP(4,okee_dat,2,FALSE)</f>
        <v>861534.32528925652</v>
      </c>
      <c r="M65" s="708">
        <f>K65/L65*mtonacft_mgl*$E$100</f>
        <v>97.450452190554671</v>
      </c>
      <c r="N65" s="670">
        <f>VLOOKUP(7,okee_dat,3,FALSE)</f>
        <v>56.954432135574535</v>
      </c>
      <c r="O65" s="65">
        <f>VLOOKUP(5,okee_dat,3,FALSE)</f>
        <v>46.604890964425465</v>
      </c>
      <c r="P65" s="671">
        <f>VLOOKUP(5,okee_dat,2,FALSE)</f>
        <v>674700</v>
      </c>
      <c r="Q65" s="714">
        <f>O65/P65*mtonacft_mgl*$E$100</f>
        <v>56.000000000000007</v>
      </c>
      <c r="R65" s="706">
        <f>F65/$D65</f>
        <v>0</v>
      </c>
      <c r="S65" s="525">
        <f>J65/$D65</f>
        <v>0</v>
      </c>
      <c r="T65" s="525">
        <f>N65/$D65</f>
        <v>0.54996914261961349</v>
      </c>
      <c r="U65" s="704">
        <f>SUM(R65:T65)</f>
        <v>0.54996914261961349</v>
      </c>
      <c r="V65" s="981">
        <f>VLOOKUP(7,okee_dat,3,FALSE)</f>
        <v>56.954432135574535</v>
      </c>
    </row>
    <row r="66" spans="1:22">
      <c r="A66" s="689"/>
      <c r="B66" s="9"/>
      <c r="C66" s="77"/>
      <c r="D66" s="65"/>
      <c r="E66" s="710"/>
      <c r="F66" s="670"/>
      <c r="G66" s="65"/>
      <c r="H66" s="671"/>
      <c r="I66" s="708"/>
      <c r="J66" s="670"/>
      <c r="K66" s="65"/>
      <c r="L66" s="671"/>
      <c r="M66" s="708"/>
      <c r="N66" s="670"/>
      <c r="O66" s="65"/>
      <c r="P66" s="671"/>
      <c r="Q66" s="671"/>
      <c r="R66" s="9"/>
      <c r="S66" s="4"/>
      <c r="T66" s="4"/>
      <c r="U66" s="983"/>
      <c r="V66" s="981"/>
    </row>
    <row r="67" spans="1:22">
      <c r="A67" s="688" t="s">
        <v>783</v>
      </c>
      <c r="B67" s="953"/>
      <c r="C67" s="77"/>
      <c r="D67" s="65"/>
      <c r="E67" s="710"/>
      <c r="F67" s="670"/>
      <c r="G67" s="65"/>
      <c r="H67" s="671"/>
      <c r="I67" s="708"/>
      <c r="J67" s="670"/>
      <c r="K67" s="65"/>
      <c r="L67" s="671"/>
      <c r="M67" s="708"/>
      <c r="N67" s="670"/>
      <c r="O67" s="65"/>
      <c r="P67" s="671"/>
      <c r="Q67" s="671"/>
      <c r="R67" s="9"/>
      <c r="S67" s="4"/>
      <c r="T67" s="4"/>
      <c r="U67" s="983"/>
      <c r="V67" s="981"/>
    </row>
    <row r="68" spans="1:22">
      <c r="A68" s="687" t="s">
        <v>827</v>
      </c>
      <c r="B68" s="952"/>
      <c r="C68" s="77">
        <f>C65+C58</f>
        <v>2480824.6961910822</v>
      </c>
      <c r="D68" s="65">
        <f>D65+D58</f>
        <v>394.26542927581261</v>
      </c>
      <c r="E68" s="708">
        <f>D68/C68*mtonacft_mgl*$E$100</f>
        <v>128.84271341699244</v>
      </c>
      <c r="F68" s="670">
        <f>F65+F58</f>
        <v>30.331319708501518</v>
      </c>
      <c r="G68" s="65">
        <f>G65+G58</f>
        <v>363.93410956731122</v>
      </c>
      <c r="H68" s="671">
        <f>H65+H58</f>
        <v>2475199.6961910822</v>
      </c>
      <c r="I68" s="708">
        <f>G68/H68*mtonacft_mgl*$E$100</f>
        <v>119.20096174479559</v>
      </c>
      <c r="J68" s="670">
        <f>J65+J58</f>
        <v>23.985133815146749</v>
      </c>
      <c r="K68" s="65">
        <f>K65+K58</f>
        <v>339.94897575216442</v>
      </c>
      <c r="L68" s="671">
        <f>L65+L58</f>
        <v>2472601.6961910822</v>
      </c>
      <c r="M68" s="708">
        <f>K68/L68*mtonacft_mgl*$E$100</f>
        <v>111.46199579260838</v>
      </c>
      <c r="N68" s="670">
        <f>N65+N58</f>
        <v>109.285072864379</v>
      </c>
      <c r="O68" s="65">
        <f>O65+O58</f>
        <v>230.6639028877855</v>
      </c>
      <c r="P68" s="671">
        <f>P65+P58</f>
        <v>2269732.3709018258</v>
      </c>
      <c r="Q68" s="714">
        <f>O68/P68*mtonacft_mgl*$E$100</f>
        <v>82.38956795064864</v>
      </c>
      <c r="R68" s="706">
        <f>F68/$D68</f>
        <v>7.6931218048242614E-2</v>
      </c>
      <c r="S68" s="525">
        <f>J68/$D68</f>
        <v>6.083499093289179E-2</v>
      </c>
      <c r="T68" s="525">
        <f>N68/$D68</f>
        <v>0.27718654680202121</v>
      </c>
      <c r="U68" s="704">
        <f>SUM(R68:T68)</f>
        <v>0.4149527557831556</v>
      </c>
      <c r="V68" s="981">
        <f>V65+V58</f>
        <v>163.60152638802725</v>
      </c>
    </row>
    <row r="69" spans="1:22">
      <c r="A69" s="687" t="s">
        <v>825</v>
      </c>
      <c r="B69" s="952"/>
      <c r="C69" s="77">
        <f>C65+C61</f>
        <v>2258473.0423088055</v>
      </c>
      <c r="D69" s="65">
        <f>D65+D61</f>
        <v>364.61436871101296</v>
      </c>
      <c r="E69" s="708">
        <f>D69/C69*mtonacft_mgl*$E$100</f>
        <v>130.88386437290066</v>
      </c>
      <c r="F69" s="670">
        <f>F65+F61</f>
        <v>30.219652848243861</v>
      </c>
      <c r="G69" s="65">
        <f>G65+G61</f>
        <v>334.39471586276909</v>
      </c>
      <c r="H69" s="671">
        <f>H65+H61</f>
        <v>2252848.0423088055</v>
      </c>
      <c r="I69" s="708">
        <f>G69/H69*mtonacft_mgl*$E$100</f>
        <v>120.33577187289737</v>
      </c>
      <c r="J69" s="670">
        <f>J65+J61</f>
        <v>22.765329570361402</v>
      </c>
      <c r="K69" s="65">
        <f>K65+K61</f>
        <v>311.62938629240773</v>
      </c>
      <c r="L69" s="671">
        <f>L65+L61</f>
        <v>2250250.0423088055</v>
      </c>
      <c r="M69" s="708">
        <f>K69/L69*mtonacft_mgl*$E$100</f>
        <v>112.2728809197986</v>
      </c>
      <c r="N69" s="670">
        <f>N65+N61</f>
        <v>102.32521017757711</v>
      </c>
      <c r="O69" s="65">
        <f>O65+O61</f>
        <v>209.30417611483063</v>
      </c>
      <c r="P69" s="671">
        <f>P65+P61</f>
        <v>2053274.7170195491</v>
      </c>
      <c r="Q69" s="714">
        <f>O69/P69*mtonacft_mgl*$E$100</f>
        <v>82.64147787195742</v>
      </c>
      <c r="R69" s="706">
        <f>F69/$D69</f>
        <v>8.2881135362483302E-2</v>
      </c>
      <c r="S69" s="525">
        <f>J69/$D69</f>
        <v>6.2436731856842453E-2</v>
      </c>
      <c r="T69" s="525">
        <f>N69/$D69</f>
        <v>0.28063954401829483</v>
      </c>
      <c r="U69" s="704">
        <f>SUM(R69:T69)</f>
        <v>0.4259574112376206</v>
      </c>
      <c r="V69" s="981">
        <f>V65+V61</f>
        <v>155.31019259618236</v>
      </c>
    </row>
    <row r="70" spans="1:22">
      <c r="A70" s="729" t="s">
        <v>826</v>
      </c>
      <c r="B70" s="954"/>
      <c r="C70" s="754">
        <f>C65+C62</f>
        <v>1821500.1199231136</v>
      </c>
      <c r="D70" s="678">
        <f>D65+D62</f>
        <v>270.95126017477844</v>
      </c>
      <c r="E70" s="711">
        <f>D70/C70*mtonacft_mgl*$E$100</f>
        <v>120.594975040116</v>
      </c>
      <c r="F70" s="755">
        <f>F65+F62</f>
        <v>27.42353908472105</v>
      </c>
      <c r="G70" s="678">
        <f>G65+G62</f>
        <v>243.52772109005744</v>
      </c>
      <c r="H70" s="679">
        <f>H65+H62</f>
        <v>1815875.1199231136</v>
      </c>
      <c r="I70" s="711">
        <f>G70/H70*mtonacft_mgl*$E$100</f>
        <v>108.72506284994917</v>
      </c>
      <c r="J70" s="755">
        <f>J65+J62</f>
        <v>18.105235322975659</v>
      </c>
      <c r="K70" s="678">
        <f>K65+K62</f>
        <v>225.42248576708175</v>
      </c>
      <c r="L70" s="679">
        <f>L65+L62</f>
        <v>1814277.1199231136</v>
      </c>
      <c r="M70" s="711">
        <f>K70/L70*mtonacft_mgl*$E$100</f>
        <v>100.73046800922934</v>
      </c>
      <c r="N70" s="755">
        <f>N65+N62</f>
        <v>85.465439995711478</v>
      </c>
      <c r="O70" s="678">
        <f>O65+O62</f>
        <v>139.9570457713703</v>
      </c>
      <c r="P70" s="679">
        <f>P65+P62</f>
        <v>1620722.794633857</v>
      </c>
      <c r="Q70" s="843">
        <f>O70/P70*mtonacft_mgl*$E$100</f>
        <v>70.008902167839167</v>
      </c>
      <c r="R70" s="707">
        <f>F70/$D70</f>
        <v>0.10121207433038459</v>
      </c>
      <c r="S70" s="841">
        <f>J70/$D70</f>
        <v>6.6821004306445331E-2</v>
      </c>
      <c r="T70" s="841">
        <f>N70/$D70</f>
        <v>0.31542735745381506</v>
      </c>
      <c r="U70" s="984">
        <f>SUM(R70:T70)</f>
        <v>0.48346043609064498</v>
      </c>
      <c r="V70" s="982">
        <f>V65+V62</f>
        <v>130.99421440340819</v>
      </c>
    </row>
    <row r="73" spans="1:22">
      <c r="A73" s="751" t="s">
        <v>1013</v>
      </c>
      <c r="B73" s="751"/>
    </row>
    <row r="74" spans="1:22">
      <c r="A74" s="717" t="s">
        <v>828</v>
      </c>
      <c r="B74" s="717"/>
    </row>
    <row r="75" spans="1:22">
      <c r="A75" s="716" t="s">
        <v>830</v>
      </c>
      <c r="B75" s="716"/>
    </row>
    <row r="76" spans="1:22">
      <c r="A76" s="717" t="s">
        <v>823</v>
      </c>
      <c r="B76" s="717"/>
    </row>
    <row r="77" spans="1:22">
      <c r="A77" s="716" t="s">
        <v>831</v>
      </c>
      <c r="B77" s="716"/>
    </row>
    <row r="78" spans="1:22">
      <c r="A78" s="717" t="s">
        <v>1015</v>
      </c>
      <c r="B78" s="717"/>
    </row>
    <row r="79" spans="1:22">
      <c r="A79" s="716" t="s">
        <v>1227</v>
      </c>
      <c r="B79" s="716"/>
    </row>
    <row r="80" spans="1:22">
      <c r="A80" s="717" t="s">
        <v>824</v>
      </c>
      <c r="B80" s="717"/>
    </row>
    <row r="81" spans="1:22">
      <c r="A81" s="716" t="s">
        <v>1014</v>
      </c>
      <c r="B81" s="717"/>
    </row>
    <row r="82" spans="1:22">
      <c r="A82" s="716" t="s">
        <v>1171</v>
      </c>
      <c r="B82" s="716"/>
    </row>
    <row r="83" spans="1:22">
      <c r="A83" s="717" t="s">
        <v>1166</v>
      </c>
      <c r="B83" s="717"/>
    </row>
    <row r="84" spans="1:22">
      <c r="A84" s="716" t="s">
        <v>832</v>
      </c>
      <c r="B84" s="716"/>
    </row>
    <row r="85" spans="1:22">
      <c r="A85" s="717" t="s">
        <v>1167</v>
      </c>
      <c r="B85" s="717"/>
    </row>
    <row r="86" spans="1:22">
      <c r="A86" s="717" t="s">
        <v>1008</v>
      </c>
      <c r="B86" s="717"/>
    </row>
    <row r="87" spans="1:22">
      <c r="A87" s="717" t="s">
        <v>845</v>
      </c>
      <c r="B87" s="717"/>
    </row>
    <row r="90" spans="1:22">
      <c r="A90" s="367" t="s">
        <v>1012</v>
      </c>
      <c r="B90" s="354"/>
      <c r="C90" s="354"/>
      <c r="D90" s="354"/>
      <c r="E90" s="354"/>
      <c r="F90" s="354"/>
      <c r="G90" s="354"/>
      <c r="H90" s="354"/>
      <c r="I90" s="354"/>
      <c r="J90" s="354"/>
      <c r="K90" s="354"/>
      <c r="L90" s="354"/>
      <c r="M90" s="354"/>
      <c r="N90" s="354"/>
      <c r="O90" s="354"/>
      <c r="P90" s="354"/>
      <c r="Q90" s="354"/>
      <c r="R90" s="354"/>
      <c r="S90" s="354"/>
      <c r="T90" s="354"/>
      <c r="U90" s="354"/>
      <c r="V90" s="243"/>
    </row>
    <row r="91" spans="1:22" s="45" customFormat="1">
      <c r="A91" s="116"/>
      <c r="B91" s="238"/>
      <c r="C91" s="238"/>
      <c r="D91" s="238"/>
      <c r="E91" s="238"/>
      <c r="F91" s="238"/>
      <c r="G91" s="238"/>
      <c r="H91" s="238"/>
      <c r="I91" s="238"/>
      <c r="J91" s="238"/>
      <c r="K91" s="238"/>
      <c r="L91" s="238"/>
      <c r="M91" s="238"/>
      <c r="N91" s="238"/>
      <c r="O91" s="238"/>
      <c r="P91" s="238"/>
      <c r="Q91" s="238"/>
      <c r="R91" s="238"/>
      <c r="S91" s="238"/>
      <c r="T91" s="238"/>
      <c r="U91" s="238"/>
      <c r="V91" s="238"/>
    </row>
    <row r="92" spans="1:22">
      <c r="A92" s="956" t="s">
        <v>1011</v>
      </c>
      <c r="B92" s="417"/>
      <c r="C92" s="957">
        <v>73</v>
      </c>
      <c r="D92" s="957">
        <v>73</v>
      </c>
      <c r="E92" s="183">
        <v>74</v>
      </c>
      <c r="F92" s="183">
        <v>76</v>
      </c>
      <c r="G92" s="183">
        <v>77</v>
      </c>
      <c r="H92" s="183">
        <v>77</v>
      </c>
      <c r="I92" s="183">
        <v>78</v>
      </c>
      <c r="J92" s="183">
        <v>80</v>
      </c>
      <c r="K92" s="183">
        <v>81</v>
      </c>
      <c r="L92" s="183">
        <v>81</v>
      </c>
      <c r="M92" s="183">
        <v>82</v>
      </c>
      <c r="N92" s="183">
        <v>84</v>
      </c>
      <c r="O92" s="183">
        <v>85</v>
      </c>
      <c r="P92" s="183">
        <v>85</v>
      </c>
      <c r="Q92" s="183">
        <v>86</v>
      </c>
      <c r="R92" s="183">
        <v>90</v>
      </c>
      <c r="S92" s="183">
        <v>91</v>
      </c>
      <c r="T92" s="183">
        <v>92</v>
      </c>
      <c r="U92" s="183">
        <v>93</v>
      </c>
      <c r="V92" s="183">
        <v>88</v>
      </c>
    </row>
    <row r="93" spans="1:22">
      <c r="B93" s="183" t="s">
        <v>187</v>
      </c>
      <c r="C93" s="183">
        <v>3</v>
      </c>
      <c r="D93" s="183">
        <v>10</v>
      </c>
      <c r="E93" s="183">
        <v>10</v>
      </c>
      <c r="F93" s="183">
        <v>10</v>
      </c>
      <c r="G93" s="183">
        <v>10</v>
      </c>
      <c r="H93" s="183">
        <v>3</v>
      </c>
      <c r="I93" s="183">
        <v>10</v>
      </c>
      <c r="J93" s="183">
        <v>10</v>
      </c>
      <c r="K93" s="183">
        <v>10</v>
      </c>
      <c r="L93" s="183">
        <v>3</v>
      </c>
      <c r="M93" s="183">
        <v>10</v>
      </c>
      <c r="N93" s="183">
        <v>10</v>
      </c>
      <c r="O93" s="183">
        <v>10</v>
      </c>
      <c r="P93" s="183">
        <v>3</v>
      </c>
      <c r="Q93" s="183">
        <v>10</v>
      </c>
      <c r="R93" s="183">
        <v>10</v>
      </c>
      <c r="S93" s="183">
        <v>10</v>
      </c>
      <c r="T93" s="183">
        <v>10</v>
      </c>
      <c r="U93" s="183">
        <v>10</v>
      </c>
      <c r="V93" s="183">
        <v>10</v>
      </c>
    </row>
    <row r="94" spans="1:22">
      <c r="B94" s="183" t="s">
        <v>188</v>
      </c>
      <c r="C94" s="183">
        <v>3</v>
      </c>
      <c r="D94" s="183">
        <v>17</v>
      </c>
      <c r="E94" s="183">
        <v>17</v>
      </c>
      <c r="F94" s="183">
        <v>17</v>
      </c>
      <c r="G94" s="183">
        <v>17</v>
      </c>
      <c r="H94" s="183">
        <v>3</v>
      </c>
      <c r="I94" s="183">
        <v>17</v>
      </c>
      <c r="J94" s="183">
        <v>17</v>
      </c>
      <c r="K94" s="183">
        <v>17</v>
      </c>
      <c r="L94" s="183">
        <v>3</v>
      </c>
      <c r="M94" s="183">
        <v>17</v>
      </c>
      <c r="N94" s="183">
        <v>17</v>
      </c>
      <c r="O94" s="183">
        <v>17</v>
      </c>
      <c r="P94" s="183">
        <v>3</v>
      </c>
      <c r="Q94" s="183">
        <v>17</v>
      </c>
      <c r="R94" s="183">
        <v>17</v>
      </c>
      <c r="S94" s="183">
        <v>17</v>
      </c>
      <c r="T94" s="183">
        <v>17</v>
      </c>
      <c r="U94" s="183">
        <v>17</v>
      </c>
      <c r="V94" s="183">
        <v>17</v>
      </c>
    </row>
    <row r="96" spans="1:22">
      <c r="A96" s="367" t="s">
        <v>820</v>
      </c>
      <c r="B96" s="744"/>
      <c r="C96" s="354"/>
      <c r="D96" s="354"/>
      <c r="E96" s="354"/>
      <c r="F96" s="354"/>
      <c r="G96" s="243"/>
    </row>
    <row r="97" spans="2:8">
      <c r="B97" s="183" t="s">
        <v>821</v>
      </c>
      <c r="C97" s="183">
        <v>2</v>
      </c>
      <c r="D97" s="183">
        <v>3</v>
      </c>
      <c r="E97" s="183">
        <v>7</v>
      </c>
      <c r="F97" s="183">
        <v>8</v>
      </c>
      <c r="G97" s="183">
        <v>9</v>
      </c>
      <c r="H97" s="183">
        <v>10</v>
      </c>
    </row>
    <row r="98" spans="2:8">
      <c r="B98" s="379" t="s">
        <v>792</v>
      </c>
      <c r="C98" s="379" t="s">
        <v>793</v>
      </c>
      <c r="D98" s="379" t="s">
        <v>794</v>
      </c>
      <c r="E98" s="379" t="s">
        <v>795</v>
      </c>
      <c r="F98" s="379" t="s">
        <v>796</v>
      </c>
      <c r="G98" s="379" t="s">
        <v>810</v>
      </c>
      <c r="H98" s="379" t="s">
        <v>811</v>
      </c>
    </row>
    <row r="99" spans="2:8">
      <c r="B99" s="280">
        <v>1</v>
      </c>
      <c r="C99" s="280" t="str">
        <f>VLOOKUP($B99,parmlist,2,FALSE)</f>
        <v>TN</v>
      </c>
      <c r="D99" s="751" t="str">
        <f>VLOOKUP($B99,parmlist,3,FALSE)</f>
        <v>Total Nitrogen</v>
      </c>
      <c r="E99" s="239">
        <f>VLOOKUP($B99,parmlist,7,FALSE)</f>
        <v>1</v>
      </c>
      <c r="F99" s="239" t="str">
        <f>VLOOKUP($B99,parmlist,8,FALSE)</f>
        <v>ppm</v>
      </c>
      <c r="G99" s="239">
        <f>VLOOKUP($B99,parmlist,9,FALSE)</f>
        <v>0.8</v>
      </c>
      <c r="H99" s="239" t="str">
        <f>VLOOKUP($B99,parmlist,10,FALSE)</f>
        <v>0.80 ppm</v>
      </c>
    </row>
    <row r="100" spans="2:8">
      <c r="B100" s="280">
        <v>2</v>
      </c>
      <c r="C100" s="280" t="str">
        <f>VLOOKUP($B100,parmlist,2,FALSE)</f>
        <v>TP</v>
      </c>
      <c r="D100" s="751" t="str">
        <f>VLOOKUP($B100,parmlist,3,FALSE)</f>
        <v>Total Phosphorus</v>
      </c>
      <c r="E100" s="239">
        <f>VLOOKUP($B100,parmlist,7,FALSE)</f>
        <v>1000</v>
      </c>
      <c r="F100" s="239" t="str">
        <f>VLOOKUP($B100,parmlist,8,FALSE)</f>
        <v>ppb</v>
      </c>
      <c r="G100" s="239">
        <f>VLOOKUP($B100,parmlist,9,FALSE)</f>
        <v>80</v>
      </c>
      <c r="H100" s="239" t="str">
        <f>VLOOKUP($B100,parmlist,10,FALSE)</f>
        <v>80 ppb</v>
      </c>
    </row>
  </sheetData>
  <mergeCells count="24">
    <mergeCell ref="R50:T50"/>
    <mergeCell ref="U50:V50"/>
    <mergeCell ref="C50:E50"/>
    <mergeCell ref="C22:E22"/>
    <mergeCell ref="R22:V22"/>
    <mergeCell ref="F23:I23"/>
    <mergeCell ref="N23:Q23"/>
    <mergeCell ref="C23:E23"/>
    <mergeCell ref="C49:E49"/>
    <mergeCell ref="F49:I49"/>
    <mergeCell ref="N49:Q49"/>
    <mergeCell ref="R49:V49"/>
    <mergeCell ref="F50:I50"/>
    <mergeCell ref="N50:Q50"/>
    <mergeCell ref="J49:M49"/>
    <mergeCell ref="J50:M50"/>
    <mergeCell ref="W23:Z23"/>
    <mergeCell ref="W22:Z22"/>
    <mergeCell ref="F22:I22"/>
    <mergeCell ref="N22:Q22"/>
    <mergeCell ref="J22:M22"/>
    <mergeCell ref="J23:M23"/>
    <mergeCell ref="R23:T23"/>
    <mergeCell ref="U23:V23"/>
  </mergeCells>
  <printOptions gridLines="1"/>
  <pageMargins left="0.5" right="0.5" top="0.75" bottom="0.75" header="0.3" footer="0.3"/>
  <pageSetup scale="40" fitToHeight="2" orientation="landscape" r:id="rId1"/>
  <headerFooter>
    <oddFooter>&amp;L&amp;"-,Italic"&amp;9&amp;F, &amp;A&amp;R&amp;"-,Italic"&amp;9&amp;P of &amp;N</oddFooter>
  </headerFooter>
  <rowBreaks count="1" manualBreakCount="1">
    <brk id="7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84"/>
  <sheetViews>
    <sheetView zoomScale="80" zoomScaleNormal="80" workbookViewId="0">
      <selection activeCell="A19" sqref="A19"/>
    </sheetView>
  </sheetViews>
  <sheetFormatPr defaultRowHeight="15"/>
  <cols>
    <col min="1" max="2" width="7.7109375" style="183" customWidth="1"/>
    <col min="3" max="3" width="36.140625" customWidth="1"/>
    <col min="4" max="5" width="11.28515625" customWidth="1"/>
    <col min="6" max="6" width="10.85546875" customWidth="1"/>
    <col min="7" max="7" width="9.28515625" bestFit="1" customWidth="1"/>
    <col min="8" max="8" width="10.5703125" customWidth="1"/>
    <col min="9" max="9" width="9.28515625" bestFit="1" customWidth="1"/>
    <col min="10" max="15" width="11.140625" customWidth="1"/>
    <col min="16" max="17" width="11" customWidth="1"/>
    <col min="18" max="18" width="9.7109375" bestFit="1" customWidth="1"/>
    <col min="19" max="42" width="11.42578125" customWidth="1"/>
  </cols>
  <sheetData>
    <row r="1" spans="1:27">
      <c r="A1" s="728" t="s">
        <v>1164</v>
      </c>
      <c r="B1" s="727"/>
      <c r="C1" s="101"/>
      <c r="D1" s="101"/>
      <c r="E1" s="101"/>
      <c r="F1" s="101"/>
      <c r="G1" s="101"/>
      <c r="H1" s="101"/>
      <c r="I1" s="101"/>
      <c r="J1" s="101"/>
      <c r="K1" s="101"/>
      <c r="L1" s="745" t="s">
        <v>1226</v>
      </c>
      <c r="R1" s="58" t="s">
        <v>1453</v>
      </c>
      <c r="S1" s="404"/>
      <c r="T1" s="404"/>
      <c r="U1" s="404"/>
      <c r="V1" s="404"/>
      <c r="W1" s="404"/>
      <c r="X1" s="404"/>
      <c r="Y1" s="404"/>
      <c r="Z1" s="404"/>
      <c r="AA1" s="404"/>
    </row>
    <row r="2" spans="1:27">
      <c r="A2" s="716" t="s">
        <v>1225</v>
      </c>
      <c r="R2" s="58" t="s">
        <v>1010</v>
      </c>
    </row>
    <row r="3" spans="1:27">
      <c r="A3" s="717" t="s">
        <v>815</v>
      </c>
    </row>
    <row r="4" spans="1:27">
      <c r="A4" s="717" t="s">
        <v>813</v>
      </c>
    </row>
    <row r="5" spans="1:27">
      <c r="A5" s="717" t="s">
        <v>814</v>
      </c>
    </row>
    <row r="6" spans="1:27">
      <c r="A6" s="716" t="s">
        <v>1021</v>
      </c>
    </row>
    <row r="7" spans="1:27">
      <c r="A7" s="717" t="s">
        <v>823</v>
      </c>
    </row>
    <row r="8" spans="1:27">
      <c r="A8" s="716" t="s">
        <v>831</v>
      </c>
    </row>
    <row r="9" spans="1:27">
      <c r="A9" s="717" t="s">
        <v>1015</v>
      </c>
    </row>
    <row r="10" spans="1:27">
      <c r="A10" s="716" t="s">
        <v>1227</v>
      </c>
    </row>
    <row r="11" spans="1:27">
      <c r="A11" s="717" t="s">
        <v>824</v>
      </c>
    </row>
    <row r="12" spans="1:27">
      <c r="A12" s="716" t="s">
        <v>1014</v>
      </c>
    </row>
    <row r="13" spans="1:27">
      <c r="A13" s="716" t="s">
        <v>1165</v>
      </c>
    </row>
    <row r="14" spans="1:27">
      <c r="A14" s="717" t="s">
        <v>1166</v>
      </c>
    </row>
    <row r="15" spans="1:27">
      <c r="A15" s="716" t="s">
        <v>832</v>
      </c>
    </row>
    <row r="16" spans="1:27">
      <c r="A16" s="717" t="s">
        <v>1167</v>
      </c>
    </row>
    <row r="17" spans="1:42">
      <c r="A17" s="717" t="s">
        <v>1008</v>
      </c>
    </row>
    <row r="18" spans="1:42">
      <c r="A18" s="717" t="s">
        <v>845</v>
      </c>
    </row>
    <row r="19" spans="1:42">
      <c r="A19" s="717"/>
    </row>
    <row r="20" spans="1:42">
      <c r="A20" s="717"/>
    </row>
    <row r="21" spans="1:42">
      <c r="A21" s="215" t="s">
        <v>816</v>
      </c>
      <c r="B21" s="965"/>
      <c r="C21" s="966"/>
      <c r="D21" s="966"/>
      <c r="E21" s="966"/>
      <c r="F21" s="966"/>
      <c r="G21" s="966"/>
      <c r="H21" s="966"/>
      <c r="I21" s="966"/>
      <c r="J21" s="966"/>
      <c r="K21" s="966"/>
      <c r="L21" s="966"/>
      <c r="M21" s="966"/>
      <c r="N21" s="966"/>
      <c r="O21" s="966"/>
      <c r="P21" s="966"/>
      <c r="Q21" s="966"/>
      <c r="R21" s="966"/>
      <c r="S21" s="966"/>
      <c r="T21" s="966"/>
      <c r="U21" s="966"/>
      <c r="V21" s="966"/>
      <c r="W21" s="966"/>
      <c r="X21" s="966"/>
      <c r="Y21" s="966"/>
      <c r="Z21" s="966"/>
      <c r="AA21" s="966"/>
      <c r="AB21" s="966"/>
      <c r="AC21" s="966"/>
      <c r="AD21" s="966"/>
      <c r="AE21" s="966"/>
      <c r="AF21" s="966"/>
      <c r="AG21" s="966"/>
      <c r="AH21" s="966"/>
      <c r="AI21" s="966"/>
      <c r="AJ21" s="966"/>
      <c r="AK21" s="966"/>
      <c r="AL21" s="966"/>
      <c r="AM21" s="966"/>
      <c r="AN21" s="966"/>
      <c r="AO21" s="966"/>
      <c r="AP21" s="967"/>
    </row>
    <row r="23" spans="1:42" s="662" customFormat="1">
      <c r="A23" s="661"/>
      <c r="B23" s="661"/>
      <c r="D23" s="662" t="s">
        <v>638</v>
      </c>
      <c r="E23" s="662" t="s">
        <v>638</v>
      </c>
      <c r="F23" s="662" t="s">
        <v>800</v>
      </c>
      <c r="G23" s="183" t="s">
        <v>799</v>
      </c>
      <c r="H23" s="662" t="s">
        <v>800</v>
      </c>
      <c r="I23" s="662" t="s">
        <v>800</v>
      </c>
      <c r="J23" s="662" t="s">
        <v>800</v>
      </c>
      <c r="K23" s="662" t="s">
        <v>800</v>
      </c>
      <c r="L23" s="662" t="s">
        <v>800</v>
      </c>
      <c r="M23" s="662" t="s">
        <v>800</v>
      </c>
      <c r="N23" s="662" t="s">
        <v>800</v>
      </c>
      <c r="O23" s="662" t="s">
        <v>800</v>
      </c>
      <c r="P23" s="662" t="s">
        <v>800</v>
      </c>
      <c r="Q23" s="662" t="s">
        <v>800</v>
      </c>
      <c r="R23" s="662" t="s">
        <v>800</v>
      </c>
      <c r="S23" s="662" t="s">
        <v>800</v>
      </c>
      <c r="T23" s="662" t="s">
        <v>800</v>
      </c>
      <c r="U23" s="662" t="s">
        <v>800</v>
      </c>
      <c r="V23" s="662" t="s">
        <v>800</v>
      </c>
      <c r="W23" s="662" t="s">
        <v>800</v>
      </c>
      <c r="X23" s="662" t="s">
        <v>800</v>
      </c>
      <c r="Y23" s="662" t="s">
        <v>800</v>
      </c>
      <c r="Z23" s="662" t="s">
        <v>800</v>
      </c>
      <c r="AA23" s="662" t="s">
        <v>800</v>
      </c>
      <c r="AB23" s="662" t="s">
        <v>800</v>
      </c>
      <c r="AC23" s="662" t="s">
        <v>800</v>
      </c>
      <c r="AD23" s="662" t="s">
        <v>800</v>
      </c>
      <c r="AE23" s="662" t="s">
        <v>800</v>
      </c>
      <c r="AF23" s="662" t="s">
        <v>800</v>
      </c>
      <c r="AG23" s="662" t="s">
        <v>800</v>
      </c>
      <c r="AH23" s="662" t="s">
        <v>800</v>
      </c>
      <c r="AI23" s="662" t="s">
        <v>800</v>
      </c>
      <c r="AJ23" s="662" t="s">
        <v>800</v>
      </c>
      <c r="AK23" s="662" t="s">
        <v>800</v>
      </c>
      <c r="AL23" s="662" t="s">
        <v>800</v>
      </c>
      <c r="AM23" s="662" t="s">
        <v>800</v>
      </c>
      <c r="AN23" s="662" t="s">
        <v>800</v>
      </c>
      <c r="AO23" s="662" t="s">
        <v>800</v>
      </c>
      <c r="AP23" s="662" t="s">
        <v>800</v>
      </c>
    </row>
    <row r="24" spans="1:42" s="183" customFormat="1">
      <c r="D24" s="183">
        <v>21</v>
      </c>
      <c r="E24" s="183">
        <v>22</v>
      </c>
      <c r="F24" s="183">
        <v>5</v>
      </c>
      <c r="H24" s="183">
        <v>5</v>
      </c>
      <c r="I24" s="183">
        <v>6</v>
      </c>
      <c r="J24" s="183">
        <v>10</v>
      </c>
      <c r="K24" s="183">
        <v>11</v>
      </c>
      <c r="L24" s="183">
        <v>12</v>
      </c>
      <c r="M24" s="183">
        <v>13</v>
      </c>
      <c r="N24" s="183">
        <v>14</v>
      </c>
      <c r="O24" s="183">
        <v>19</v>
      </c>
      <c r="P24" s="183">
        <v>20</v>
      </c>
      <c r="Q24" s="183">
        <v>20</v>
      </c>
      <c r="R24" s="183">
        <v>21</v>
      </c>
      <c r="S24" s="183">
        <v>25</v>
      </c>
      <c r="T24" s="183">
        <v>26</v>
      </c>
      <c r="U24" s="183">
        <v>27</v>
      </c>
      <c r="V24" s="183">
        <v>28</v>
      </c>
      <c r="W24" s="183">
        <v>29</v>
      </c>
      <c r="X24" s="183">
        <v>34</v>
      </c>
      <c r="Y24" s="183">
        <v>35</v>
      </c>
      <c r="Z24" s="183">
        <v>35</v>
      </c>
      <c r="AA24" s="183">
        <v>36</v>
      </c>
      <c r="AB24" s="183">
        <v>42</v>
      </c>
      <c r="AC24" s="183">
        <v>43</v>
      </c>
      <c r="AD24" s="183">
        <v>49</v>
      </c>
      <c r="AE24" s="183">
        <v>54</v>
      </c>
      <c r="AF24" s="183">
        <v>59</v>
      </c>
      <c r="AG24" s="183">
        <v>64</v>
      </c>
      <c r="AH24" s="183">
        <v>68</v>
      </c>
      <c r="AI24" s="183">
        <v>69</v>
      </c>
      <c r="AJ24" s="183">
        <v>69</v>
      </c>
      <c r="AK24" s="183">
        <v>70</v>
      </c>
      <c r="AL24" s="183">
        <v>90</v>
      </c>
      <c r="AM24" s="183">
        <v>91</v>
      </c>
      <c r="AN24" s="183">
        <v>92</v>
      </c>
      <c r="AO24" s="183">
        <v>93</v>
      </c>
      <c r="AP24" s="183">
        <v>88</v>
      </c>
    </row>
    <row r="25" spans="1:42" s="183" customFormat="1">
      <c r="D25" s="183">
        <v>2</v>
      </c>
      <c r="E25" s="183">
        <v>2</v>
      </c>
      <c r="F25" s="183">
        <v>3</v>
      </c>
      <c r="H25" s="183">
        <v>10</v>
      </c>
      <c r="I25" s="183">
        <v>10</v>
      </c>
      <c r="J25" s="183">
        <v>10</v>
      </c>
      <c r="K25" s="183">
        <v>10</v>
      </c>
      <c r="L25" s="183">
        <v>10</v>
      </c>
      <c r="M25" s="183">
        <v>10</v>
      </c>
      <c r="N25" s="183">
        <v>10</v>
      </c>
      <c r="O25" s="183">
        <v>10</v>
      </c>
      <c r="P25" s="183">
        <v>10</v>
      </c>
      <c r="Q25" s="183">
        <v>3</v>
      </c>
      <c r="R25" s="183">
        <v>10</v>
      </c>
      <c r="S25" s="183">
        <v>10</v>
      </c>
      <c r="T25" s="183">
        <v>10</v>
      </c>
      <c r="U25" s="183">
        <v>10</v>
      </c>
      <c r="V25" s="183">
        <v>10</v>
      </c>
      <c r="W25" s="183">
        <v>10</v>
      </c>
      <c r="X25" s="183">
        <v>10</v>
      </c>
      <c r="Y25" s="183">
        <v>10</v>
      </c>
      <c r="Z25" s="183">
        <v>3</v>
      </c>
      <c r="AA25" s="183">
        <v>10</v>
      </c>
      <c r="AB25" s="183">
        <v>10</v>
      </c>
      <c r="AC25" s="183">
        <v>10</v>
      </c>
      <c r="AD25" s="183">
        <v>10</v>
      </c>
      <c r="AE25" s="183">
        <v>10</v>
      </c>
      <c r="AF25" s="183">
        <v>10</v>
      </c>
      <c r="AG25" s="183">
        <v>10</v>
      </c>
      <c r="AH25" s="183">
        <v>10</v>
      </c>
      <c r="AI25" s="183">
        <v>10</v>
      </c>
      <c r="AJ25" s="183">
        <v>3</v>
      </c>
      <c r="AK25" s="183">
        <v>10</v>
      </c>
      <c r="AL25" s="183">
        <v>10</v>
      </c>
      <c r="AM25" s="183">
        <v>10</v>
      </c>
      <c r="AN25" s="183">
        <v>10</v>
      </c>
      <c r="AO25" s="183">
        <v>10</v>
      </c>
      <c r="AP25" s="183">
        <v>10</v>
      </c>
    </row>
    <row r="26" spans="1:42">
      <c r="D26" s="1415" t="s">
        <v>819</v>
      </c>
      <c r="E26" s="1415"/>
      <c r="F26" s="1415"/>
      <c r="G26" s="1415"/>
      <c r="H26" s="1415"/>
      <c r="I26" s="1415"/>
      <c r="J26" s="1435" t="str">
        <f xml:space="preserve"> $B$83 &amp; " Reductions for Current Phase"</f>
        <v>TN Reductions for Current Phase</v>
      </c>
      <c r="K26" s="1435"/>
      <c r="L26" s="1435"/>
      <c r="M26" s="1435"/>
      <c r="N26" s="1435"/>
      <c r="O26" s="1435"/>
      <c r="P26" s="1435"/>
      <c r="Q26" s="1435"/>
      <c r="R26" s="1435"/>
      <c r="S26" s="1432" t="str">
        <f xml:space="preserve"> $B$83 &amp; " Reductions for Near-Term Phase"</f>
        <v>TN Reductions for Near-Term Phase</v>
      </c>
      <c r="T26" s="1432"/>
      <c r="U26" s="1432"/>
      <c r="V26" s="1432"/>
      <c r="W26" s="1432"/>
      <c r="X26" s="1432"/>
      <c r="Y26" s="1432"/>
      <c r="Z26" s="1432"/>
      <c r="AA26" s="1432"/>
      <c r="AB26" s="1430" t="str">
        <f xml:space="preserve"> $B$83 &amp; " Reductions for Long-Term Phase"</f>
        <v>TN Reductions for Long-Term Phase</v>
      </c>
      <c r="AC26" s="1430"/>
      <c r="AD26" s="1430"/>
      <c r="AE26" s="1430"/>
      <c r="AF26" s="1430"/>
      <c r="AG26" s="1430"/>
      <c r="AH26" s="1430"/>
      <c r="AI26" s="1430"/>
      <c r="AJ26" s="1430"/>
      <c r="AK26" s="1430"/>
      <c r="AL26" s="1416" t="str">
        <f xml:space="preserve"> "Summary of " &amp; $B$83 &amp; " Reductions"</f>
        <v>Summary of TN Reductions</v>
      </c>
      <c r="AM26" s="1416"/>
      <c r="AN26" s="1416"/>
      <c r="AO26" s="1416"/>
      <c r="AP26" s="1416"/>
    </row>
    <row r="27" spans="1:42" s="396" customFormat="1" ht="30" customHeight="1">
      <c r="A27" s="665"/>
      <c r="B27" s="665"/>
      <c r="D27" s="1433" t="s">
        <v>797</v>
      </c>
      <c r="E27" s="1433"/>
      <c r="F27" s="1433"/>
      <c r="G27" s="1433"/>
      <c r="H27" s="1433"/>
      <c r="I27" s="1433"/>
      <c r="J27" s="746" t="s">
        <v>985</v>
      </c>
      <c r="K27" s="746" t="s">
        <v>986</v>
      </c>
      <c r="L27" s="743" t="s">
        <v>803</v>
      </c>
      <c r="M27" s="743" t="s">
        <v>805</v>
      </c>
      <c r="N27" s="743" t="s">
        <v>804</v>
      </c>
      <c r="O27" s="1434" t="str">
        <f xml:space="preserve"> "Summary of " &amp; $B$83 &amp; " Reductions for Current Phase"</f>
        <v>Summary of TN Reductions for Current Phase</v>
      </c>
      <c r="P27" s="1434"/>
      <c r="Q27" s="1434"/>
      <c r="R27" s="1434"/>
      <c r="S27" s="747" t="s">
        <v>985</v>
      </c>
      <c r="T27" s="747" t="s">
        <v>986</v>
      </c>
      <c r="U27" s="747" t="s">
        <v>803</v>
      </c>
      <c r="V27" s="747" t="s">
        <v>805</v>
      </c>
      <c r="W27" s="747" t="s">
        <v>804</v>
      </c>
      <c r="X27" s="1408" t="str">
        <f xml:space="preserve"> "Summary of " &amp; $B$83 &amp; " Reductions for Near-Term Phase"</f>
        <v>Summary of TN Reductions for Near-Term Phase</v>
      </c>
      <c r="Y27" s="1408"/>
      <c r="Z27" s="1408"/>
      <c r="AA27" s="1408"/>
      <c r="AB27" s="748" t="s">
        <v>985</v>
      </c>
      <c r="AC27" s="748" t="s">
        <v>986</v>
      </c>
      <c r="AD27" s="748" t="s">
        <v>803</v>
      </c>
      <c r="AE27" s="748" t="s">
        <v>805</v>
      </c>
      <c r="AF27" s="748" t="s">
        <v>804</v>
      </c>
      <c r="AG27" s="748" t="s">
        <v>806</v>
      </c>
      <c r="AH27" s="1429" t="str">
        <f xml:space="preserve"> "Summary of " &amp; $B$83 &amp; " Reductions for Long-Term Phase"</f>
        <v>Summary of TN Reductions for Long-Term Phase</v>
      </c>
      <c r="AI27" s="1429"/>
      <c r="AJ27" s="1429"/>
      <c r="AK27" s="1429"/>
      <c r="AL27" s="1409" t="str">
        <f>"Overall " &amp; $B$83 &amp; " Load Reduction as a percentage of Baseline Load"</f>
        <v>Overall TN Load Reduction as a percentage of Baseline Load</v>
      </c>
      <c r="AM27" s="1409"/>
      <c r="AN27" s="1409"/>
      <c r="AO27" s="1409" t="str">
        <f xml:space="preserve"> "Overall " &amp; $B$83 &amp; " Load Reduction, All Phases"</f>
        <v>Overall TN Load Reduction, All Phases</v>
      </c>
      <c r="AP27" s="1409"/>
    </row>
    <row r="28" spans="1:42" s="396" customFormat="1" ht="60">
      <c r="A28" s="1431" t="s">
        <v>787</v>
      </c>
      <c r="B28" s="1431"/>
      <c r="C28" s="732" t="s">
        <v>788</v>
      </c>
      <c r="D28" s="730" t="s">
        <v>789</v>
      </c>
      <c r="E28" s="730" t="s">
        <v>790</v>
      </c>
      <c r="F28" s="730" t="s">
        <v>488</v>
      </c>
      <c r="G28" s="730" t="s">
        <v>487</v>
      </c>
      <c r="H28" s="730" t="str">
        <f xml:space="preserve"> $B$83 &amp; " Load, in mton/yr"</f>
        <v>TN Load, in mton/yr</v>
      </c>
      <c r="I28" s="730" t="str">
        <f xml:space="preserve"> $B$83 &amp; " Conc., in " &amp; $E$83</f>
        <v>TN Conc., in ppm</v>
      </c>
      <c r="J28" s="731" t="str">
        <f xml:space="preserve"> $B$83 &amp; " Load Reduction, in mton/yr"</f>
        <v>TN Load Reduction, in mton/yr</v>
      </c>
      <c r="K28" s="731" t="str">
        <f xml:space="preserve"> $B$83 &amp; " Load Reduction, in mton/yr"</f>
        <v>TN Load Reduction, in mton/yr</v>
      </c>
      <c r="L28" s="731" t="str">
        <f xml:space="preserve"> $B$83 &amp; " Load Reduction, in mton/yr"</f>
        <v>TN Load Reduction, in mton/yr</v>
      </c>
      <c r="M28" s="731" t="str">
        <f xml:space="preserve"> $B$83 &amp; " Load Reduction, in mton/yr"</f>
        <v>TN Load Reduction, in mton/yr</v>
      </c>
      <c r="N28" s="731" t="str">
        <f xml:space="preserve"> $B$83 &amp; " Load Reduction, in mton/yr"</f>
        <v>TN Load Reduction, in mton/yr</v>
      </c>
      <c r="O28" s="731" t="str">
        <f xml:space="preserve"> $B$83 &amp; " Total Reduction, in mton/yr"</f>
        <v>TN Total Reduction, in mton/yr</v>
      </c>
      <c r="P28" s="731" t="str">
        <f xml:space="preserve"> $B$83 &amp; " Remaining Load, in mton/yr"</f>
        <v>TN Remaining Load, in mton/yr</v>
      </c>
      <c r="Q28" s="731" t="s">
        <v>807</v>
      </c>
      <c r="R28" s="731" t="str">
        <f xml:space="preserve"> $B$83 &amp; " Conc., in " &amp; $E$83</f>
        <v>TN Conc., in ppm</v>
      </c>
      <c r="S28" s="730" t="str">
        <f xml:space="preserve"> $B$83 &amp; " Load Reduction, in mton/yr"</f>
        <v>TN Load Reduction, in mton/yr</v>
      </c>
      <c r="T28" s="730" t="str">
        <f xml:space="preserve"> $B$83 &amp; " Load Reduction, in mton/yr"</f>
        <v>TN Load Reduction, in mton/yr</v>
      </c>
      <c r="U28" s="730" t="str">
        <f xml:space="preserve"> $B$83 &amp; " Load Reduction, in mton/yr"</f>
        <v>TN Load Reduction, in mton/yr</v>
      </c>
      <c r="V28" s="730" t="str">
        <f xml:space="preserve"> $B$83 &amp; " Load Reduction, in mton/yr"</f>
        <v>TN Load Reduction, in mton/yr</v>
      </c>
      <c r="W28" s="730" t="str">
        <f xml:space="preserve"> $B$83 &amp; " Load Reduction, in mton/yr"</f>
        <v>TN Load Reduction, in mton/yr</v>
      </c>
      <c r="X28" s="730" t="str">
        <f xml:space="preserve"> $B$83 &amp; " Total Reduction, in mton/yr"</f>
        <v>TN Total Reduction, in mton/yr</v>
      </c>
      <c r="Y28" s="730" t="str">
        <f xml:space="preserve"> $B$83 &amp; " Remaining Load, in mton/yr"</f>
        <v>TN Remaining Load, in mton/yr</v>
      </c>
      <c r="Z28" s="730" t="s">
        <v>807</v>
      </c>
      <c r="AA28" s="730" t="str">
        <f xml:space="preserve"> $B$83 &amp; " Conc., in " &amp; $E$83</f>
        <v>TN Conc., in ppm</v>
      </c>
      <c r="AB28" s="730" t="str">
        <f t="shared" ref="AB28:AG28" si="0" xml:space="preserve"> $B$83 &amp; " Load Reduction, in mton/yr"</f>
        <v>TN Load Reduction, in mton/yr</v>
      </c>
      <c r="AC28" s="730" t="str">
        <f t="shared" si="0"/>
        <v>TN Load Reduction, in mton/yr</v>
      </c>
      <c r="AD28" s="730" t="str">
        <f t="shared" si="0"/>
        <v>TN Load Reduction, in mton/yr</v>
      </c>
      <c r="AE28" s="730" t="str">
        <f t="shared" si="0"/>
        <v>TN Load Reduction, in mton/yr</v>
      </c>
      <c r="AF28" s="730" t="str">
        <f t="shared" si="0"/>
        <v>TN Load Reduction, in mton/yr</v>
      </c>
      <c r="AG28" s="730" t="str">
        <f t="shared" si="0"/>
        <v>TN Load Reduction, in mton/yr</v>
      </c>
      <c r="AH28" s="730" t="str">
        <f xml:space="preserve"> $B$83 &amp; " Total Reduction, in mton/yr"</f>
        <v>TN Total Reduction, in mton/yr</v>
      </c>
      <c r="AI28" s="730" t="str">
        <f xml:space="preserve"> $B$83 &amp; " Remaining Load, in mton/yr"</f>
        <v>TN Remaining Load, in mton/yr</v>
      </c>
      <c r="AJ28" s="730" t="s">
        <v>807</v>
      </c>
      <c r="AK28" s="730" t="str">
        <f xml:space="preserve"> $B$83 &amp; " Conc., in " &amp; $E$83</f>
        <v>TN Conc., in ppm</v>
      </c>
      <c r="AL28" s="731" t="s">
        <v>808</v>
      </c>
      <c r="AM28" s="731" t="s">
        <v>987</v>
      </c>
      <c r="AN28" s="731" t="s">
        <v>1168</v>
      </c>
      <c r="AO28" s="731" t="s">
        <v>988</v>
      </c>
      <c r="AP28" s="731" t="s">
        <v>1038</v>
      </c>
    </row>
    <row r="29" spans="1:42">
      <c r="A29" s="183" t="s">
        <v>206</v>
      </c>
      <c r="B29" s="183" t="s">
        <v>207</v>
      </c>
      <c r="C29" s="686" t="s">
        <v>782</v>
      </c>
      <c r="D29" s="6"/>
      <c r="E29" s="7"/>
      <c r="F29" s="7"/>
      <c r="G29" s="7"/>
      <c r="H29" s="7"/>
      <c r="I29" s="7"/>
      <c r="J29" s="6"/>
      <c r="K29" s="7"/>
      <c r="L29" s="7"/>
      <c r="M29" s="7"/>
      <c r="N29" s="7"/>
      <c r="O29" s="6"/>
      <c r="P29" s="7"/>
      <c r="Q29" s="7"/>
      <c r="R29" s="8"/>
      <c r="S29" s="7"/>
      <c r="T29" s="7"/>
      <c r="U29" s="7"/>
      <c r="V29" s="7"/>
      <c r="W29" s="7"/>
      <c r="X29" s="6"/>
      <c r="Y29" s="7"/>
      <c r="Z29" s="7"/>
      <c r="AA29" s="8"/>
      <c r="AB29" s="6"/>
      <c r="AC29" s="7"/>
      <c r="AD29" s="7"/>
      <c r="AE29" s="7"/>
      <c r="AF29" s="7"/>
      <c r="AG29" s="7"/>
      <c r="AH29" s="6"/>
      <c r="AI29" s="7"/>
      <c r="AJ29" s="7"/>
      <c r="AK29" s="8"/>
      <c r="AL29" s="6"/>
      <c r="AM29" s="7"/>
      <c r="AN29" s="8"/>
      <c r="AO29" s="6"/>
      <c r="AP29" s="8"/>
    </row>
    <row r="30" spans="1:42">
      <c r="A30" s="183">
        <v>1</v>
      </c>
      <c r="B30" s="183">
        <f t="shared" ref="B30:B35" si="1">VLOOKUP($A30,subwatgeog,4,FALSE)</f>
        <v>1</v>
      </c>
      <c r="C30" s="687" t="str">
        <f t="shared" ref="C30:C35" si="2">VLOOKUP($A30,subwatgeog,2,FALSE)</f>
        <v>Coastal</v>
      </c>
      <c r="D30" s="681">
        <f t="shared" ref="D30:E35" si="3">VLOOKUP(D$24,bott_luacres,D$25+$B30,FALSE)</f>
        <v>229321.80585586905</v>
      </c>
      <c r="E30" s="668">
        <f t="shared" si="3"/>
        <v>128066.19735670363</v>
      </c>
      <c r="F30" s="668">
        <f t="shared" ref="F30:F35" si="4">VLOOKUP(F$24,loads_summ,F$25+$A30,FALSE)</f>
        <v>222351.6538822767</v>
      </c>
      <c r="G30" s="65">
        <f>F30/D30*12</f>
        <v>11.63526441207393</v>
      </c>
      <c r="H30" s="667">
        <f t="shared" ref="H30:H35" si="5">VLOOKUP(H$24,loads_summ,H$25+$A30,FALSE)</f>
        <v>282.43225947662467</v>
      </c>
      <c r="I30" s="698">
        <f t="shared" ref="I30:I35" si="6">VLOOKUP(I$24,loads_summ,I$25+$A30,FALSE)*$D$83</f>
        <v>1.0297722329100547</v>
      </c>
      <c r="J30" s="666">
        <f t="shared" ref="J30:Q35" si="7">VLOOKUP(J$24,loads_summ,J$25+$A30,FALSE)</f>
        <v>2.4610772478602647</v>
      </c>
      <c r="K30" s="667">
        <f t="shared" si="7"/>
        <v>9.2745329087672176E-2</v>
      </c>
      <c r="L30" s="667">
        <f t="shared" si="7"/>
        <v>0</v>
      </c>
      <c r="M30" s="667">
        <f t="shared" si="7"/>
        <v>0</v>
      </c>
      <c r="N30" s="667">
        <f t="shared" si="7"/>
        <v>0</v>
      </c>
      <c r="O30" s="666">
        <f t="shared" si="7"/>
        <v>2.5538225769479368</v>
      </c>
      <c r="P30" s="667">
        <f t="shared" si="7"/>
        <v>279.87843689967673</v>
      </c>
      <c r="Q30" s="668">
        <f t="shared" si="7"/>
        <v>222351.6538822767</v>
      </c>
      <c r="R30" s="669">
        <f t="shared" ref="R30:R35" si="8">VLOOKUP(R$24,loads_summ,R$25+$A30,FALSE)*$D$83</f>
        <v>1.0204607768377447</v>
      </c>
      <c r="S30" s="666">
        <f t="shared" ref="S30:Z35" si="9">VLOOKUP(S$24,loads_summ,S$25+$A30,FALSE)</f>
        <v>5.6266947665939924</v>
      </c>
      <c r="T30" s="667">
        <f t="shared" si="9"/>
        <v>2.5096800238193651</v>
      </c>
      <c r="U30" s="667">
        <f t="shared" si="9"/>
        <v>0</v>
      </c>
      <c r="V30" s="667">
        <f t="shared" si="9"/>
        <v>0</v>
      </c>
      <c r="W30" s="667">
        <f t="shared" si="9"/>
        <v>0</v>
      </c>
      <c r="X30" s="666">
        <f t="shared" si="9"/>
        <v>8.1363747904133561</v>
      </c>
      <c r="Y30" s="667">
        <f t="shared" si="9"/>
        <v>271.74206210926337</v>
      </c>
      <c r="Z30" s="668">
        <f t="shared" si="9"/>
        <v>222351.6538822767</v>
      </c>
      <c r="AA30" s="669">
        <f t="shared" ref="AA30:AA35" si="10">VLOOKUP(AA$24,loads_summ,AA$25+$A30,FALSE)*$D$83</f>
        <v>0.99079485676457946</v>
      </c>
      <c r="AB30" s="666">
        <f t="shared" ref="AB30:AJ35" si="11">VLOOKUP(AB$24,loads_summ,AB$25+$A30,FALSE)</f>
        <v>16.523000464148339</v>
      </c>
      <c r="AC30" s="667">
        <f t="shared" si="11"/>
        <v>4.4712222807910367</v>
      </c>
      <c r="AD30" s="667">
        <f t="shared" si="11"/>
        <v>0</v>
      </c>
      <c r="AE30" s="667">
        <f t="shared" si="11"/>
        <v>27.862551325449573</v>
      </c>
      <c r="AF30" s="667">
        <f t="shared" si="11"/>
        <v>0</v>
      </c>
      <c r="AG30" s="667">
        <f t="shared" si="11"/>
        <v>0</v>
      </c>
      <c r="AH30" s="666">
        <f t="shared" si="11"/>
        <v>48.856774070388951</v>
      </c>
      <c r="AI30" s="667">
        <f t="shared" si="11"/>
        <v>222.88528803887442</v>
      </c>
      <c r="AJ30" s="668">
        <f t="shared" si="11"/>
        <v>216457.6538822767</v>
      </c>
      <c r="AK30" s="669">
        <f t="shared" ref="AK30:AK35" si="12">VLOOKUP(AK$24,loads_summ,AK$25+$A30,FALSE)*$D$83</f>
        <v>0.83478703789820408</v>
      </c>
      <c r="AL30" s="704">
        <f t="shared" ref="AL30:AP35" si="13">VLOOKUP(AL$24,loads_summ,AL$25+$A30,FALSE)</f>
        <v>9.0422481542314827E-3</v>
      </c>
      <c r="AM30" s="524">
        <f t="shared" si="13"/>
        <v>2.8808234602842025E-2</v>
      </c>
      <c r="AN30" s="696">
        <f t="shared" si="13"/>
        <v>0.17298581316782105</v>
      </c>
      <c r="AO30" s="704">
        <f t="shared" si="13"/>
        <v>0.21083629592489456</v>
      </c>
      <c r="AP30" s="979">
        <f t="shared" si="13"/>
        <v>59.546971437750244</v>
      </c>
    </row>
    <row r="31" spans="1:42">
      <c r="A31" s="183">
        <v>2</v>
      </c>
      <c r="B31" s="183">
        <f t="shared" si="1"/>
        <v>4</v>
      </c>
      <c r="C31" s="687" t="str">
        <f t="shared" si="2"/>
        <v>Tidal Cal.</v>
      </c>
      <c r="D31" s="681">
        <f t="shared" si="3"/>
        <v>264705.30718432611</v>
      </c>
      <c r="E31" s="668">
        <f t="shared" si="3"/>
        <v>241964.7613002033</v>
      </c>
      <c r="F31" s="668">
        <f t="shared" si="4"/>
        <v>436972.92238569196</v>
      </c>
      <c r="G31" s="65">
        <f t="shared" ref="G31:G40" si="14">F31/D31*12</f>
        <v>19.809482191367241</v>
      </c>
      <c r="H31" s="667">
        <f t="shared" si="5"/>
        <v>629.5347888603726</v>
      </c>
      <c r="I31" s="698">
        <f t="shared" si="6"/>
        <v>1.1679720484565255</v>
      </c>
      <c r="J31" s="666">
        <f t="shared" si="7"/>
        <v>4.6520190734990319</v>
      </c>
      <c r="K31" s="667">
        <f t="shared" si="7"/>
        <v>0.17160987049863885</v>
      </c>
      <c r="L31" s="667">
        <f t="shared" si="7"/>
        <v>0</v>
      </c>
      <c r="M31" s="667">
        <f t="shared" si="7"/>
        <v>11.296718721999987</v>
      </c>
      <c r="N31" s="667">
        <f t="shared" si="7"/>
        <v>0</v>
      </c>
      <c r="O31" s="666">
        <f t="shared" si="7"/>
        <v>16.120347665997656</v>
      </c>
      <c r="P31" s="667">
        <f t="shared" si="7"/>
        <v>613.41444119437494</v>
      </c>
      <c r="Q31" s="668">
        <f t="shared" si="7"/>
        <v>436972.92238569196</v>
      </c>
      <c r="R31" s="669">
        <f t="shared" si="8"/>
        <v>1.1380640658978958</v>
      </c>
      <c r="S31" s="666">
        <f t="shared" si="9"/>
        <v>11.08005349238171</v>
      </c>
      <c r="T31" s="667">
        <f t="shared" si="9"/>
        <v>11.771577456369794</v>
      </c>
      <c r="U31" s="667">
        <f t="shared" si="9"/>
        <v>0</v>
      </c>
      <c r="V31" s="667">
        <f t="shared" si="9"/>
        <v>1.9731269399999869</v>
      </c>
      <c r="W31" s="667">
        <f t="shared" si="9"/>
        <v>0</v>
      </c>
      <c r="X31" s="666">
        <f t="shared" si="9"/>
        <v>24.824757888751492</v>
      </c>
      <c r="Y31" s="667">
        <f t="shared" si="9"/>
        <v>588.58968330562345</v>
      </c>
      <c r="Z31" s="668">
        <f t="shared" si="9"/>
        <v>435972.92238569196</v>
      </c>
      <c r="AA31" s="669">
        <f t="shared" si="10"/>
        <v>1.0945116026319424</v>
      </c>
      <c r="AB31" s="666">
        <f t="shared" si="11"/>
        <v>30.788118169109552</v>
      </c>
      <c r="AC31" s="667">
        <f t="shared" si="11"/>
        <v>21.780004085865254</v>
      </c>
      <c r="AD31" s="667">
        <f t="shared" si="11"/>
        <v>0.13539189579046251</v>
      </c>
      <c r="AE31" s="667">
        <f t="shared" si="11"/>
        <v>10.485510947750413</v>
      </c>
      <c r="AF31" s="667">
        <f t="shared" si="11"/>
        <v>13.495984153020004</v>
      </c>
      <c r="AG31" s="667">
        <f t="shared" si="11"/>
        <v>13.784625583361276</v>
      </c>
      <c r="AH31" s="666">
        <f t="shared" si="11"/>
        <v>90.469634834896965</v>
      </c>
      <c r="AI31" s="667">
        <f t="shared" si="11"/>
        <v>498.12004847072649</v>
      </c>
      <c r="AJ31" s="668">
        <f t="shared" si="11"/>
        <v>432551.92238569196</v>
      </c>
      <c r="AK31" s="669">
        <f t="shared" si="12"/>
        <v>0.93360467145584647</v>
      </c>
      <c r="AL31" s="704">
        <f t="shared" si="13"/>
        <v>2.5606762249279064E-2</v>
      </c>
      <c r="AM31" s="524">
        <f t="shared" si="13"/>
        <v>3.943349649300714E-2</v>
      </c>
      <c r="AN31" s="696">
        <f t="shared" si="13"/>
        <v>0.14370871385626099</v>
      </c>
      <c r="AO31" s="704">
        <f t="shared" si="13"/>
        <v>0.20874897259854719</v>
      </c>
      <c r="AP31" s="979">
        <f t="shared" si="13"/>
        <v>131.41474038964611</v>
      </c>
    </row>
    <row r="32" spans="1:42">
      <c r="A32" s="183">
        <v>3</v>
      </c>
      <c r="B32" s="183">
        <f t="shared" si="1"/>
        <v>5</v>
      </c>
      <c r="C32" s="687" t="str">
        <f t="shared" si="2"/>
        <v>West Cal.</v>
      </c>
      <c r="D32" s="681">
        <f t="shared" si="3"/>
        <v>350113.84217788803</v>
      </c>
      <c r="E32" s="668">
        <f t="shared" si="3"/>
        <v>346460.06277953705</v>
      </c>
      <c r="F32" s="668">
        <f t="shared" si="4"/>
        <v>592883.25223140384</v>
      </c>
      <c r="G32" s="65">
        <f t="shared" si="14"/>
        <v>20.320816173734759</v>
      </c>
      <c r="H32" s="667">
        <f t="shared" si="5"/>
        <v>957.86749900000109</v>
      </c>
      <c r="I32" s="698">
        <f t="shared" si="6"/>
        <v>1.3097955059772124</v>
      </c>
      <c r="J32" s="666">
        <f t="shared" si="7"/>
        <v>1.1855259401890974</v>
      </c>
      <c r="K32" s="667">
        <f t="shared" si="7"/>
        <v>118.95294733592186</v>
      </c>
      <c r="L32" s="667">
        <f t="shared" si="7"/>
        <v>1.2089936157405072</v>
      </c>
      <c r="M32" s="667">
        <f t="shared" si="7"/>
        <v>0</v>
      </c>
      <c r="N32" s="667">
        <f t="shared" si="7"/>
        <v>0</v>
      </c>
      <c r="O32" s="666">
        <f t="shared" si="7"/>
        <v>121.34746689185147</v>
      </c>
      <c r="P32" s="667">
        <f t="shared" si="7"/>
        <v>836.52003210814962</v>
      </c>
      <c r="Q32" s="668">
        <f t="shared" si="7"/>
        <v>592268.25223140384</v>
      </c>
      <c r="R32" s="669">
        <f t="shared" si="8"/>
        <v>1.1450517976348811</v>
      </c>
      <c r="S32" s="666">
        <f t="shared" si="9"/>
        <v>2.714664878924995</v>
      </c>
      <c r="T32" s="667">
        <f t="shared" si="9"/>
        <v>35.654385917208138</v>
      </c>
      <c r="U32" s="667">
        <f t="shared" si="9"/>
        <v>0</v>
      </c>
      <c r="V32" s="667">
        <f t="shared" si="9"/>
        <v>1.5507416971199994</v>
      </c>
      <c r="W32" s="667">
        <f t="shared" si="9"/>
        <v>2.5401174399999986</v>
      </c>
      <c r="X32" s="666">
        <f t="shared" si="9"/>
        <v>42.45990993325313</v>
      </c>
      <c r="Y32" s="667">
        <f t="shared" si="9"/>
        <v>794.06012217489649</v>
      </c>
      <c r="Z32" s="668">
        <f t="shared" si="9"/>
        <v>592268.25223140384</v>
      </c>
      <c r="AA32" s="669">
        <f t="shared" si="10"/>
        <v>1.0869314964701138</v>
      </c>
      <c r="AB32" s="666">
        <f t="shared" si="11"/>
        <v>7.9550685827768941</v>
      </c>
      <c r="AC32" s="667">
        <f t="shared" si="11"/>
        <v>20.390760809940971</v>
      </c>
      <c r="AD32" s="667">
        <f t="shared" si="11"/>
        <v>7.9979498784099405</v>
      </c>
      <c r="AE32" s="667">
        <f t="shared" si="11"/>
        <v>39.703396364399964</v>
      </c>
      <c r="AF32" s="667">
        <f t="shared" si="11"/>
        <v>137.91309694077586</v>
      </c>
      <c r="AG32" s="667">
        <f t="shared" si="11"/>
        <v>0</v>
      </c>
      <c r="AH32" s="666">
        <f t="shared" si="11"/>
        <v>213.96027257630362</v>
      </c>
      <c r="AI32" s="667">
        <f t="shared" si="11"/>
        <v>580.09984959859287</v>
      </c>
      <c r="AJ32" s="668">
        <f t="shared" si="11"/>
        <v>587868.25223140384</v>
      </c>
      <c r="AK32" s="669">
        <f t="shared" si="12"/>
        <v>0.80000000000000016</v>
      </c>
      <c r="AL32" s="704">
        <f t="shared" si="13"/>
        <v>0.12668502378307683</v>
      </c>
      <c r="AM32" s="524">
        <f t="shared" si="13"/>
        <v>4.432754005912156E-2</v>
      </c>
      <c r="AN32" s="696">
        <f t="shared" si="13"/>
        <v>0.22337147131484766</v>
      </c>
      <c r="AO32" s="704">
        <f t="shared" si="13"/>
        <v>0.39438403515704606</v>
      </c>
      <c r="AP32" s="979">
        <f t="shared" si="13"/>
        <v>377.76764940140822</v>
      </c>
    </row>
    <row r="33" spans="1:42">
      <c r="A33" s="183">
        <v>4</v>
      </c>
      <c r="B33" s="183">
        <f t="shared" si="1"/>
        <v>2</v>
      </c>
      <c r="C33" s="687" t="str">
        <f t="shared" si="2"/>
        <v>East Cal.</v>
      </c>
      <c r="D33" s="681">
        <f t="shared" si="3"/>
        <v>204093.34166116777</v>
      </c>
      <c r="E33" s="668">
        <f t="shared" si="3"/>
        <v>201968.77870865492</v>
      </c>
      <c r="F33" s="668">
        <f t="shared" si="4"/>
        <v>304048.44256774255</v>
      </c>
      <c r="G33" s="65">
        <f t="shared" si="14"/>
        <v>17.877022744182522</v>
      </c>
      <c r="H33" s="667">
        <f t="shared" si="5"/>
        <v>508.66752665601132</v>
      </c>
      <c r="I33" s="698">
        <f t="shared" si="6"/>
        <v>1.3563084606842892</v>
      </c>
      <c r="J33" s="666">
        <f t="shared" si="7"/>
        <v>0.2125252672910054</v>
      </c>
      <c r="K33" s="667">
        <f t="shared" si="7"/>
        <v>72.390757795494267</v>
      </c>
      <c r="L33" s="667">
        <f t="shared" si="7"/>
        <v>7.1624641959360016</v>
      </c>
      <c r="M33" s="667">
        <f t="shared" si="7"/>
        <v>0</v>
      </c>
      <c r="N33" s="667">
        <f t="shared" si="7"/>
        <v>0</v>
      </c>
      <c r="O33" s="666">
        <f t="shared" si="7"/>
        <v>79.765747258721262</v>
      </c>
      <c r="P33" s="667">
        <f t="shared" si="7"/>
        <v>428.90177939729006</v>
      </c>
      <c r="Q33" s="668">
        <f t="shared" si="7"/>
        <v>299038.44256774255</v>
      </c>
      <c r="R33" s="669">
        <f t="shared" si="8"/>
        <v>1.1627813749016025</v>
      </c>
      <c r="S33" s="666">
        <f t="shared" si="9"/>
        <v>0.49496554676959814</v>
      </c>
      <c r="T33" s="667">
        <f t="shared" si="9"/>
        <v>22.374509522584592</v>
      </c>
      <c r="U33" s="667">
        <f t="shared" si="9"/>
        <v>0.20272290798525711</v>
      </c>
      <c r="V33" s="667">
        <f t="shared" si="9"/>
        <v>0</v>
      </c>
      <c r="W33" s="667">
        <f t="shared" si="9"/>
        <v>41.287341025200014</v>
      </c>
      <c r="X33" s="666">
        <f t="shared" si="9"/>
        <v>64.359539002539464</v>
      </c>
      <c r="Y33" s="667">
        <f t="shared" si="9"/>
        <v>364.54224039475059</v>
      </c>
      <c r="Z33" s="668">
        <f t="shared" si="9"/>
        <v>298888.44256774255</v>
      </c>
      <c r="AA33" s="669">
        <f t="shared" si="10"/>
        <v>0.98879435231014279</v>
      </c>
      <c r="AB33" s="666">
        <f t="shared" si="11"/>
        <v>1.4177618588494461</v>
      </c>
      <c r="AC33" s="667">
        <f t="shared" si="11"/>
        <v>11.236888370108121</v>
      </c>
      <c r="AD33" s="667">
        <f t="shared" si="11"/>
        <v>2.8155174594078858</v>
      </c>
      <c r="AE33" s="667">
        <f t="shared" si="11"/>
        <v>0</v>
      </c>
      <c r="AF33" s="667">
        <f t="shared" si="11"/>
        <v>56.393039144631814</v>
      </c>
      <c r="AG33" s="667">
        <f t="shared" si="11"/>
        <v>0</v>
      </c>
      <c r="AH33" s="666">
        <f t="shared" si="11"/>
        <v>71.863206832997264</v>
      </c>
      <c r="AI33" s="667">
        <f t="shared" si="11"/>
        <v>292.67903356175333</v>
      </c>
      <c r="AJ33" s="668">
        <f t="shared" si="11"/>
        <v>296598.44256774255</v>
      </c>
      <c r="AK33" s="669">
        <f t="shared" si="12"/>
        <v>0.80000000000000016</v>
      </c>
      <c r="AL33" s="704">
        <f t="shared" si="13"/>
        <v>0.15681313053951487</v>
      </c>
      <c r="AM33" s="524">
        <f t="shared" si="13"/>
        <v>0.12652574742806982</v>
      </c>
      <c r="AN33" s="696">
        <f t="shared" si="13"/>
        <v>0.14127736304581337</v>
      </c>
      <c r="AO33" s="704">
        <f t="shared" si="13"/>
        <v>0.42461624101339812</v>
      </c>
      <c r="AP33" s="979">
        <f t="shared" si="13"/>
        <v>215.98849309425799</v>
      </c>
    </row>
    <row r="34" spans="1:42">
      <c r="A34" s="183">
        <v>5</v>
      </c>
      <c r="B34" s="183">
        <f t="shared" si="1"/>
        <v>3</v>
      </c>
      <c r="C34" s="687" t="str">
        <f t="shared" si="2"/>
        <v>S-4</v>
      </c>
      <c r="D34" s="681">
        <f t="shared" si="3"/>
        <v>42146.12721862398</v>
      </c>
      <c r="E34" s="668">
        <f t="shared" si="3"/>
        <v>41488.206738540066</v>
      </c>
      <c r="F34" s="668">
        <f t="shared" si="4"/>
        <v>63034.099834710752</v>
      </c>
      <c r="G34" s="65">
        <f t="shared" si="14"/>
        <v>17.947300213203903</v>
      </c>
      <c r="H34" s="667">
        <f t="shared" si="5"/>
        <v>157.62772899999999</v>
      </c>
      <c r="I34" s="698">
        <f t="shared" si="6"/>
        <v>2.0273293335279883</v>
      </c>
      <c r="J34" s="666">
        <f t="shared" si="7"/>
        <v>0.26254892451335449</v>
      </c>
      <c r="K34" s="667">
        <f t="shared" si="7"/>
        <v>33.450018654161177</v>
      </c>
      <c r="L34" s="667">
        <f t="shared" si="7"/>
        <v>0</v>
      </c>
      <c r="M34" s="667">
        <f t="shared" si="7"/>
        <v>7.770037812000005E-3</v>
      </c>
      <c r="N34" s="667">
        <f t="shared" si="7"/>
        <v>0</v>
      </c>
      <c r="O34" s="666">
        <f t="shared" si="7"/>
        <v>33.720337616486532</v>
      </c>
      <c r="P34" s="667">
        <f t="shared" si="7"/>
        <v>123.90739138351346</v>
      </c>
      <c r="Q34" s="668">
        <f t="shared" si="7"/>
        <v>63034.099834710752</v>
      </c>
      <c r="R34" s="669">
        <f t="shared" si="8"/>
        <v>1.5936351477393291</v>
      </c>
      <c r="S34" s="666">
        <f t="shared" si="9"/>
        <v>0.61759223509782957</v>
      </c>
      <c r="T34" s="667">
        <f t="shared" si="9"/>
        <v>4.8856552950974228</v>
      </c>
      <c r="U34" s="667">
        <f t="shared" si="9"/>
        <v>1.9513499441942914</v>
      </c>
      <c r="V34" s="667">
        <f t="shared" si="9"/>
        <v>0</v>
      </c>
      <c r="W34" s="667">
        <f t="shared" si="9"/>
        <v>0</v>
      </c>
      <c r="X34" s="666">
        <f t="shared" si="9"/>
        <v>7.4545974743895442</v>
      </c>
      <c r="Y34" s="667">
        <f t="shared" si="9"/>
        <v>116.45279390912391</v>
      </c>
      <c r="Z34" s="668">
        <f t="shared" si="9"/>
        <v>61586.099834710752</v>
      </c>
      <c r="AA34" s="669">
        <f t="shared" si="10"/>
        <v>1.532972809273655</v>
      </c>
      <c r="AB34" s="666">
        <f t="shared" si="11"/>
        <v>1.7453480855223598</v>
      </c>
      <c r="AC34" s="667">
        <f t="shared" si="11"/>
        <v>2.7614140770634275</v>
      </c>
      <c r="AD34" s="667">
        <f t="shared" si="11"/>
        <v>3.87855143288931E-2</v>
      </c>
      <c r="AE34" s="667">
        <f t="shared" si="11"/>
        <v>0</v>
      </c>
      <c r="AF34" s="667">
        <f t="shared" si="11"/>
        <v>11.851498514592009</v>
      </c>
      <c r="AG34" s="667">
        <f t="shared" si="11"/>
        <v>0</v>
      </c>
      <c r="AH34" s="666">
        <f t="shared" si="11"/>
        <v>16.397046191506689</v>
      </c>
      <c r="AI34" s="667">
        <f t="shared" si="11"/>
        <v>100.05574771761722</v>
      </c>
      <c r="AJ34" s="668">
        <f t="shared" si="11"/>
        <v>61556.099834710752</v>
      </c>
      <c r="AK34" s="669">
        <f t="shared" si="12"/>
        <v>1.3177656642802209</v>
      </c>
      <c r="AL34" s="704">
        <f t="shared" si="13"/>
        <v>0.21392389416767232</v>
      </c>
      <c r="AM34" s="524">
        <f t="shared" si="13"/>
        <v>4.7292424509837006E-2</v>
      </c>
      <c r="AN34" s="696">
        <f t="shared" si="13"/>
        <v>0.10402386874143629</v>
      </c>
      <c r="AO34" s="704">
        <f t="shared" si="13"/>
        <v>0.36524018741894559</v>
      </c>
      <c r="AP34" s="979">
        <f t="shared" si="13"/>
        <v>57.571981282382765</v>
      </c>
    </row>
    <row r="35" spans="1:42">
      <c r="A35" s="183">
        <v>6</v>
      </c>
      <c r="B35" s="183">
        <f t="shared" si="1"/>
        <v>6</v>
      </c>
      <c r="C35" s="688" t="str">
        <f t="shared" si="2"/>
        <v>Total CRWPP</v>
      </c>
      <c r="D35" s="690">
        <f t="shared" si="3"/>
        <v>1090380.4240978749</v>
      </c>
      <c r="E35" s="691">
        <f t="shared" si="3"/>
        <v>959948.00688363891</v>
      </c>
      <c r="F35" s="691">
        <f t="shared" si="4"/>
        <v>1619290.3709018258</v>
      </c>
      <c r="G35" s="692">
        <f t="shared" si="14"/>
        <v>17.820830254632028</v>
      </c>
      <c r="H35" s="693">
        <f t="shared" si="5"/>
        <v>2536.1298029930094</v>
      </c>
      <c r="I35" s="699">
        <f t="shared" si="6"/>
        <v>1.2697376143261829</v>
      </c>
      <c r="J35" s="695">
        <f t="shared" si="7"/>
        <v>8.7736964533527537</v>
      </c>
      <c r="K35" s="693">
        <f t="shared" si="7"/>
        <v>225.0580789851636</v>
      </c>
      <c r="L35" s="693">
        <f t="shared" si="7"/>
        <v>8.3714578116765086</v>
      </c>
      <c r="M35" s="693">
        <f t="shared" si="7"/>
        <v>11.304488759811987</v>
      </c>
      <c r="N35" s="693">
        <f t="shared" si="7"/>
        <v>0</v>
      </c>
      <c r="O35" s="695">
        <f t="shared" si="7"/>
        <v>253.50772201000484</v>
      </c>
      <c r="P35" s="693">
        <f t="shared" si="7"/>
        <v>2282.6220809830047</v>
      </c>
      <c r="Q35" s="691">
        <f t="shared" si="7"/>
        <v>1613665.3709018258</v>
      </c>
      <c r="R35" s="694">
        <f t="shared" si="8"/>
        <v>1.1468002417718701</v>
      </c>
      <c r="S35" s="695">
        <f t="shared" si="9"/>
        <v>20.533970919768127</v>
      </c>
      <c r="T35" s="693">
        <f t="shared" si="9"/>
        <v>77.19580821507931</v>
      </c>
      <c r="U35" s="693">
        <f t="shared" si="9"/>
        <v>2.1540728521795485</v>
      </c>
      <c r="V35" s="693">
        <f t="shared" si="9"/>
        <v>3.5238686371199863</v>
      </c>
      <c r="W35" s="693">
        <f t="shared" si="9"/>
        <v>43.82745846520001</v>
      </c>
      <c r="X35" s="695">
        <f t="shared" si="9"/>
        <v>147.23517908934699</v>
      </c>
      <c r="Y35" s="693">
        <f t="shared" si="9"/>
        <v>2135.386901893658</v>
      </c>
      <c r="Z35" s="691">
        <f t="shared" si="9"/>
        <v>1611067.3709018258</v>
      </c>
      <c r="AA35" s="694">
        <f t="shared" si="10"/>
        <v>1.0745586227361117</v>
      </c>
      <c r="AB35" s="695">
        <f t="shared" si="11"/>
        <v>58.429297160406591</v>
      </c>
      <c r="AC35" s="693">
        <f t="shared" si="11"/>
        <v>60.640289623768808</v>
      </c>
      <c r="AD35" s="693">
        <f t="shared" si="11"/>
        <v>10.987644747937111</v>
      </c>
      <c r="AE35" s="693">
        <f t="shared" si="11"/>
        <v>78.05145863759995</v>
      </c>
      <c r="AF35" s="693">
        <f t="shared" si="11"/>
        <v>219.65361875301969</v>
      </c>
      <c r="AG35" s="693">
        <f t="shared" si="11"/>
        <v>13.784625583361276</v>
      </c>
      <c r="AH35" s="695">
        <f t="shared" si="11"/>
        <v>441.54693450609352</v>
      </c>
      <c r="AI35" s="693">
        <f t="shared" si="11"/>
        <v>1693.8399673875642</v>
      </c>
      <c r="AJ35" s="691">
        <f t="shared" si="11"/>
        <v>1595032.3709018258</v>
      </c>
      <c r="AK35" s="694">
        <f t="shared" si="12"/>
        <v>0.86093450815255901</v>
      </c>
      <c r="AL35" s="705">
        <f t="shared" si="13"/>
        <v>9.9958496489741228E-2</v>
      </c>
      <c r="AM35" s="702">
        <f t="shared" si="13"/>
        <v>5.8055064419647459E-2</v>
      </c>
      <c r="AN35" s="697">
        <f t="shared" si="13"/>
        <v>0.17410265593858903</v>
      </c>
      <c r="AO35" s="705">
        <f t="shared" si="13"/>
        <v>0.33211621684797771</v>
      </c>
      <c r="AP35" s="980">
        <f t="shared" si="13"/>
        <v>842.28983560544532</v>
      </c>
    </row>
    <row r="36" spans="1:42">
      <c r="C36" s="688"/>
      <c r="D36" s="690"/>
      <c r="E36" s="691"/>
      <c r="F36" s="691"/>
      <c r="G36" s="692"/>
      <c r="H36" s="693"/>
      <c r="I36" s="699"/>
      <c r="J36" s="695"/>
      <c r="K36" s="693"/>
      <c r="L36" s="693"/>
      <c r="M36" s="693"/>
      <c r="N36" s="693"/>
      <c r="O36" s="695"/>
      <c r="P36" s="693"/>
      <c r="Q36" s="691"/>
      <c r="R36" s="694"/>
      <c r="S36" s="695"/>
      <c r="T36" s="693"/>
      <c r="U36" s="693"/>
      <c r="V36" s="693"/>
      <c r="W36" s="693"/>
      <c r="X36" s="695"/>
      <c r="Y36" s="693"/>
      <c r="Z36" s="691"/>
      <c r="AA36" s="694"/>
      <c r="AB36" s="695"/>
      <c r="AC36" s="693"/>
      <c r="AD36" s="693"/>
      <c r="AE36" s="693"/>
      <c r="AF36" s="693"/>
      <c r="AG36" s="693"/>
      <c r="AH36" s="695"/>
      <c r="AI36" s="693"/>
      <c r="AJ36" s="691"/>
      <c r="AK36" s="694"/>
      <c r="AL36" s="705"/>
      <c r="AM36" s="702"/>
      <c r="AN36" s="697"/>
      <c r="AO36" s="705"/>
      <c r="AP36" s="980"/>
    </row>
    <row r="37" spans="1:42">
      <c r="C37" s="688" t="s">
        <v>818</v>
      </c>
      <c r="D37" s="690"/>
      <c r="E37" s="691"/>
      <c r="F37" s="691"/>
      <c r="G37" s="692"/>
      <c r="H37" s="693"/>
      <c r="I37" s="699"/>
      <c r="J37" s="695"/>
      <c r="K37" s="693"/>
      <c r="L37" s="693"/>
      <c r="M37" s="693"/>
      <c r="N37" s="693"/>
      <c r="O37" s="695"/>
      <c r="P37" s="693"/>
      <c r="Q37" s="691"/>
      <c r="R37" s="694"/>
      <c r="S37" s="695"/>
      <c r="T37" s="693"/>
      <c r="U37" s="693"/>
      <c r="V37" s="693"/>
      <c r="W37" s="693"/>
      <c r="X37" s="695"/>
      <c r="Y37" s="693"/>
      <c r="Z37" s="691"/>
      <c r="AA37" s="694"/>
      <c r="AB37" s="695"/>
      <c r="AC37" s="693"/>
      <c r="AD37" s="693"/>
      <c r="AE37" s="693"/>
      <c r="AF37" s="693"/>
      <c r="AG37" s="693"/>
      <c r="AH37" s="695"/>
      <c r="AI37" s="693"/>
      <c r="AJ37" s="691"/>
      <c r="AK37" s="694"/>
      <c r="AL37" s="705"/>
      <c r="AM37" s="702"/>
      <c r="AN37" s="697"/>
      <c r="AO37" s="705"/>
      <c r="AP37" s="980"/>
    </row>
    <row r="38" spans="1:42">
      <c r="C38" s="687" t="s">
        <v>784</v>
      </c>
      <c r="D38" s="77">
        <f>SUM(D31:D34)</f>
        <v>861058.61824200593</v>
      </c>
      <c r="E38" s="671">
        <f>SUM(E31:E34)</f>
        <v>831881.80952693534</v>
      </c>
      <c r="F38" s="671">
        <f>SUM(F31:F34)</f>
        <v>1396938.7170195491</v>
      </c>
      <c r="G38" s="65">
        <f t="shared" si="14"/>
        <v>19.468203730960354</v>
      </c>
      <c r="H38" s="65">
        <f>SUM(H31:H34)</f>
        <v>2253.6975435163849</v>
      </c>
      <c r="I38" s="698">
        <f>H38/F38*mtonacft_mgl*$D$83</f>
        <v>1.3079330618302851</v>
      </c>
      <c r="J38" s="670">
        <f>SUM(J31:J34)</f>
        <v>6.3126192054924894</v>
      </c>
      <c r="K38" s="65">
        <f>SUM(K31:K34)</f>
        <v>224.96533365607593</v>
      </c>
      <c r="L38" s="65">
        <f t="shared" ref="L38:AI38" si="15">SUM(L31:L34)</f>
        <v>8.3714578116765086</v>
      </c>
      <c r="M38" s="65">
        <f t="shared" si="15"/>
        <v>11.304488759811987</v>
      </c>
      <c r="N38" s="65">
        <f t="shared" si="15"/>
        <v>0</v>
      </c>
      <c r="O38" s="670">
        <f t="shared" si="15"/>
        <v>250.9538994330569</v>
      </c>
      <c r="P38" s="65">
        <f t="shared" si="15"/>
        <v>2002.743644083328</v>
      </c>
      <c r="Q38" s="671">
        <f t="shared" ref="Q38" si="16">SUM(Q31:Q34)</f>
        <v>1391313.7170195491</v>
      </c>
      <c r="R38" s="672">
        <f>P38/Q38*mtonacft_mgl*$D$83</f>
        <v>1.1669910791330387</v>
      </c>
      <c r="S38" s="670">
        <f>SUM(S31:S34)</f>
        <v>14.907276153174132</v>
      </c>
      <c r="T38" s="65">
        <f>SUM(T31:T34)</f>
        <v>74.68612819125994</v>
      </c>
      <c r="U38" s="65">
        <f t="shared" ref="U38:Z38" si="17">SUM(U31:U34)</f>
        <v>2.1540728521795485</v>
      </c>
      <c r="V38" s="65">
        <f t="shared" si="17"/>
        <v>3.5238686371199863</v>
      </c>
      <c r="W38" s="65">
        <f t="shared" si="17"/>
        <v>43.82745846520001</v>
      </c>
      <c r="X38" s="670">
        <f t="shared" si="17"/>
        <v>139.09880429893363</v>
      </c>
      <c r="Y38" s="65">
        <f t="shared" si="17"/>
        <v>1863.6448397843947</v>
      </c>
      <c r="Z38" s="671">
        <f t="shared" si="17"/>
        <v>1388715.7170195491</v>
      </c>
      <c r="AA38" s="672">
        <f>Y38/Z38*mtonacft_mgl*$D$83</f>
        <v>1.0879703035221193</v>
      </c>
      <c r="AB38" s="670">
        <f t="shared" si="15"/>
        <v>41.906296696258252</v>
      </c>
      <c r="AC38" s="65">
        <f>SUM(AC31:AC34)</f>
        <v>56.169067342977776</v>
      </c>
      <c r="AD38" s="65">
        <f t="shared" si="15"/>
        <v>10.987644747937182</v>
      </c>
      <c r="AE38" s="65">
        <f t="shared" si="15"/>
        <v>50.188907312150377</v>
      </c>
      <c r="AF38" s="65">
        <f t="shared" si="15"/>
        <v>219.65361875301969</v>
      </c>
      <c r="AG38" s="65">
        <f t="shared" si="15"/>
        <v>13.784625583361276</v>
      </c>
      <c r="AH38" s="670">
        <f t="shared" si="15"/>
        <v>392.69016043570457</v>
      </c>
      <c r="AI38" s="65">
        <f t="shared" si="15"/>
        <v>1470.9546793486898</v>
      </c>
      <c r="AJ38" s="671">
        <f t="shared" ref="AJ38" si="18">SUM(AJ31:AJ34)</f>
        <v>1378574.7170195491</v>
      </c>
      <c r="AK38" s="672">
        <f>AI38/AJ38*mtonacft_mgl*$D$83</f>
        <v>0.865040067319095</v>
      </c>
      <c r="AL38" s="706">
        <f>O38/$H38</f>
        <v>0.11135207568336794</v>
      </c>
      <c r="AM38" s="525">
        <f>X38/$H38</f>
        <v>6.1720262640878341E-2</v>
      </c>
      <c r="AN38" s="985">
        <f>AH38/$H38</f>
        <v>0.17424261812124109</v>
      </c>
      <c r="AO38" s="704">
        <f>SUM(AL38:AN38)</f>
        <v>0.34731495644548738</v>
      </c>
      <c r="AP38" s="981">
        <f t="shared" ref="AP38" si="19">SUM(AP31:AP34)</f>
        <v>782.74286416769507</v>
      </c>
    </row>
    <row r="39" spans="1:42">
      <c r="C39" s="687" t="s">
        <v>785</v>
      </c>
      <c r="D39" s="77">
        <f>SUM(D32:D34)</f>
        <v>596353.31105767982</v>
      </c>
      <c r="E39" s="671">
        <f>SUM(E32:E34)</f>
        <v>589917.04822673206</v>
      </c>
      <c r="F39" s="671">
        <f>SUM(F32:F34)</f>
        <v>959965.79463385709</v>
      </c>
      <c r="G39" s="65">
        <f t="shared" si="14"/>
        <v>19.316719337359558</v>
      </c>
      <c r="H39" s="65">
        <f>SUM(H32:H34)</f>
        <v>1624.1627546560123</v>
      </c>
      <c r="I39" s="698">
        <f>H39/F39*mtonacft_mgl*$D$83</f>
        <v>1.3716428037563726</v>
      </c>
      <c r="J39" s="670">
        <f>SUM(J32:J34)</f>
        <v>1.6606001319934574</v>
      </c>
      <c r="K39" s="65">
        <f>SUM(K32:K34)</f>
        <v>224.7937237855773</v>
      </c>
      <c r="L39" s="65">
        <f t="shared" ref="L39:AI39" si="20">SUM(L32:L34)</f>
        <v>8.3714578116765086</v>
      </c>
      <c r="M39" s="65">
        <f t="shared" si="20"/>
        <v>7.770037812000005E-3</v>
      </c>
      <c r="N39" s="65">
        <f t="shared" si="20"/>
        <v>0</v>
      </c>
      <c r="O39" s="670">
        <f t="shared" si="20"/>
        <v>234.83355176705925</v>
      </c>
      <c r="P39" s="65">
        <f t="shared" si="20"/>
        <v>1389.329202888953</v>
      </c>
      <c r="Q39" s="671">
        <f t="shared" ref="Q39" si="21">SUM(Q32:Q34)</f>
        <v>954340.79463385709</v>
      </c>
      <c r="R39" s="672">
        <f>P39/Q39*mtonacft_mgl*$D$83</f>
        <v>1.1802361605340697</v>
      </c>
      <c r="S39" s="670">
        <f>SUM(S32:S34)</f>
        <v>3.8272226607924225</v>
      </c>
      <c r="T39" s="65">
        <f>SUM(T32:T34)</f>
        <v>62.914550734890156</v>
      </c>
      <c r="U39" s="65">
        <f t="shared" ref="U39:Z39" si="22">SUM(U32:U34)</f>
        <v>2.1540728521795485</v>
      </c>
      <c r="V39" s="65">
        <f t="shared" si="22"/>
        <v>1.5507416971199994</v>
      </c>
      <c r="W39" s="65">
        <f t="shared" si="22"/>
        <v>43.82745846520001</v>
      </c>
      <c r="X39" s="670">
        <f t="shared" si="22"/>
        <v>114.27404641018214</v>
      </c>
      <c r="Y39" s="65">
        <f t="shared" si="22"/>
        <v>1275.0551564787711</v>
      </c>
      <c r="Z39" s="671">
        <f t="shared" si="22"/>
        <v>952742.79463385709</v>
      </c>
      <c r="AA39" s="672">
        <f>Y39/Z39*mtonacft_mgl*$D$83</f>
        <v>1.0849770200198239</v>
      </c>
      <c r="AB39" s="670">
        <f t="shared" si="20"/>
        <v>11.1181785271487</v>
      </c>
      <c r="AC39" s="65">
        <f>SUM(AC32:AC34)</f>
        <v>34.389063257112518</v>
      </c>
      <c r="AD39" s="65">
        <f t="shared" si="20"/>
        <v>10.852252852146719</v>
      </c>
      <c r="AE39" s="65">
        <f t="shared" si="20"/>
        <v>39.703396364399964</v>
      </c>
      <c r="AF39" s="65">
        <f t="shared" si="20"/>
        <v>206.15763459999968</v>
      </c>
      <c r="AG39" s="65">
        <f t="shared" si="20"/>
        <v>0</v>
      </c>
      <c r="AH39" s="670">
        <f t="shared" si="20"/>
        <v>302.2205256008076</v>
      </c>
      <c r="AI39" s="65">
        <f t="shared" si="20"/>
        <v>972.83463087796338</v>
      </c>
      <c r="AJ39" s="671">
        <f t="shared" ref="AJ39" si="23">SUM(AJ32:AJ34)</f>
        <v>946022.79463385709</v>
      </c>
      <c r="AK39" s="672">
        <f>AI39/AJ39*mtonacft_mgl*$D$83</f>
        <v>0.83369013421474059</v>
      </c>
      <c r="AL39" s="706">
        <f>O39/H39</f>
        <v>0.14458745042259977</v>
      </c>
      <c r="AM39" s="525">
        <f>X39/$H39</f>
        <v>7.0358740885167428E-2</v>
      </c>
      <c r="AN39" s="985">
        <f>AH39/$H39</f>
        <v>0.18607773434923772</v>
      </c>
      <c r="AO39" s="704">
        <f t="shared" ref="AO39:AO47" si="24">SUM(AL39:AN39)</f>
        <v>0.40102392565700495</v>
      </c>
      <c r="AP39" s="981">
        <f t="shared" ref="AP39" si="25">SUM(AP32:AP34)</f>
        <v>651.32812377804896</v>
      </c>
    </row>
    <row r="40" spans="1:42">
      <c r="C40" s="687" t="s">
        <v>786</v>
      </c>
      <c r="D40" s="77">
        <f>SUM(D30:D31)</f>
        <v>494027.1130401952</v>
      </c>
      <c r="E40" s="671">
        <f>SUM(E30:E31)</f>
        <v>370030.95865690697</v>
      </c>
      <c r="F40" s="671">
        <f>SUM(F30:F31)</f>
        <v>659324.57626796863</v>
      </c>
      <c r="G40" s="65">
        <f t="shared" si="14"/>
        <v>16.015102625697171</v>
      </c>
      <c r="H40" s="65">
        <f>SUM(H30:H31)</f>
        <v>911.96704833699732</v>
      </c>
      <c r="I40" s="698">
        <f>H40/F40*mtonacft_mgl*$D$83</f>
        <v>1.121365325972554</v>
      </c>
      <c r="J40" s="670">
        <f>SUM(J30:J31)</f>
        <v>7.113096321359297</v>
      </c>
      <c r="K40" s="65">
        <f>SUM(K30:K31)</f>
        <v>0.26435519958631104</v>
      </c>
      <c r="L40" s="65">
        <f t="shared" ref="L40:AI40" si="26">SUM(L30:L31)</f>
        <v>0</v>
      </c>
      <c r="M40" s="65">
        <f t="shared" si="26"/>
        <v>11.296718721999987</v>
      </c>
      <c r="N40" s="65">
        <f t="shared" si="26"/>
        <v>0</v>
      </c>
      <c r="O40" s="670">
        <f t="shared" si="26"/>
        <v>18.674170242945593</v>
      </c>
      <c r="P40" s="65">
        <f t="shared" si="26"/>
        <v>893.29287809405173</v>
      </c>
      <c r="Q40" s="671">
        <f t="shared" ref="Q40" si="27">SUM(Q30:Q31)</f>
        <v>659324.57626796863</v>
      </c>
      <c r="R40" s="672">
        <f>P40/Q40*mtonacft_mgl*$D$83</f>
        <v>1.0984033483002977</v>
      </c>
      <c r="S40" s="670">
        <f>SUM(S30:S31)</f>
        <v>16.706748258975701</v>
      </c>
      <c r="T40" s="65">
        <f>SUM(T30:T31)</f>
        <v>14.28125748018916</v>
      </c>
      <c r="U40" s="65">
        <f t="shared" ref="U40:Z40" si="28">SUM(U30:U31)</f>
        <v>0</v>
      </c>
      <c r="V40" s="65">
        <f t="shared" si="28"/>
        <v>1.9731269399999869</v>
      </c>
      <c r="W40" s="65">
        <f t="shared" si="28"/>
        <v>0</v>
      </c>
      <c r="X40" s="670">
        <f t="shared" si="28"/>
        <v>32.961132679164848</v>
      </c>
      <c r="Y40" s="65">
        <f t="shared" si="28"/>
        <v>860.33174541488688</v>
      </c>
      <c r="Z40" s="671">
        <f t="shared" si="28"/>
        <v>658324.57626796863</v>
      </c>
      <c r="AA40" s="672">
        <f>Y40/Z40*mtonacft_mgl*$D$83</f>
        <v>1.0594808733986034</v>
      </c>
      <c r="AB40" s="670">
        <f t="shared" si="26"/>
        <v>47.311118633257891</v>
      </c>
      <c r="AC40" s="65">
        <f>SUM(AC30:AC31)</f>
        <v>26.25122636665629</v>
      </c>
      <c r="AD40" s="65">
        <f t="shared" si="26"/>
        <v>0.13539189579046251</v>
      </c>
      <c r="AE40" s="65">
        <f t="shared" si="26"/>
        <v>38.348062273199986</v>
      </c>
      <c r="AF40" s="65">
        <f t="shared" si="26"/>
        <v>13.495984153020004</v>
      </c>
      <c r="AG40" s="65">
        <f t="shared" si="26"/>
        <v>13.784625583361276</v>
      </c>
      <c r="AH40" s="670">
        <f t="shared" si="26"/>
        <v>139.32640890528592</v>
      </c>
      <c r="AI40" s="65">
        <f t="shared" si="26"/>
        <v>721.00533650960097</v>
      </c>
      <c r="AJ40" s="671">
        <f t="shared" ref="AJ40" si="29">SUM(AJ30:AJ31)</f>
        <v>649009.57626796863</v>
      </c>
      <c r="AK40" s="672">
        <f>AI40/AJ40*mtonacft_mgl*$D$83</f>
        <v>0.90064701735606456</v>
      </c>
      <c r="AL40" s="706">
        <f>O40/H40</f>
        <v>2.0476803714562463E-2</v>
      </c>
      <c r="AM40" s="525">
        <f>X40/$H40</f>
        <v>3.6142898736605214E-2</v>
      </c>
      <c r="AN40" s="985">
        <f>AH40/$H40</f>
        <v>0.15277570517416428</v>
      </c>
      <c r="AO40" s="704">
        <f t="shared" si="24"/>
        <v>0.20939540762533196</v>
      </c>
      <c r="AP40" s="981">
        <f t="shared" ref="AP40" si="30">SUM(AP30:AP31)</f>
        <v>190.96171182739636</v>
      </c>
    </row>
    <row r="41" spans="1:42">
      <c r="C41" s="689"/>
      <c r="D41" s="77"/>
      <c r="E41" s="671"/>
      <c r="F41" s="671"/>
      <c r="G41" s="65"/>
      <c r="H41" s="65"/>
      <c r="I41" s="701"/>
      <c r="J41" s="670"/>
      <c r="K41" s="65"/>
      <c r="L41" s="65"/>
      <c r="M41" s="65"/>
      <c r="N41" s="65"/>
      <c r="O41" s="670"/>
      <c r="P41" s="65"/>
      <c r="Q41" s="671"/>
      <c r="R41" s="673"/>
      <c r="S41" s="670"/>
      <c r="T41" s="65"/>
      <c r="U41" s="65"/>
      <c r="V41" s="65"/>
      <c r="W41" s="65"/>
      <c r="X41" s="670"/>
      <c r="Y41" s="65"/>
      <c r="Z41" s="671"/>
      <c r="AA41" s="673"/>
      <c r="AB41" s="670"/>
      <c r="AC41" s="65"/>
      <c r="AD41" s="65"/>
      <c r="AE41" s="65"/>
      <c r="AF41" s="65"/>
      <c r="AG41" s="65"/>
      <c r="AH41" s="670"/>
      <c r="AI41" s="65"/>
      <c r="AJ41" s="671"/>
      <c r="AK41" s="673"/>
      <c r="AL41" s="9"/>
      <c r="AM41" s="525"/>
      <c r="AN41" s="985"/>
      <c r="AO41" s="704"/>
      <c r="AP41" s="981"/>
    </row>
    <row r="42" spans="1:42">
      <c r="C42" s="689" t="s">
        <v>802</v>
      </c>
      <c r="D42" s="682" t="s">
        <v>398</v>
      </c>
      <c r="E42" s="683" t="s">
        <v>398</v>
      </c>
      <c r="F42" s="671">
        <f>VLOOKUP(4,okee_dat,2,FALSE)</f>
        <v>861534.32528925652</v>
      </c>
      <c r="G42" s="675" t="s">
        <v>398</v>
      </c>
      <c r="H42" s="65">
        <f>VLOOKUP(4,okee_dat,4,FALSE)</f>
        <v>1727.0932900000003</v>
      </c>
      <c r="I42" s="700">
        <f>VLOOKUP(4,okee_dat,6,FALSE)*$D$83</f>
        <v>1.6252136171578822</v>
      </c>
      <c r="J42" s="674" t="s">
        <v>398</v>
      </c>
      <c r="K42" s="675" t="s">
        <v>398</v>
      </c>
      <c r="L42" s="675" t="s">
        <v>398</v>
      </c>
      <c r="M42" s="675" t="s">
        <v>398</v>
      </c>
      <c r="N42" s="675" t="s">
        <v>398</v>
      </c>
      <c r="O42" s="987">
        <v>0</v>
      </c>
      <c r="P42" s="65">
        <f>VLOOKUP(4,okee_dat,4,FALSE)</f>
        <v>1727.0932900000003</v>
      </c>
      <c r="Q42" s="671">
        <f>VLOOKUP(4,okee_dat,2,FALSE)</f>
        <v>861534.32528925652</v>
      </c>
      <c r="R42" s="672">
        <f>VLOOKUP(4,okee_dat,6,FALSE)*$D$83</f>
        <v>1.6252136171578822</v>
      </c>
      <c r="S42" s="674" t="s">
        <v>398</v>
      </c>
      <c r="T42" s="675" t="s">
        <v>398</v>
      </c>
      <c r="U42" s="675" t="s">
        <v>398</v>
      </c>
      <c r="V42" s="675" t="s">
        <v>398</v>
      </c>
      <c r="W42" s="675" t="s">
        <v>398</v>
      </c>
      <c r="X42" s="987">
        <v>0</v>
      </c>
      <c r="Y42" s="65">
        <f>VLOOKUP(4,okee_dat,4,FALSE)</f>
        <v>1727.0932900000003</v>
      </c>
      <c r="Z42" s="671">
        <f>VLOOKUP(4,okee_dat,2,FALSE)</f>
        <v>861534.32528925652</v>
      </c>
      <c r="AA42" s="672">
        <f>VLOOKUP(4,okee_dat,6,FALSE)*$D$83</f>
        <v>1.6252136171578822</v>
      </c>
      <c r="AB42" s="674" t="s">
        <v>398</v>
      </c>
      <c r="AC42" s="675" t="s">
        <v>398</v>
      </c>
      <c r="AD42" s="675" t="s">
        <v>398</v>
      </c>
      <c r="AE42" s="675" t="s">
        <v>398</v>
      </c>
      <c r="AF42" s="675" t="s">
        <v>398</v>
      </c>
      <c r="AG42" s="675" t="s">
        <v>398</v>
      </c>
      <c r="AH42" s="670">
        <f>VLOOKUP(7,okee_dat,4,FALSE)</f>
        <v>509.79662786806557</v>
      </c>
      <c r="AI42" s="65">
        <f>VLOOKUP(5,okee_dat,4,FALSE)</f>
        <v>1217.2966621319347</v>
      </c>
      <c r="AJ42" s="671">
        <f>VLOOKUP(5,okee_dat,2,FALSE)</f>
        <v>674700</v>
      </c>
      <c r="AK42" s="672">
        <f>VLOOKUP(5,okee_dat,6,FALSE)*$D$83</f>
        <v>1.462692255442094</v>
      </c>
      <c r="AL42" s="706">
        <f>O42/H42</f>
        <v>0</v>
      </c>
      <c r="AM42" s="525">
        <f>X42/$H42</f>
        <v>0</v>
      </c>
      <c r="AN42" s="985">
        <f>AH42/$H42</f>
        <v>0.29517608042358007</v>
      </c>
      <c r="AO42" s="704">
        <f t="shared" si="24"/>
        <v>0.29517608042358007</v>
      </c>
      <c r="AP42" s="981">
        <f>VLOOKUP(7,okee_dat,4,FALSE)</f>
        <v>509.79662786806557</v>
      </c>
    </row>
    <row r="43" spans="1:42">
      <c r="C43" s="689"/>
      <c r="D43" s="682"/>
      <c r="E43" s="683"/>
      <c r="F43" s="671"/>
      <c r="G43" s="675"/>
      <c r="H43" s="65"/>
      <c r="I43" s="701"/>
      <c r="J43" s="670"/>
      <c r="K43" s="65"/>
      <c r="L43" s="65"/>
      <c r="M43" s="65"/>
      <c r="N43" s="65"/>
      <c r="O43" s="670"/>
      <c r="P43" s="65"/>
      <c r="Q43" s="671"/>
      <c r="R43" s="673"/>
      <c r="S43" s="670"/>
      <c r="T43" s="65"/>
      <c r="U43" s="65"/>
      <c r="V43" s="65"/>
      <c r="W43" s="65"/>
      <c r="X43" s="670"/>
      <c r="Y43" s="65"/>
      <c r="Z43" s="671"/>
      <c r="AA43" s="673"/>
      <c r="AB43" s="670"/>
      <c r="AC43" s="65"/>
      <c r="AD43" s="65"/>
      <c r="AE43" s="65"/>
      <c r="AF43" s="65"/>
      <c r="AG43" s="65"/>
      <c r="AH43" s="670"/>
      <c r="AI43" s="65"/>
      <c r="AJ43" s="671"/>
      <c r="AK43" s="673"/>
      <c r="AL43" s="9"/>
      <c r="AM43" s="525"/>
      <c r="AN43" s="985"/>
      <c r="AO43" s="704"/>
      <c r="AP43" s="981"/>
    </row>
    <row r="44" spans="1:42">
      <c r="C44" s="688" t="s">
        <v>783</v>
      </c>
      <c r="D44" s="682"/>
      <c r="E44" s="683"/>
      <c r="F44" s="671"/>
      <c r="G44" s="675"/>
      <c r="H44" s="65"/>
      <c r="I44" s="701"/>
      <c r="J44" s="670"/>
      <c r="K44" s="65"/>
      <c r="L44" s="65"/>
      <c r="M44" s="65"/>
      <c r="N44" s="65"/>
      <c r="O44" s="670"/>
      <c r="P44" s="65"/>
      <c r="Q44" s="671"/>
      <c r="R44" s="673"/>
      <c r="S44" s="670"/>
      <c r="T44" s="65"/>
      <c r="U44" s="65"/>
      <c r="V44" s="65"/>
      <c r="W44" s="65"/>
      <c r="X44" s="670"/>
      <c r="Y44" s="65"/>
      <c r="Z44" s="671"/>
      <c r="AA44" s="673"/>
      <c r="AB44" s="670"/>
      <c r="AC44" s="65"/>
      <c r="AD44" s="65"/>
      <c r="AE44" s="65"/>
      <c r="AF44" s="65"/>
      <c r="AG44" s="65"/>
      <c r="AH44" s="670"/>
      <c r="AI44" s="65"/>
      <c r="AJ44" s="671"/>
      <c r="AK44" s="673"/>
      <c r="AL44" s="9"/>
      <c r="AM44" s="525"/>
      <c r="AN44" s="985"/>
      <c r="AO44" s="704"/>
      <c r="AP44" s="981"/>
    </row>
    <row r="45" spans="1:42">
      <c r="C45" s="687" t="s">
        <v>827</v>
      </c>
      <c r="D45" s="682" t="s">
        <v>398</v>
      </c>
      <c r="E45" s="683" t="s">
        <v>398</v>
      </c>
      <c r="F45" s="671">
        <f>F42+F35</f>
        <v>2480824.6961910822</v>
      </c>
      <c r="G45" s="675" t="s">
        <v>398</v>
      </c>
      <c r="H45" s="65">
        <f>H42+H35</f>
        <v>4263.2230929930101</v>
      </c>
      <c r="I45" s="698">
        <f>H45/F45*mtonacft_mgl*$D$83</f>
        <v>1.3931863927611674</v>
      </c>
      <c r="J45" s="674" t="s">
        <v>398</v>
      </c>
      <c r="K45" s="675" t="s">
        <v>398</v>
      </c>
      <c r="L45" s="675" t="s">
        <v>398</v>
      </c>
      <c r="M45" s="675" t="s">
        <v>398</v>
      </c>
      <c r="N45" s="675" t="s">
        <v>398</v>
      </c>
      <c r="O45" s="670">
        <f>O42+O35</f>
        <v>253.50772201000484</v>
      </c>
      <c r="P45" s="65">
        <f>P42+P35</f>
        <v>4009.715370983005</v>
      </c>
      <c r="Q45" s="671">
        <f>Q42+Q35</f>
        <v>2475199.6961910822</v>
      </c>
      <c r="R45" s="672">
        <f>P45/Q45*mtonacft_mgl*$D$83</f>
        <v>1.3133199553961097</v>
      </c>
      <c r="S45" s="674" t="s">
        <v>398</v>
      </c>
      <c r="T45" s="675" t="s">
        <v>398</v>
      </c>
      <c r="U45" s="675" t="s">
        <v>398</v>
      </c>
      <c r="V45" s="675" t="s">
        <v>398</v>
      </c>
      <c r="W45" s="675" t="s">
        <v>398</v>
      </c>
      <c r="X45" s="670">
        <f>X42+X35</f>
        <v>147.23517908934699</v>
      </c>
      <c r="Y45" s="65">
        <f>Y42+Y35</f>
        <v>3862.4801918936582</v>
      </c>
      <c r="Z45" s="671">
        <f>Z42+Z35</f>
        <v>2472601.6961910822</v>
      </c>
      <c r="AA45" s="672">
        <f>Y45/Z45*mtonacft_mgl*$D$83</f>
        <v>1.2664246154744976</v>
      </c>
      <c r="AB45" s="674" t="s">
        <v>398</v>
      </c>
      <c r="AC45" s="675" t="s">
        <v>398</v>
      </c>
      <c r="AD45" s="675" t="s">
        <v>398</v>
      </c>
      <c r="AE45" s="675" t="s">
        <v>398</v>
      </c>
      <c r="AF45" s="675" t="s">
        <v>398</v>
      </c>
      <c r="AG45" s="675" t="s">
        <v>398</v>
      </c>
      <c r="AH45" s="670">
        <f>AH42+AH35</f>
        <v>951.34356237415909</v>
      </c>
      <c r="AI45" s="65">
        <f>AI42+AI35</f>
        <v>2911.1366295194989</v>
      </c>
      <c r="AJ45" s="671">
        <f>AJ42+AJ35</f>
        <v>2269732.3709018258</v>
      </c>
      <c r="AK45" s="672">
        <f>AI45/AJ45*mtonacft_mgl*$D$83</f>
        <v>1.0398128452205246</v>
      </c>
      <c r="AL45" s="706">
        <f>O45/H45</f>
        <v>5.9463864892894659E-2</v>
      </c>
      <c r="AM45" s="525">
        <f>X45/$H45</f>
        <v>3.4536118771579472E-2</v>
      </c>
      <c r="AN45" s="985">
        <f>AH45/$H45</f>
        <v>0.22315125003375441</v>
      </c>
      <c r="AO45" s="704">
        <f t="shared" si="24"/>
        <v>0.31715123369822851</v>
      </c>
      <c r="AP45" s="981">
        <f>AP42+AP35</f>
        <v>1352.0864634735108</v>
      </c>
    </row>
    <row r="46" spans="1:42">
      <c r="C46" s="687" t="s">
        <v>825</v>
      </c>
      <c r="D46" s="682" t="s">
        <v>398</v>
      </c>
      <c r="E46" s="683" t="s">
        <v>398</v>
      </c>
      <c r="F46" s="671">
        <f>F42+F38</f>
        <v>2258473.0423088055</v>
      </c>
      <c r="G46" s="675" t="s">
        <v>398</v>
      </c>
      <c r="H46" s="65">
        <f>H42+H38</f>
        <v>3980.7908335163852</v>
      </c>
      <c r="I46" s="698">
        <f>H46/F46*mtonacft_mgl*$D$83</f>
        <v>1.4289653185988325</v>
      </c>
      <c r="J46" s="674" t="s">
        <v>398</v>
      </c>
      <c r="K46" s="675" t="s">
        <v>398</v>
      </c>
      <c r="L46" s="675" t="s">
        <v>398</v>
      </c>
      <c r="M46" s="675" t="s">
        <v>398</v>
      </c>
      <c r="N46" s="675" t="s">
        <v>398</v>
      </c>
      <c r="O46" s="670">
        <f>O42+O38</f>
        <v>250.9538994330569</v>
      </c>
      <c r="P46" s="65">
        <f>P42+P38</f>
        <v>3729.8369340833283</v>
      </c>
      <c r="Q46" s="671">
        <f>Q42+Q38</f>
        <v>2252848.0423088055</v>
      </c>
      <c r="R46" s="672">
        <f>P46/Q46*mtonacft_mgl*$D$83</f>
        <v>1.342224578115502</v>
      </c>
      <c r="S46" s="674" t="s">
        <v>398</v>
      </c>
      <c r="T46" s="675" t="s">
        <v>398</v>
      </c>
      <c r="U46" s="675" t="s">
        <v>398</v>
      </c>
      <c r="V46" s="675" t="s">
        <v>398</v>
      </c>
      <c r="W46" s="675" t="s">
        <v>398</v>
      </c>
      <c r="X46" s="670">
        <f>X42+X38</f>
        <v>139.09880429893363</v>
      </c>
      <c r="Y46" s="65">
        <f>Y42+Y38</f>
        <v>3590.7381297843949</v>
      </c>
      <c r="Z46" s="671">
        <f>Z42+Z38</f>
        <v>2250250.0423088055</v>
      </c>
      <c r="AA46" s="672">
        <f>Y46/Z46*mtonacft_mgl*$D$83</f>
        <v>1.2936601366637082</v>
      </c>
      <c r="AB46" s="674" t="s">
        <v>398</v>
      </c>
      <c r="AC46" s="675" t="s">
        <v>398</v>
      </c>
      <c r="AD46" s="675" t="s">
        <v>398</v>
      </c>
      <c r="AE46" s="675" t="s">
        <v>398</v>
      </c>
      <c r="AF46" s="675" t="s">
        <v>398</v>
      </c>
      <c r="AG46" s="675" t="s">
        <v>398</v>
      </c>
      <c r="AH46" s="670">
        <f>AH42+AH38</f>
        <v>902.48678830377014</v>
      </c>
      <c r="AI46" s="65">
        <f>AI42+AI38</f>
        <v>2688.2513414806244</v>
      </c>
      <c r="AJ46" s="671">
        <f>AJ42+AJ38</f>
        <v>2053274.7170195491</v>
      </c>
      <c r="AK46" s="672">
        <f>AI46/AJ46*mtonacft_mgl*$D$83</f>
        <v>1.0614268089392853</v>
      </c>
      <c r="AL46" s="706">
        <f>O46/H46</f>
        <v>6.3041217167238026E-2</v>
      </c>
      <c r="AM46" s="525">
        <f>X46/$H46</f>
        <v>3.4942505174546515E-2</v>
      </c>
      <c r="AN46" s="985">
        <f>AH46/$H46</f>
        <v>0.22671042665825497</v>
      </c>
      <c r="AO46" s="704">
        <f t="shared" si="24"/>
        <v>0.32469414900003951</v>
      </c>
      <c r="AP46" s="981">
        <f>AP42+AP38</f>
        <v>1292.5394920357608</v>
      </c>
    </row>
    <row r="47" spans="1:42">
      <c r="C47" s="729" t="s">
        <v>826</v>
      </c>
      <c r="D47" s="684" t="s">
        <v>398</v>
      </c>
      <c r="E47" s="685" t="s">
        <v>398</v>
      </c>
      <c r="F47" s="679">
        <f>F42+F39</f>
        <v>1821500.1199231136</v>
      </c>
      <c r="G47" s="677" t="s">
        <v>398</v>
      </c>
      <c r="H47" s="678">
        <f>H42+H39</f>
        <v>3351.2560446560128</v>
      </c>
      <c r="I47" s="844">
        <f>H47/F47*mtonacft_mgl*$D$83</f>
        <v>1.4915768939315293</v>
      </c>
      <c r="J47" s="676" t="s">
        <v>398</v>
      </c>
      <c r="K47" s="677" t="s">
        <v>398</v>
      </c>
      <c r="L47" s="677" t="s">
        <v>398</v>
      </c>
      <c r="M47" s="677" t="s">
        <v>398</v>
      </c>
      <c r="N47" s="677" t="s">
        <v>398</v>
      </c>
      <c r="O47" s="755">
        <f>O42+O39</f>
        <v>234.83355176705925</v>
      </c>
      <c r="P47" s="678">
        <f>P42+P39</f>
        <v>3116.4224928889535</v>
      </c>
      <c r="Q47" s="679">
        <f>Q42+Q39</f>
        <v>1815875.1199231136</v>
      </c>
      <c r="R47" s="680">
        <f>P47/Q47*mtonacft_mgl*$D$83</f>
        <v>1.3913538462467072</v>
      </c>
      <c r="S47" s="676" t="s">
        <v>398</v>
      </c>
      <c r="T47" s="677" t="s">
        <v>398</v>
      </c>
      <c r="U47" s="677" t="s">
        <v>398</v>
      </c>
      <c r="V47" s="677" t="s">
        <v>398</v>
      </c>
      <c r="W47" s="677" t="s">
        <v>398</v>
      </c>
      <c r="X47" s="755">
        <f>X42+X39</f>
        <v>114.27404641018214</v>
      </c>
      <c r="Y47" s="678">
        <f>Y42+Y39</f>
        <v>3002.1484464787713</v>
      </c>
      <c r="Z47" s="679">
        <f>Z42+Z39</f>
        <v>1814277.1199231136</v>
      </c>
      <c r="AA47" s="680">
        <f>Y47/Z47*mtonacft_mgl*$D$83</f>
        <v>1.3415157632475536</v>
      </c>
      <c r="AB47" s="676" t="s">
        <v>398</v>
      </c>
      <c r="AC47" s="677" t="s">
        <v>398</v>
      </c>
      <c r="AD47" s="677" t="s">
        <v>398</v>
      </c>
      <c r="AE47" s="677" t="s">
        <v>398</v>
      </c>
      <c r="AF47" s="677" t="s">
        <v>398</v>
      </c>
      <c r="AG47" s="677" t="s">
        <v>398</v>
      </c>
      <c r="AH47" s="755">
        <f>AH42+AH39</f>
        <v>812.01715346887318</v>
      </c>
      <c r="AI47" s="678">
        <f>AI42+AI39</f>
        <v>2190.1312930098979</v>
      </c>
      <c r="AJ47" s="679">
        <f>AJ42+AJ39</f>
        <v>1620722.794633857</v>
      </c>
      <c r="AK47" s="680">
        <f>AI47/AJ47*mtonacft_mgl*$D$83</f>
        <v>1.0955410396238734</v>
      </c>
      <c r="AL47" s="707">
        <f>O47/H47</f>
        <v>7.0073294501484015E-2</v>
      </c>
      <c r="AM47" s="841">
        <f>X47/$H47</f>
        <v>3.409887065848223E-2</v>
      </c>
      <c r="AN47" s="986">
        <f>AH47/$H47</f>
        <v>0.24230233161794179</v>
      </c>
      <c r="AO47" s="984">
        <f t="shared" si="24"/>
        <v>0.34647449677790804</v>
      </c>
      <c r="AP47" s="982">
        <f>AP42+AP39</f>
        <v>1161.1247516461144</v>
      </c>
    </row>
    <row r="48" spans="1:42">
      <c r="A48" s="717"/>
    </row>
    <row r="49" spans="1:42">
      <c r="A49" s="717"/>
    </row>
    <row r="51" spans="1:42">
      <c r="A51" s="961" t="s">
        <v>817</v>
      </c>
      <c r="B51" s="962"/>
      <c r="C51" s="963"/>
      <c r="D51" s="963"/>
      <c r="E51" s="963"/>
      <c r="F51" s="963"/>
      <c r="G51" s="963"/>
      <c r="H51" s="963"/>
      <c r="I51" s="963"/>
      <c r="J51" s="963"/>
      <c r="K51" s="963"/>
      <c r="L51" s="963"/>
      <c r="M51" s="963"/>
      <c r="N51" s="963"/>
      <c r="O51" s="963"/>
      <c r="P51" s="963"/>
      <c r="Q51" s="963"/>
      <c r="R51" s="963"/>
      <c r="S51" s="963"/>
      <c r="T51" s="963"/>
      <c r="U51" s="963"/>
      <c r="V51" s="963"/>
      <c r="W51" s="963"/>
      <c r="X51" s="963"/>
      <c r="Y51" s="963"/>
      <c r="Z51" s="963"/>
      <c r="AA51" s="963"/>
      <c r="AB51" s="963"/>
      <c r="AC51" s="963"/>
      <c r="AD51" s="963"/>
      <c r="AE51" s="963"/>
      <c r="AF51" s="963"/>
      <c r="AG51" s="963"/>
      <c r="AH51" s="963"/>
      <c r="AI51" s="963"/>
      <c r="AJ51" s="963"/>
      <c r="AK51" s="963"/>
      <c r="AL51" s="963"/>
      <c r="AM51" s="963"/>
      <c r="AN51" s="963"/>
      <c r="AO51" s="963"/>
      <c r="AP51" s="964"/>
    </row>
    <row r="53" spans="1:42" s="662" customFormat="1">
      <c r="A53" s="661"/>
      <c r="B53" s="661"/>
      <c r="D53" s="662" t="s">
        <v>638</v>
      </c>
      <c r="E53" s="662" t="s">
        <v>638</v>
      </c>
      <c r="F53" s="662" t="s">
        <v>800</v>
      </c>
      <c r="G53" s="183" t="s">
        <v>799</v>
      </c>
      <c r="H53" s="662" t="s">
        <v>800</v>
      </c>
      <c r="I53" s="662" t="s">
        <v>800</v>
      </c>
      <c r="J53" s="662" t="s">
        <v>800</v>
      </c>
      <c r="K53" s="662" t="s">
        <v>800</v>
      </c>
      <c r="L53" s="662" t="s">
        <v>800</v>
      </c>
      <c r="M53" s="662" t="s">
        <v>800</v>
      </c>
      <c r="N53" s="662" t="s">
        <v>800</v>
      </c>
      <c r="O53" s="662" t="s">
        <v>800</v>
      </c>
      <c r="P53" s="662" t="s">
        <v>800</v>
      </c>
      <c r="Q53" s="662" t="s">
        <v>800</v>
      </c>
      <c r="R53" s="662" t="s">
        <v>800</v>
      </c>
      <c r="S53" s="662" t="s">
        <v>800</v>
      </c>
      <c r="T53" s="662" t="s">
        <v>800</v>
      </c>
      <c r="U53" s="662" t="s">
        <v>800</v>
      </c>
      <c r="V53" s="662" t="s">
        <v>800</v>
      </c>
      <c r="W53" s="662" t="s">
        <v>800</v>
      </c>
      <c r="X53" s="662" t="s">
        <v>800</v>
      </c>
      <c r="Y53" s="662" t="s">
        <v>800</v>
      </c>
      <c r="Z53" s="662" t="s">
        <v>800</v>
      </c>
      <c r="AA53" s="662" t="s">
        <v>800</v>
      </c>
      <c r="AB53" s="662" t="s">
        <v>800</v>
      </c>
      <c r="AC53" s="662" t="s">
        <v>800</v>
      </c>
      <c r="AD53" s="662" t="s">
        <v>800</v>
      </c>
      <c r="AE53" s="662" t="s">
        <v>800</v>
      </c>
      <c r="AF53" s="662" t="s">
        <v>800</v>
      </c>
      <c r="AG53" s="662" t="s">
        <v>800</v>
      </c>
      <c r="AH53" s="662" t="s">
        <v>800</v>
      </c>
      <c r="AI53" s="662" t="s">
        <v>800</v>
      </c>
      <c r="AJ53" s="662" t="s">
        <v>800</v>
      </c>
      <c r="AK53" s="662" t="s">
        <v>800</v>
      </c>
      <c r="AL53" s="662" t="s">
        <v>800</v>
      </c>
      <c r="AM53" s="662" t="s">
        <v>800</v>
      </c>
      <c r="AN53" s="662" t="s">
        <v>800</v>
      </c>
      <c r="AO53" s="662" t="s">
        <v>800</v>
      </c>
      <c r="AP53" s="662" t="s">
        <v>800</v>
      </c>
    </row>
    <row r="54" spans="1:42" s="183" customFormat="1">
      <c r="D54" s="183">
        <v>21</v>
      </c>
      <c r="E54" s="183">
        <v>22</v>
      </c>
      <c r="F54" s="183">
        <v>5</v>
      </c>
      <c r="H54" s="183">
        <v>5</v>
      </c>
      <c r="I54" s="183">
        <v>6</v>
      </c>
      <c r="J54" s="183">
        <v>10</v>
      </c>
      <c r="K54" s="183">
        <v>11</v>
      </c>
      <c r="L54" s="183">
        <v>12</v>
      </c>
      <c r="M54" s="183">
        <v>13</v>
      </c>
      <c r="N54" s="183">
        <v>14</v>
      </c>
      <c r="O54" s="183">
        <v>19</v>
      </c>
      <c r="P54" s="183">
        <v>20</v>
      </c>
      <c r="Q54" s="183">
        <v>20</v>
      </c>
      <c r="R54" s="183">
        <v>21</v>
      </c>
      <c r="S54" s="183">
        <v>25</v>
      </c>
      <c r="T54" s="183">
        <v>26</v>
      </c>
      <c r="U54" s="183">
        <v>27</v>
      </c>
      <c r="V54" s="183">
        <v>28</v>
      </c>
      <c r="W54" s="183">
        <v>29</v>
      </c>
      <c r="X54" s="183">
        <v>34</v>
      </c>
      <c r="Y54" s="183">
        <v>35</v>
      </c>
      <c r="Z54" s="183">
        <v>35</v>
      </c>
      <c r="AA54" s="183">
        <v>36</v>
      </c>
      <c r="AB54" s="183">
        <v>42</v>
      </c>
      <c r="AC54" s="183">
        <v>43</v>
      </c>
      <c r="AD54" s="183">
        <v>49</v>
      </c>
      <c r="AE54" s="183">
        <v>54</v>
      </c>
      <c r="AF54" s="183">
        <v>59</v>
      </c>
      <c r="AG54" s="183">
        <v>64</v>
      </c>
      <c r="AH54" s="183">
        <v>68</v>
      </c>
      <c r="AI54" s="183">
        <v>69</v>
      </c>
      <c r="AJ54" s="183">
        <v>69</v>
      </c>
      <c r="AK54" s="183">
        <v>70</v>
      </c>
      <c r="AL54" s="183">
        <v>90</v>
      </c>
      <c r="AM54" s="183">
        <v>91</v>
      </c>
      <c r="AN54" s="183">
        <v>92</v>
      </c>
      <c r="AO54" s="183">
        <v>93</v>
      </c>
      <c r="AP54" s="183">
        <v>88</v>
      </c>
    </row>
    <row r="55" spans="1:42" s="183" customFormat="1">
      <c r="D55" s="183">
        <v>2</v>
      </c>
      <c r="E55" s="183">
        <v>2</v>
      </c>
      <c r="F55" s="183">
        <v>3</v>
      </c>
      <c r="H55" s="183">
        <v>17</v>
      </c>
      <c r="I55" s="183">
        <v>17</v>
      </c>
      <c r="J55" s="183">
        <v>17</v>
      </c>
      <c r="K55" s="183">
        <v>17</v>
      </c>
      <c r="L55" s="183">
        <v>17</v>
      </c>
      <c r="M55" s="183">
        <v>17</v>
      </c>
      <c r="N55" s="183">
        <v>17</v>
      </c>
      <c r="O55" s="183">
        <v>17</v>
      </c>
      <c r="P55" s="183">
        <v>17</v>
      </c>
      <c r="Q55" s="183">
        <v>3</v>
      </c>
      <c r="R55" s="183">
        <v>17</v>
      </c>
      <c r="S55" s="183">
        <v>17</v>
      </c>
      <c r="T55" s="183">
        <v>17</v>
      </c>
      <c r="U55" s="183">
        <v>17</v>
      </c>
      <c r="V55" s="183">
        <v>17</v>
      </c>
      <c r="W55" s="183">
        <v>17</v>
      </c>
      <c r="X55" s="183">
        <v>17</v>
      </c>
      <c r="Y55" s="183">
        <v>17</v>
      </c>
      <c r="Z55" s="183">
        <v>3</v>
      </c>
      <c r="AA55" s="183">
        <v>17</v>
      </c>
      <c r="AB55" s="183">
        <v>17</v>
      </c>
      <c r="AC55" s="183">
        <v>17</v>
      </c>
      <c r="AD55" s="183">
        <v>17</v>
      </c>
      <c r="AE55" s="183">
        <v>17</v>
      </c>
      <c r="AF55" s="183">
        <v>17</v>
      </c>
      <c r="AG55" s="183">
        <v>17</v>
      </c>
      <c r="AH55" s="183">
        <v>17</v>
      </c>
      <c r="AI55" s="183">
        <v>17</v>
      </c>
      <c r="AJ55" s="183">
        <v>3</v>
      </c>
      <c r="AK55" s="183">
        <v>17</v>
      </c>
      <c r="AL55" s="183">
        <v>17</v>
      </c>
      <c r="AM55" s="183">
        <v>17</v>
      </c>
      <c r="AN55" s="183">
        <v>17</v>
      </c>
      <c r="AO55" s="183">
        <v>17</v>
      </c>
      <c r="AP55" s="183">
        <v>17</v>
      </c>
    </row>
    <row r="56" spans="1:42">
      <c r="D56" s="1415" t="str">
        <f xml:space="preserve"> "Baseline Data and " &amp; $B$84 &amp; " Loads"</f>
        <v>Baseline Data and TP Loads</v>
      </c>
      <c r="E56" s="1415"/>
      <c r="F56" s="1415"/>
      <c r="G56" s="1415"/>
      <c r="H56" s="1415"/>
      <c r="I56" s="1415"/>
      <c r="J56" s="1435" t="str">
        <f xml:space="preserve"> $B$84 &amp; " Reductions for Current Phase"</f>
        <v>TP Reductions for Current Phase</v>
      </c>
      <c r="K56" s="1435"/>
      <c r="L56" s="1435"/>
      <c r="M56" s="1435"/>
      <c r="N56" s="1435"/>
      <c r="O56" s="1435"/>
      <c r="P56" s="1435"/>
      <c r="Q56" s="1435"/>
      <c r="R56" s="1435"/>
      <c r="S56" s="1432" t="str">
        <f xml:space="preserve"> $B$84 &amp; " Reductions for Near-Term Phase"</f>
        <v>TP Reductions for Near-Term Phase</v>
      </c>
      <c r="T56" s="1432"/>
      <c r="U56" s="1432"/>
      <c r="V56" s="1432"/>
      <c r="W56" s="1432"/>
      <c r="X56" s="1432"/>
      <c r="Y56" s="1432"/>
      <c r="Z56" s="1432"/>
      <c r="AA56" s="1432"/>
      <c r="AB56" s="1430" t="str">
        <f xml:space="preserve"> $B$84 &amp; " Reductions for Long-Term Phase"</f>
        <v>TP Reductions for Long-Term Phase</v>
      </c>
      <c r="AC56" s="1430"/>
      <c r="AD56" s="1430"/>
      <c r="AE56" s="1430"/>
      <c r="AF56" s="1430"/>
      <c r="AG56" s="1430"/>
      <c r="AH56" s="1430"/>
      <c r="AI56" s="1430"/>
      <c r="AJ56" s="1430"/>
      <c r="AK56" s="1430"/>
      <c r="AL56" s="1416" t="str">
        <f xml:space="preserve"> "Summary of " &amp; $B$84 &amp; " Reductions"</f>
        <v>Summary of TP Reductions</v>
      </c>
      <c r="AM56" s="1416"/>
      <c r="AN56" s="1416"/>
      <c r="AO56" s="1416"/>
      <c r="AP56" s="1416"/>
    </row>
    <row r="57" spans="1:42" s="396" customFormat="1" ht="30" customHeight="1">
      <c r="A57" s="665"/>
      <c r="B57" s="665"/>
      <c r="D57" s="1433" t="s">
        <v>797</v>
      </c>
      <c r="E57" s="1433"/>
      <c r="F57" s="1433"/>
      <c r="G57" s="1433"/>
      <c r="H57" s="1433"/>
      <c r="I57" s="1433"/>
      <c r="J57" s="746" t="s">
        <v>985</v>
      </c>
      <c r="K57" s="746" t="s">
        <v>986</v>
      </c>
      <c r="L57" s="743" t="s">
        <v>803</v>
      </c>
      <c r="M57" s="743" t="s">
        <v>805</v>
      </c>
      <c r="N57" s="743" t="s">
        <v>804</v>
      </c>
      <c r="O57" s="1434" t="str">
        <f xml:space="preserve"> "Summary of " &amp; $B$84 &amp; " Reductions for Current Phase"</f>
        <v>Summary of TP Reductions for Current Phase</v>
      </c>
      <c r="P57" s="1434"/>
      <c r="Q57" s="1434"/>
      <c r="R57" s="1434"/>
      <c r="S57" s="747" t="s">
        <v>985</v>
      </c>
      <c r="T57" s="747" t="s">
        <v>986</v>
      </c>
      <c r="U57" s="747" t="s">
        <v>803</v>
      </c>
      <c r="V57" s="747" t="s">
        <v>805</v>
      </c>
      <c r="W57" s="747" t="s">
        <v>804</v>
      </c>
      <c r="X57" s="1408" t="str">
        <f xml:space="preserve"> "Summary of " &amp; $B$84 &amp; " Reductions for Near-Term Phase"</f>
        <v>Summary of TP Reductions for Near-Term Phase</v>
      </c>
      <c r="Y57" s="1408"/>
      <c r="Z57" s="1408"/>
      <c r="AA57" s="1408"/>
      <c r="AB57" s="748" t="s">
        <v>985</v>
      </c>
      <c r="AC57" s="748" t="s">
        <v>986</v>
      </c>
      <c r="AD57" s="748" t="s">
        <v>803</v>
      </c>
      <c r="AE57" s="748" t="s">
        <v>805</v>
      </c>
      <c r="AF57" s="748" t="s">
        <v>804</v>
      </c>
      <c r="AG57" s="748" t="s">
        <v>806</v>
      </c>
      <c r="AH57" s="1429" t="str">
        <f xml:space="preserve"> "Summary of " &amp; $B$84 &amp; " Reductions for Long-Term Phase"</f>
        <v>Summary of TP Reductions for Long-Term Phase</v>
      </c>
      <c r="AI57" s="1429"/>
      <c r="AJ57" s="1429"/>
      <c r="AK57" s="1429"/>
      <c r="AL57" s="1409" t="str">
        <f>"Overall " &amp; $B$84 &amp; " Load Reduction as a percentage of Baseline Load"</f>
        <v>Overall TP Load Reduction as a percentage of Baseline Load</v>
      </c>
      <c r="AM57" s="1409"/>
      <c r="AN57" s="1409"/>
      <c r="AO57" s="1409" t="str">
        <f xml:space="preserve"> "Overall " &amp; $B$84 &amp; " Load Reduction, All Phases"</f>
        <v>Overall TP Load Reduction, All Phases</v>
      </c>
      <c r="AP57" s="1409"/>
    </row>
    <row r="58" spans="1:42" s="396" customFormat="1" ht="60">
      <c r="A58" s="1431" t="s">
        <v>787</v>
      </c>
      <c r="B58" s="1431"/>
      <c r="C58" s="732" t="s">
        <v>788</v>
      </c>
      <c r="D58" s="733" t="s">
        <v>789</v>
      </c>
      <c r="E58" s="733" t="s">
        <v>790</v>
      </c>
      <c r="F58" s="733" t="s">
        <v>488</v>
      </c>
      <c r="G58" s="733" t="s">
        <v>487</v>
      </c>
      <c r="H58" s="733" t="str">
        <f xml:space="preserve"> $B$84 &amp; " Load, in mton/yr"</f>
        <v>TP Load, in mton/yr</v>
      </c>
      <c r="I58" s="733" t="str">
        <f xml:space="preserve"> $B$84 &amp; " Conc., in " &amp; $E$84</f>
        <v>TP Conc., in ppb</v>
      </c>
      <c r="J58" s="734" t="str">
        <f t="shared" ref="J58:O58" si="31" xml:space="preserve"> $B$84 &amp; " Load Reduction, in mton/yr"</f>
        <v>TP Load Reduction, in mton/yr</v>
      </c>
      <c r="K58" s="734" t="str">
        <f t="shared" si="31"/>
        <v>TP Load Reduction, in mton/yr</v>
      </c>
      <c r="L58" s="734" t="str">
        <f t="shared" si="31"/>
        <v>TP Load Reduction, in mton/yr</v>
      </c>
      <c r="M58" s="734" t="str">
        <f t="shared" si="31"/>
        <v>TP Load Reduction, in mton/yr</v>
      </c>
      <c r="N58" s="734" t="str">
        <f t="shared" si="31"/>
        <v>TP Load Reduction, in mton/yr</v>
      </c>
      <c r="O58" s="734" t="str">
        <f t="shared" si="31"/>
        <v>TP Load Reduction, in mton/yr</v>
      </c>
      <c r="P58" s="734" t="str">
        <f xml:space="preserve"> $B$84 &amp; " Remaining Load, in mton/yr"</f>
        <v>TP Remaining Load, in mton/yr</v>
      </c>
      <c r="Q58" s="734" t="s">
        <v>807</v>
      </c>
      <c r="R58" s="734" t="str">
        <f xml:space="preserve"> $B$84 &amp; " Conc., in " &amp; $E$84</f>
        <v>TP Conc., in ppb</v>
      </c>
      <c r="S58" s="734" t="str">
        <f xml:space="preserve"> $B$84 &amp; " Load Reduction, in mton/yr"</f>
        <v>TP Load Reduction, in mton/yr</v>
      </c>
      <c r="T58" s="734" t="str">
        <f xml:space="preserve"> $B$84 &amp; " Load Reduction, in mton/yr"</f>
        <v>TP Load Reduction, in mton/yr</v>
      </c>
      <c r="U58" s="734" t="str">
        <f xml:space="preserve"> $B$84 &amp; " Load Reduction, in mton/yr"</f>
        <v>TP Load Reduction, in mton/yr</v>
      </c>
      <c r="V58" s="734" t="str">
        <f xml:space="preserve"> $B$84 &amp; " Load Reduction, in mton/yr"</f>
        <v>TP Load Reduction, in mton/yr</v>
      </c>
      <c r="W58" s="734" t="str">
        <f xml:space="preserve"> $B$84 &amp; " Load Reduction, in mton/yr"</f>
        <v>TP Load Reduction, in mton/yr</v>
      </c>
      <c r="X58" s="734" t="str">
        <f xml:space="preserve"> $B$84 &amp; " Total Reduction, in mton/yr"</f>
        <v>TP Total Reduction, in mton/yr</v>
      </c>
      <c r="Y58" s="734" t="str">
        <f xml:space="preserve"> $B$84 &amp; " Remaining Load, in mton/yr"</f>
        <v>TP Remaining Load, in mton/yr</v>
      </c>
      <c r="Z58" s="734" t="s">
        <v>807</v>
      </c>
      <c r="AA58" s="734" t="str">
        <f xml:space="preserve"> $B$84 &amp; " Conc., in " &amp; $E$84</f>
        <v>TP Conc., in ppb</v>
      </c>
      <c r="AB58" s="734" t="str">
        <f t="shared" ref="AB58:AG58" si="32" xml:space="preserve"> $B$84 &amp; " Load Reduction, in mton/yr"</f>
        <v>TP Load Reduction, in mton/yr</v>
      </c>
      <c r="AC58" s="734" t="str">
        <f t="shared" si="32"/>
        <v>TP Load Reduction, in mton/yr</v>
      </c>
      <c r="AD58" s="734" t="str">
        <f t="shared" si="32"/>
        <v>TP Load Reduction, in mton/yr</v>
      </c>
      <c r="AE58" s="734" t="str">
        <f t="shared" si="32"/>
        <v>TP Load Reduction, in mton/yr</v>
      </c>
      <c r="AF58" s="734" t="str">
        <f t="shared" si="32"/>
        <v>TP Load Reduction, in mton/yr</v>
      </c>
      <c r="AG58" s="734" t="str">
        <f t="shared" si="32"/>
        <v>TP Load Reduction, in mton/yr</v>
      </c>
      <c r="AH58" s="734" t="str">
        <f xml:space="preserve"> $B$84 &amp; " Total Reduction, in mton/yr"</f>
        <v>TP Total Reduction, in mton/yr</v>
      </c>
      <c r="AI58" s="734" t="str">
        <f xml:space="preserve"> $B$84 &amp; " Remaining Load, in mton/yr"</f>
        <v>TP Remaining Load, in mton/yr</v>
      </c>
      <c r="AJ58" s="734" t="s">
        <v>807</v>
      </c>
      <c r="AK58" s="734" t="str">
        <f xml:space="preserve"> $B$84 &amp; " Conc., in " &amp; $E$84</f>
        <v>TP Conc., in ppb</v>
      </c>
      <c r="AL58" s="734" t="s">
        <v>808</v>
      </c>
      <c r="AM58" s="734" t="s">
        <v>987</v>
      </c>
      <c r="AN58" s="734" t="s">
        <v>1168</v>
      </c>
      <c r="AO58" s="734" t="s">
        <v>988</v>
      </c>
      <c r="AP58" s="734" t="s">
        <v>1038</v>
      </c>
    </row>
    <row r="59" spans="1:42">
      <c r="A59" s="183" t="s">
        <v>206</v>
      </c>
      <c r="B59" s="183" t="s">
        <v>207</v>
      </c>
      <c r="C59" s="686" t="s">
        <v>782</v>
      </c>
      <c r="D59" s="6"/>
      <c r="E59" s="7"/>
      <c r="F59" s="7"/>
      <c r="G59" s="7"/>
      <c r="H59" s="7"/>
      <c r="I59" s="7"/>
      <c r="J59" s="6"/>
      <c r="K59" s="7"/>
      <c r="L59" s="7"/>
      <c r="M59" s="7"/>
      <c r="N59" s="7"/>
      <c r="O59" s="6"/>
      <c r="P59" s="7"/>
      <c r="Q59" s="7"/>
      <c r="R59" s="8"/>
      <c r="S59" s="7"/>
      <c r="T59" s="7"/>
      <c r="U59" s="7"/>
      <c r="V59" s="7"/>
      <c r="W59" s="7"/>
      <c r="X59" s="6"/>
      <c r="Y59" s="7"/>
      <c r="Z59" s="7"/>
      <c r="AA59" s="8"/>
      <c r="AB59" s="6"/>
      <c r="AC59" s="7"/>
      <c r="AD59" s="7"/>
      <c r="AE59" s="7"/>
      <c r="AF59" s="7"/>
      <c r="AG59" s="7"/>
      <c r="AH59" s="6"/>
      <c r="AI59" s="7"/>
      <c r="AJ59" s="7"/>
      <c r="AK59" s="8"/>
      <c r="AL59" s="6"/>
      <c r="AM59" s="7"/>
      <c r="AN59" s="8"/>
      <c r="AO59" s="6"/>
      <c r="AP59" s="8"/>
    </row>
    <row r="60" spans="1:42">
      <c r="A60" s="183">
        <v>1</v>
      </c>
      <c r="B60" s="183">
        <f t="shared" ref="B60:B65" si="33">VLOOKUP($A60,subwatgeog,4,FALSE)</f>
        <v>1</v>
      </c>
      <c r="C60" s="687" t="str">
        <f t="shared" ref="C60:C64" si="34">VLOOKUP($A60,subwatgeog,2,FALSE)</f>
        <v>Coastal</v>
      </c>
      <c r="D60" s="681">
        <f t="shared" ref="D60:E65" si="35">VLOOKUP(D$54,bott_luacres,D$55+$B60,FALSE)</f>
        <v>229321.80585586905</v>
      </c>
      <c r="E60" s="668">
        <f t="shared" si="35"/>
        <v>128066.19735670363</v>
      </c>
      <c r="F60" s="668">
        <f t="shared" ref="F60:F65" si="36">VLOOKUP(F$54,loads_summ,F$55+$A60,FALSE)</f>
        <v>222351.6538822767</v>
      </c>
      <c r="G60" s="65">
        <f>F60/D60*12</f>
        <v>11.63526441207393</v>
      </c>
      <c r="H60" s="667">
        <f t="shared" ref="H60:H65" si="37">VLOOKUP(H$54,loads_summ,H$55+$A60,FALSE)</f>
        <v>29.651060564799756</v>
      </c>
      <c r="I60" s="714">
        <f t="shared" ref="I60:I65" si="38">VLOOKUP(I$54,loads_summ,I$55+$A60,FALSE)*$D$84</f>
        <v>108.1103090084234</v>
      </c>
      <c r="J60" s="666">
        <f t="shared" ref="J60:Q65" si="39">VLOOKUP(J$54,loads_summ,J$55+$A60,FALSE)</f>
        <v>9.4034065337984113E-2</v>
      </c>
      <c r="K60" s="667">
        <f t="shared" si="39"/>
        <v>1.7632794919672609E-2</v>
      </c>
      <c r="L60" s="667">
        <f t="shared" si="39"/>
        <v>0</v>
      </c>
      <c r="M60" s="667">
        <f t="shared" si="39"/>
        <v>0</v>
      </c>
      <c r="N60" s="667">
        <f t="shared" si="39"/>
        <v>0</v>
      </c>
      <c r="O60" s="666">
        <f t="shared" si="39"/>
        <v>0.11166686025765671</v>
      </c>
      <c r="P60" s="667">
        <f t="shared" si="39"/>
        <v>29.5393937045421</v>
      </c>
      <c r="Q60" s="668">
        <f t="shared" si="39"/>
        <v>222351.6538822767</v>
      </c>
      <c r="R60" s="708">
        <f t="shared" ref="R60:R65" si="40">VLOOKUP(R$54,loads_summ,R$55+$A60,FALSE)*$D$84</f>
        <v>107.70316206195675</v>
      </c>
      <c r="S60" s="667">
        <f t="shared" ref="S60:Y60" si="41">VLOOKUP(S$54,loads_summ,S$55+$A60,FALSE)</f>
        <v>0.77029093276100224</v>
      </c>
      <c r="T60" s="667">
        <f t="shared" si="41"/>
        <v>0.44951331202434514</v>
      </c>
      <c r="U60" s="667">
        <f t="shared" si="41"/>
        <v>0</v>
      </c>
      <c r="V60" s="667">
        <f t="shared" si="41"/>
        <v>0</v>
      </c>
      <c r="W60" s="667">
        <f t="shared" si="41"/>
        <v>0</v>
      </c>
      <c r="X60" s="666">
        <f t="shared" si="41"/>
        <v>1.2198042447853474</v>
      </c>
      <c r="Y60" s="667">
        <f t="shared" si="41"/>
        <v>28.319589459756752</v>
      </c>
      <c r="Z60" s="668">
        <f t="shared" ref="S60:Z65" si="42">VLOOKUP(Z$54,loads_summ,Z$55+$A60,FALSE)</f>
        <v>222351.6538822767</v>
      </c>
      <c r="AA60" s="708">
        <f t="shared" ref="AA60:AA65" si="43">VLOOKUP(AA$54,loads_summ,AA$55+$A60,FALSE)*$D$84</f>
        <v>103.25565120326982</v>
      </c>
      <c r="AB60" s="666">
        <f t="shared" ref="AB60:AJ65" si="44">VLOOKUP(AB$54,loads_summ,AB$55+$A60,FALSE)</f>
        <v>2.2412302569588922</v>
      </c>
      <c r="AC60" s="667">
        <f t="shared" si="44"/>
        <v>0.78919020001127349</v>
      </c>
      <c r="AD60" s="667">
        <f t="shared" si="44"/>
        <v>0</v>
      </c>
      <c r="AE60" s="667">
        <f t="shared" si="44"/>
        <v>3.9294422298317286</v>
      </c>
      <c r="AF60" s="667">
        <f t="shared" si="44"/>
        <v>0</v>
      </c>
      <c r="AG60" s="667">
        <f t="shared" si="44"/>
        <v>0</v>
      </c>
      <c r="AH60" s="666">
        <f t="shared" si="44"/>
        <v>6.9598626868018947</v>
      </c>
      <c r="AI60" s="667">
        <f t="shared" si="44"/>
        <v>21.359726772954858</v>
      </c>
      <c r="AJ60" s="668">
        <f t="shared" si="44"/>
        <v>216457.6538822767</v>
      </c>
      <c r="AK60" s="708">
        <f t="shared" ref="AK60:AK65" si="45">VLOOKUP(AK$54,loads_summ,AK$55+$A60,FALSE)*$D$84</f>
        <v>80</v>
      </c>
      <c r="AL60" s="704">
        <f t="shared" ref="AL60:AP65" si="46">VLOOKUP(AL$54,loads_summ,AL$55+$A60,FALSE)</f>
        <v>3.7660325846901399E-3</v>
      </c>
      <c r="AM60" s="524">
        <f t="shared" si="46"/>
        <v>4.1138637928973022E-2</v>
      </c>
      <c r="AN60" s="696">
        <f t="shared" si="46"/>
        <v>0.23472559005408031</v>
      </c>
      <c r="AO60" s="704">
        <f t="shared" si="46"/>
        <v>0.27963026056774348</v>
      </c>
      <c r="AP60" s="979">
        <f t="shared" si="46"/>
        <v>8.2913337918448988</v>
      </c>
    </row>
    <row r="61" spans="1:42">
      <c r="A61" s="183">
        <v>2</v>
      </c>
      <c r="B61" s="183">
        <f t="shared" si="33"/>
        <v>4</v>
      </c>
      <c r="C61" s="687" t="str">
        <f t="shared" si="34"/>
        <v>Tidal Cal.</v>
      </c>
      <c r="D61" s="681">
        <f t="shared" si="35"/>
        <v>264705.30718432611</v>
      </c>
      <c r="E61" s="668">
        <f t="shared" si="35"/>
        <v>241964.7613002033</v>
      </c>
      <c r="F61" s="668">
        <f t="shared" si="36"/>
        <v>436972.92238569196</v>
      </c>
      <c r="G61" s="65">
        <f t="shared" ref="G61:G70" si="47">F61/D61*12</f>
        <v>19.809482191367241</v>
      </c>
      <c r="H61" s="667">
        <f t="shared" si="37"/>
        <v>93.663108536234503</v>
      </c>
      <c r="I61" s="714">
        <f t="shared" si="38"/>
        <v>173.77259315550725</v>
      </c>
      <c r="J61" s="666">
        <f t="shared" si="39"/>
        <v>0.20711612283321795</v>
      </c>
      <c r="K61" s="667">
        <f t="shared" si="39"/>
        <v>3.3140544409592632E-2</v>
      </c>
      <c r="L61" s="667">
        <f t="shared" si="39"/>
        <v>0</v>
      </c>
      <c r="M61" s="667">
        <f t="shared" si="39"/>
        <v>2.5558570962800009</v>
      </c>
      <c r="N61" s="667">
        <f t="shared" si="39"/>
        <v>0</v>
      </c>
      <c r="O61" s="666">
        <f t="shared" si="39"/>
        <v>2.7961137635228113</v>
      </c>
      <c r="P61" s="667">
        <f t="shared" si="39"/>
        <v>90.866994772711692</v>
      </c>
      <c r="Q61" s="668">
        <f t="shared" si="39"/>
        <v>436972.92238569196</v>
      </c>
      <c r="R61" s="708">
        <f t="shared" si="40"/>
        <v>168.58498036922873</v>
      </c>
      <c r="S61" s="667">
        <f t="shared" si="42"/>
        <v>2.0804104872581597</v>
      </c>
      <c r="T61" s="667">
        <f t="shared" si="42"/>
        <v>2.0988758161275842</v>
      </c>
      <c r="U61" s="667">
        <f t="shared" si="42"/>
        <v>0</v>
      </c>
      <c r="V61" s="667">
        <f t="shared" si="42"/>
        <v>0.48080794399999915</v>
      </c>
      <c r="W61" s="667">
        <f t="shared" si="42"/>
        <v>0</v>
      </c>
      <c r="X61" s="666">
        <f t="shared" si="42"/>
        <v>4.660094247385743</v>
      </c>
      <c r="Y61" s="667">
        <f t="shared" si="42"/>
        <v>86.206900525325949</v>
      </c>
      <c r="Z61" s="668">
        <f t="shared" si="42"/>
        <v>435972.92238569196</v>
      </c>
      <c r="AA61" s="708">
        <f t="shared" si="43"/>
        <v>160.30599164089267</v>
      </c>
      <c r="AB61" s="666">
        <f t="shared" si="44"/>
        <v>5.8053822912795345</v>
      </c>
      <c r="AC61" s="667">
        <f t="shared" si="44"/>
        <v>3.7841540713196298</v>
      </c>
      <c r="AD61" s="667">
        <f t="shared" si="44"/>
        <v>1.1348032905431182E-2</v>
      </c>
      <c r="AE61" s="667">
        <f t="shared" si="44"/>
        <v>1.7488427628037471</v>
      </c>
      <c r="AF61" s="667">
        <f t="shared" si="44"/>
        <v>2.8673104210387947</v>
      </c>
      <c r="AG61" s="667">
        <f t="shared" si="44"/>
        <v>2.6427326025184925</v>
      </c>
      <c r="AH61" s="666">
        <f t="shared" si="44"/>
        <v>16.859770181865628</v>
      </c>
      <c r="AI61" s="667">
        <f t="shared" si="44"/>
        <v>69.347130343460321</v>
      </c>
      <c r="AJ61" s="668">
        <f t="shared" si="44"/>
        <v>432551.92238569196</v>
      </c>
      <c r="AK61" s="708">
        <f t="shared" si="45"/>
        <v>129.97430045122312</v>
      </c>
      <c r="AL61" s="704">
        <f t="shared" si="46"/>
        <v>2.9852882391161583E-2</v>
      </c>
      <c r="AM61" s="524">
        <f t="shared" si="46"/>
        <v>4.975378588447061E-2</v>
      </c>
      <c r="AN61" s="696">
        <f t="shared" si="46"/>
        <v>0.180004384280533</v>
      </c>
      <c r="AO61" s="704">
        <f t="shared" si="46"/>
        <v>0.25961105255616518</v>
      </c>
      <c r="AP61" s="979">
        <f t="shared" si="46"/>
        <v>24.315978192774182</v>
      </c>
    </row>
    <row r="62" spans="1:42">
      <c r="A62" s="183">
        <v>3</v>
      </c>
      <c r="B62" s="183">
        <f t="shared" si="33"/>
        <v>5</v>
      </c>
      <c r="C62" s="687" t="str">
        <f t="shared" si="34"/>
        <v>West Cal.</v>
      </c>
      <c r="D62" s="681">
        <f t="shared" si="35"/>
        <v>350113.84217788803</v>
      </c>
      <c r="E62" s="668">
        <f t="shared" si="35"/>
        <v>346460.06277953705</v>
      </c>
      <c r="F62" s="668">
        <f t="shared" si="36"/>
        <v>592883.25223140384</v>
      </c>
      <c r="G62" s="65">
        <f t="shared" si="47"/>
        <v>20.320816173734759</v>
      </c>
      <c r="H62" s="667">
        <f t="shared" si="37"/>
        <v>108.05345510000004</v>
      </c>
      <c r="I62" s="714">
        <f t="shared" si="38"/>
        <v>147.75313917952485</v>
      </c>
      <c r="J62" s="666">
        <f t="shared" si="39"/>
        <v>4.8709946853973875E-2</v>
      </c>
      <c r="K62" s="667">
        <f t="shared" si="39"/>
        <v>16.917642881678105</v>
      </c>
      <c r="L62" s="667">
        <f t="shared" si="39"/>
        <v>7.9575901134658733E-2</v>
      </c>
      <c r="M62" s="667">
        <f t="shared" si="39"/>
        <v>0</v>
      </c>
      <c r="N62" s="667">
        <f t="shared" si="39"/>
        <v>0</v>
      </c>
      <c r="O62" s="666">
        <f t="shared" si="39"/>
        <v>17.045928729666741</v>
      </c>
      <c r="P62" s="667">
        <f t="shared" si="39"/>
        <v>91.007526370333295</v>
      </c>
      <c r="Q62" s="668">
        <f t="shared" si="39"/>
        <v>592268.25223140384</v>
      </c>
      <c r="R62" s="708">
        <f t="shared" si="40"/>
        <v>124.57362366569292</v>
      </c>
      <c r="S62" s="667">
        <f t="shared" si="42"/>
        <v>0.36994760442356106</v>
      </c>
      <c r="T62" s="667">
        <f t="shared" si="42"/>
        <v>4.8578227627024271</v>
      </c>
      <c r="U62" s="667">
        <f t="shared" si="42"/>
        <v>0</v>
      </c>
      <c r="V62" s="667">
        <f t="shared" si="42"/>
        <v>0.39126880423999966</v>
      </c>
      <c r="W62" s="667">
        <f t="shared" si="42"/>
        <v>0.63502935999999943</v>
      </c>
      <c r="X62" s="666">
        <f t="shared" si="42"/>
        <v>6.2540685313659878</v>
      </c>
      <c r="Y62" s="667">
        <f t="shared" si="42"/>
        <v>84.753457838967307</v>
      </c>
      <c r="Z62" s="668">
        <f t="shared" si="42"/>
        <v>592268.25223140384</v>
      </c>
      <c r="AA62" s="708">
        <f t="shared" si="43"/>
        <v>116.01288137680233</v>
      </c>
      <c r="AB62" s="666">
        <f t="shared" si="44"/>
        <v>1.0873237885245897</v>
      </c>
      <c r="AC62" s="667">
        <f t="shared" si="44"/>
        <v>2.8552165465089376</v>
      </c>
      <c r="AD62" s="667">
        <f t="shared" si="44"/>
        <v>0.51480133269312489</v>
      </c>
      <c r="AE62" s="667">
        <f t="shared" si="44"/>
        <v>7.0275070532000115</v>
      </c>
      <c r="AF62" s="667">
        <f t="shared" si="44"/>
        <v>15.258624158181362</v>
      </c>
      <c r="AG62" s="667">
        <f t="shared" si="44"/>
        <v>0</v>
      </c>
      <c r="AH62" s="666">
        <f t="shared" si="44"/>
        <v>26.743472879108026</v>
      </c>
      <c r="AI62" s="667">
        <f t="shared" si="44"/>
        <v>58.009984959859281</v>
      </c>
      <c r="AJ62" s="668">
        <f t="shared" si="44"/>
        <v>587868.25223140384</v>
      </c>
      <c r="AK62" s="708">
        <f t="shared" si="45"/>
        <v>80.000000000000014</v>
      </c>
      <c r="AL62" s="704">
        <f t="shared" si="46"/>
        <v>0.15775459205715611</v>
      </c>
      <c r="AM62" s="524">
        <f t="shared" si="46"/>
        <v>5.7879394282931963E-2</v>
      </c>
      <c r="AN62" s="696">
        <f t="shared" si="46"/>
        <v>0.24750224649788194</v>
      </c>
      <c r="AO62" s="704">
        <f t="shared" si="46"/>
        <v>0.46313623283797001</v>
      </c>
      <c r="AP62" s="979">
        <f t="shared" si="46"/>
        <v>50.043470140140755</v>
      </c>
    </row>
    <row r="63" spans="1:42">
      <c r="A63" s="183">
        <v>4</v>
      </c>
      <c r="B63" s="183">
        <f t="shared" si="33"/>
        <v>2</v>
      </c>
      <c r="C63" s="687" t="str">
        <f t="shared" si="34"/>
        <v>East Cal.</v>
      </c>
      <c r="D63" s="681">
        <f t="shared" si="35"/>
        <v>204093.34166116777</v>
      </c>
      <c r="E63" s="668">
        <f t="shared" si="35"/>
        <v>201968.77870865492</v>
      </c>
      <c r="F63" s="668">
        <f t="shared" si="36"/>
        <v>304048.44256774255</v>
      </c>
      <c r="G63" s="65">
        <f t="shared" si="47"/>
        <v>17.877022744182522</v>
      </c>
      <c r="H63" s="667">
        <f t="shared" si="37"/>
        <v>49.563984774778426</v>
      </c>
      <c r="I63" s="714">
        <f t="shared" si="38"/>
        <v>132.15715250625749</v>
      </c>
      <c r="J63" s="666">
        <f t="shared" si="39"/>
        <v>1.2914712236664919E-2</v>
      </c>
      <c r="K63" s="667">
        <f t="shared" si="39"/>
        <v>7.6707049304681592</v>
      </c>
      <c r="L63" s="667">
        <f t="shared" si="39"/>
        <v>1.071115540313794</v>
      </c>
      <c r="M63" s="667">
        <f t="shared" si="39"/>
        <v>0</v>
      </c>
      <c r="N63" s="667">
        <f t="shared" si="39"/>
        <v>0</v>
      </c>
      <c r="O63" s="666">
        <f t="shared" si="39"/>
        <v>8.7547351830186173</v>
      </c>
      <c r="P63" s="667">
        <f t="shared" si="39"/>
        <v>40.809249591759809</v>
      </c>
      <c r="Q63" s="668">
        <f t="shared" si="39"/>
        <v>299038.44256774255</v>
      </c>
      <c r="R63" s="708">
        <f t="shared" si="40"/>
        <v>110.6366017312656</v>
      </c>
      <c r="S63" s="667">
        <f t="shared" si="42"/>
        <v>6.6076285136315749E-2</v>
      </c>
      <c r="T63" s="667">
        <f t="shared" si="42"/>
        <v>2.1117815512983307</v>
      </c>
      <c r="U63" s="667">
        <f t="shared" si="42"/>
        <v>2.6798944611410972E-2</v>
      </c>
      <c r="V63" s="667">
        <f t="shared" si="42"/>
        <v>0</v>
      </c>
      <c r="W63" s="667">
        <f t="shared" si="42"/>
        <v>9.110715581899715</v>
      </c>
      <c r="X63" s="666">
        <f t="shared" si="42"/>
        <v>11.315372362945773</v>
      </c>
      <c r="Y63" s="667">
        <f t="shared" si="42"/>
        <v>29.493877228814036</v>
      </c>
      <c r="Z63" s="668">
        <f t="shared" si="42"/>
        <v>298888.44256774255</v>
      </c>
      <c r="AA63" s="708">
        <f t="shared" si="43"/>
        <v>80</v>
      </c>
      <c r="AB63" s="666">
        <f t="shared" si="44"/>
        <v>0</v>
      </c>
      <c r="AC63" s="667">
        <f t="shared" si="44"/>
        <v>0</v>
      </c>
      <c r="AD63" s="667">
        <f t="shared" si="44"/>
        <v>0.22597387263870417</v>
      </c>
      <c r="AE63" s="667">
        <f t="shared" si="44"/>
        <v>0</v>
      </c>
      <c r="AF63" s="667">
        <f t="shared" si="44"/>
        <v>0</v>
      </c>
      <c r="AG63" s="667">
        <f t="shared" si="44"/>
        <v>0</v>
      </c>
      <c r="AH63" s="666">
        <f t="shared" si="44"/>
        <v>0.22597387263870417</v>
      </c>
      <c r="AI63" s="667">
        <f t="shared" si="44"/>
        <v>29.267903356175331</v>
      </c>
      <c r="AJ63" s="668">
        <f t="shared" si="44"/>
        <v>296598.44256774255</v>
      </c>
      <c r="AK63" s="708">
        <f t="shared" si="45"/>
        <v>80</v>
      </c>
      <c r="AL63" s="704">
        <f t="shared" si="46"/>
        <v>0.17663501477535823</v>
      </c>
      <c r="AM63" s="524">
        <f t="shared" si="46"/>
        <v>0.22829827775880956</v>
      </c>
      <c r="AN63" s="696">
        <f t="shared" si="46"/>
        <v>4.5592353735387165E-3</v>
      </c>
      <c r="AO63" s="704">
        <f t="shared" si="46"/>
        <v>0.40949252790770646</v>
      </c>
      <c r="AP63" s="979">
        <f t="shared" si="46"/>
        <v>20.296081418603094</v>
      </c>
    </row>
    <row r="64" spans="1:42">
      <c r="A64" s="183">
        <v>5</v>
      </c>
      <c r="B64" s="183">
        <f t="shared" si="33"/>
        <v>3</v>
      </c>
      <c r="C64" s="687" t="str">
        <f t="shared" si="34"/>
        <v>S-4</v>
      </c>
      <c r="D64" s="681">
        <f t="shared" si="35"/>
        <v>42146.12721862398</v>
      </c>
      <c r="E64" s="668">
        <f t="shared" si="35"/>
        <v>41488.206738540066</v>
      </c>
      <c r="F64" s="668">
        <f t="shared" si="36"/>
        <v>63034.099834710752</v>
      </c>
      <c r="G64" s="65">
        <f t="shared" si="47"/>
        <v>17.947300213203903</v>
      </c>
      <c r="H64" s="667">
        <f t="shared" si="37"/>
        <v>9.7744972000000026</v>
      </c>
      <c r="I64" s="714">
        <f t="shared" si="38"/>
        <v>125.7147141544315</v>
      </c>
      <c r="J64" s="666">
        <f t="shared" si="39"/>
        <v>1.0543897624112619E-2</v>
      </c>
      <c r="K64" s="667">
        <f t="shared" si="39"/>
        <v>1.6078633892715768</v>
      </c>
      <c r="L64" s="667">
        <f t="shared" si="39"/>
        <v>0</v>
      </c>
      <c r="M64" s="667">
        <f t="shared" si="39"/>
        <v>4.467885139999999E-3</v>
      </c>
      <c r="N64" s="667">
        <f t="shared" si="39"/>
        <v>0</v>
      </c>
      <c r="O64" s="666">
        <f t="shared" si="39"/>
        <v>1.6228751720356893</v>
      </c>
      <c r="P64" s="667">
        <f t="shared" si="39"/>
        <v>8.1516220279643132</v>
      </c>
      <c r="Q64" s="668">
        <f t="shared" si="39"/>
        <v>63034.099834710752</v>
      </c>
      <c r="R64" s="708">
        <f t="shared" si="40"/>
        <v>104.84210207155213</v>
      </c>
      <c r="S64" s="667">
        <f t="shared" si="42"/>
        <v>9.5991179678909341E-2</v>
      </c>
      <c r="T64" s="667">
        <f t="shared" si="42"/>
        <v>0.23008563163055523</v>
      </c>
      <c r="U64" s="667">
        <f t="shared" si="42"/>
        <v>0.20971761735443284</v>
      </c>
      <c r="V64" s="667">
        <f t="shared" si="42"/>
        <v>0</v>
      </c>
      <c r="W64" s="667">
        <f t="shared" si="42"/>
        <v>0</v>
      </c>
      <c r="X64" s="666">
        <f t="shared" si="42"/>
        <v>0.53579442866389737</v>
      </c>
      <c r="Y64" s="667">
        <f t="shared" si="42"/>
        <v>7.6158275993004159</v>
      </c>
      <c r="Z64" s="668">
        <f t="shared" si="42"/>
        <v>61586.099834710752</v>
      </c>
      <c r="AA64" s="708">
        <f t="shared" si="43"/>
        <v>100.25398479450897</v>
      </c>
      <c r="AB64" s="666">
        <f t="shared" si="44"/>
        <v>0.27204977799986962</v>
      </c>
      <c r="AC64" s="667">
        <f t="shared" si="44"/>
        <v>0.1381854871457773</v>
      </c>
      <c r="AD64" s="667">
        <f t="shared" si="44"/>
        <v>4.093293057638725E-3</v>
      </c>
      <c r="AE64" s="667">
        <f t="shared" si="44"/>
        <v>0</v>
      </c>
      <c r="AF64" s="667">
        <f t="shared" si="44"/>
        <v>1.1272325501869211</v>
      </c>
      <c r="AG64" s="667">
        <f t="shared" si="44"/>
        <v>0</v>
      </c>
      <c r="AH64" s="666">
        <f t="shared" si="44"/>
        <v>1.5415611083902068</v>
      </c>
      <c r="AI64" s="667">
        <f t="shared" si="44"/>
        <v>6.0742664909102091</v>
      </c>
      <c r="AJ64" s="668">
        <f t="shared" si="44"/>
        <v>61556.099834710752</v>
      </c>
      <c r="AK64" s="708">
        <f t="shared" si="45"/>
        <v>80.000000000000014</v>
      </c>
      <c r="AL64" s="704">
        <f t="shared" si="46"/>
        <v>0.16603157572500904</v>
      </c>
      <c r="AM64" s="524">
        <f t="shared" si="46"/>
        <v>5.4815548841110437E-2</v>
      </c>
      <c r="AN64" s="696">
        <f t="shared" si="46"/>
        <v>0.15771257353168061</v>
      </c>
      <c r="AO64" s="704">
        <f t="shared" si="46"/>
        <v>0.3785596980978001</v>
      </c>
      <c r="AP64" s="979">
        <f t="shared" si="46"/>
        <v>3.7002307090897935</v>
      </c>
    </row>
    <row r="65" spans="1:42">
      <c r="A65" s="183">
        <v>6</v>
      </c>
      <c r="B65" s="183">
        <f t="shared" si="33"/>
        <v>6</v>
      </c>
      <c r="C65" s="688" t="str">
        <f>VLOOKUP($A65,subwatgeog,2,FALSE)</f>
        <v>Total CRWPP</v>
      </c>
      <c r="D65" s="690">
        <f t="shared" si="35"/>
        <v>1090380.4240978749</v>
      </c>
      <c r="E65" s="691">
        <f t="shared" si="35"/>
        <v>959948.00688363891</v>
      </c>
      <c r="F65" s="691">
        <f t="shared" si="36"/>
        <v>1619290.3709018258</v>
      </c>
      <c r="G65" s="692">
        <f t="shared" si="47"/>
        <v>17.820830254632028</v>
      </c>
      <c r="H65" s="693">
        <f t="shared" si="37"/>
        <v>290.70610617581258</v>
      </c>
      <c r="I65" s="842">
        <f t="shared" si="38"/>
        <v>145.54478926516828</v>
      </c>
      <c r="J65" s="695">
        <f t="shared" si="39"/>
        <v>0.37331874488595351</v>
      </c>
      <c r="K65" s="693">
        <f t="shared" si="39"/>
        <v>26.246984540747107</v>
      </c>
      <c r="L65" s="693">
        <f t="shared" si="39"/>
        <v>1.1506914414484526</v>
      </c>
      <c r="M65" s="693">
        <f t="shared" si="39"/>
        <v>2.5603249814200009</v>
      </c>
      <c r="N65" s="693">
        <f t="shared" si="39"/>
        <v>0</v>
      </c>
      <c r="O65" s="695">
        <f t="shared" si="39"/>
        <v>30.331319708501518</v>
      </c>
      <c r="P65" s="693">
        <f t="shared" si="39"/>
        <v>260.3747864673112</v>
      </c>
      <c r="Q65" s="691">
        <f t="shared" si="39"/>
        <v>1613665.3709018258</v>
      </c>
      <c r="R65" s="708">
        <f t="shared" si="40"/>
        <v>130.81353701065626</v>
      </c>
      <c r="S65" s="693">
        <f t="shared" si="42"/>
        <v>3.3827164892579482</v>
      </c>
      <c r="T65" s="693">
        <f t="shared" si="42"/>
        <v>9.7480790737832415</v>
      </c>
      <c r="U65" s="693">
        <f t="shared" si="42"/>
        <v>0.23651656196584381</v>
      </c>
      <c r="V65" s="693">
        <f t="shared" si="42"/>
        <v>0.87207674823999881</v>
      </c>
      <c r="W65" s="693">
        <f t="shared" si="42"/>
        <v>9.745744941899714</v>
      </c>
      <c r="X65" s="695">
        <f t="shared" si="42"/>
        <v>23.985133815146749</v>
      </c>
      <c r="Y65" s="693">
        <f t="shared" si="42"/>
        <v>236.38965265216444</v>
      </c>
      <c r="Z65" s="691">
        <f t="shared" si="42"/>
        <v>1611067.3709018258</v>
      </c>
      <c r="AA65" s="708">
        <f t="shared" si="43"/>
        <v>118.95480831024949</v>
      </c>
      <c r="AB65" s="695">
        <f t="shared" si="44"/>
        <v>9.4059861147628858</v>
      </c>
      <c r="AC65" s="693">
        <f t="shared" si="44"/>
        <v>7.5667463049856183</v>
      </c>
      <c r="AD65" s="693">
        <f t="shared" si="44"/>
        <v>0.75621653129488209</v>
      </c>
      <c r="AE65" s="693">
        <f t="shared" si="44"/>
        <v>12.705792045835487</v>
      </c>
      <c r="AF65" s="693">
        <f t="shared" si="44"/>
        <v>19.253167129407078</v>
      </c>
      <c r="AG65" s="693">
        <f t="shared" si="44"/>
        <v>2.6427326025184925</v>
      </c>
      <c r="AH65" s="695">
        <f t="shared" si="44"/>
        <v>52.330640728804461</v>
      </c>
      <c r="AI65" s="693">
        <f t="shared" si="44"/>
        <v>184.05901192336003</v>
      </c>
      <c r="AJ65" s="691">
        <f t="shared" si="44"/>
        <v>1595032.3709018258</v>
      </c>
      <c r="AK65" s="708">
        <f t="shared" si="45"/>
        <v>93.552376819684767</v>
      </c>
      <c r="AL65" s="705">
        <f t="shared" si="46"/>
        <v>0.10433671348532944</v>
      </c>
      <c r="AM65" s="702">
        <f t="shared" si="46"/>
        <v>8.2506467203826372E-2</v>
      </c>
      <c r="AN65" s="697">
        <f t="shared" si="46"/>
        <v>0.18001218280965883</v>
      </c>
      <c r="AO65" s="705">
        <f t="shared" si="46"/>
        <v>0.36685536349881465</v>
      </c>
      <c r="AP65" s="980">
        <f t="shared" si="46"/>
        <v>106.64709425245273</v>
      </c>
    </row>
    <row r="66" spans="1:42">
      <c r="C66" s="688"/>
      <c r="D66" s="690"/>
      <c r="E66" s="691"/>
      <c r="F66" s="691"/>
      <c r="G66" s="692"/>
      <c r="H66" s="693"/>
      <c r="I66" s="842"/>
      <c r="J66" s="695"/>
      <c r="K66" s="693"/>
      <c r="L66" s="693"/>
      <c r="M66" s="693"/>
      <c r="N66" s="693"/>
      <c r="O66" s="695"/>
      <c r="P66" s="693"/>
      <c r="Q66" s="691"/>
      <c r="R66" s="708"/>
      <c r="S66" s="693"/>
      <c r="T66" s="693"/>
      <c r="U66" s="693"/>
      <c r="V66" s="693"/>
      <c r="W66" s="693"/>
      <c r="X66" s="695"/>
      <c r="Y66" s="693"/>
      <c r="Z66" s="691"/>
      <c r="AA66" s="708"/>
      <c r="AB66" s="695"/>
      <c r="AC66" s="693"/>
      <c r="AD66" s="693"/>
      <c r="AE66" s="693"/>
      <c r="AF66" s="693"/>
      <c r="AG66" s="693"/>
      <c r="AH66" s="695"/>
      <c r="AI66" s="693"/>
      <c r="AJ66" s="691"/>
      <c r="AK66" s="708"/>
      <c r="AL66" s="705"/>
      <c r="AM66" s="702"/>
      <c r="AN66" s="697"/>
      <c r="AO66" s="705"/>
      <c r="AP66" s="980"/>
    </row>
    <row r="67" spans="1:42">
      <c r="C67" s="688" t="s">
        <v>818</v>
      </c>
      <c r="D67" s="690"/>
      <c r="E67" s="691"/>
      <c r="F67" s="691"/>
      <c r="G67" s="692"/>
      <c r="H67" s="693"/>
      <c r="I67" s="842"/>
      <c r="J67" s="695"/>
      <c r="K67" s="693"/>
      <c r="L67" s="693"/>
      <c r="M67" s="693"/>
      <c r="N67" s="693"/>
      <c r="O67" s="695"/>
      <c r="P67" s="693"/>
      <c r="Q67" s="691"/>
      <c r="R67" s="708"/>
      <c r="S67" s="693"/>
      <c r="T67" s="693"/>
      <c r="U67" s="693"/>
      <c r="V67" s="693"/>
      <c r="W67" s="693"/>
      <c r="X67" s="695"/>
      <c r="Y67" s="693"/>
      <c r="Z67" s="691"/>
      <c r="AA67" s="708"/>
      <c r="AB67" s="695"/>
      <c r="AC67" s="693"/>
      <c r="AD67" s="693"/>
      <c r="AE67" s="693"/>
      <c r="AF67" s="693"/>
      <c r="AG67" s="693"/>
      <c r="AH67" s="695"/>
      <c r="AI67" s="693"/>
      <c r="AJ67" s="691"/>
      <c r="AK67" s="708"/>
      <c r="AL67" s="705"/>
      <c r="AM67" s="702"/>
      <c r="AN67" s="697"/>
      <c r="AO67" s="705"/>
      <c r="AP67" s="980"/>
    </row>
    <row r="68" spans="1:42">
      <c r="C68" s="687" t="s">
        <v>784</v>
      </c>
      <c r="D68" s="77">
        <f>SUM(D61:D64)</f>
        <v>861058.61824200593</v>
      </c>
      <c r="E68" s="671">
        <f>SUM(E61:E64)</f>
        <v>831881.80952693534</v>
      </c>
      <c r="F68" s="671">
        <f>SUM(F61:F64)</f>
        <v>1396938.7170195491</v>
      </c>
      <c r="G68" s="65">
        <f t="shared" si="47"/>
        <v>19.468203730960354</v>
      </c>
      <c r="H68" s="65">
        <f>SUM(H61:H64)</f>
        <v>261.05504561101293</v>
      </c>
      <c r="I68" s="714">
        <f>H68/F68*mtonacft_mgl*$D$84</f>
        <v>151.50326009563511</v>
      </c>
      <c r="J68" s="670">
        <f>SUM(J61:J64)</f>
        <v>0.27928467954796937</v>
      </c>
      <c r="K68" s="65">
        <f>SUM(K61:K64)</f>
        <v>26.229351745827437</v>
      </c>
      <c r="L68" s="65">
        <f t="shared" ref="L68:Q68" si="48">SUM(L61:L64)</f>
        <v>1.1506914414484526</v>
      </c>
      <c r="M68" s="65">
        <f t="shared" si="48"/>
        <v>2.5603249814200009</v>
      </c>
      <c r="N68" s="65">
        <f t="shared" si="48"/>
        <v>0</v>
      </c>
      <c r="O68" s="670">
        <f t="shared" si="48"/>
        <v>30.219652848243861</v>
      </c>
      <c r="P68" s="65">
        <f t="shared" si="48"/>
        <v>230.83539276276912</v>
      </c>
      <c r="Q68" s="671">
        <f t="shared" si="48"/>
        <v>1391313.7170195491</v>
      </c>
      <c r="R68" s="712">
        <f>P68/Q68*mtonacft_mgl*$D$84</f>
        <v>134.5069025175319</v>
      </c>
      <c r="S68" s="65">
        <f>SUM(S61:S64)</f>
        <v>2.6124255564969459</v>
      </c>
      <c r="T68" s="65">
        <f>SUM(T61:T64)</f>
        <v>9.2985657617588959</v>
      </c>
      <c r="U68" s="65">
        <f t="shared" ref="U68:Z68" si="49">SUM(U61:U64)</f>
        <v>0.23651656196584381</v>
      </c>
      <c r="V68" s="65">
        <f t="shared" si="49"/>
        <v>0.87207674823999881</v>
      </c>
      <c r="W68" s="65">
        <f t="shared" si="49"/>
        <v>9.745744941899714</v>
      </c>
      <c r="X68" s="670">
        <f t="shared" si="49"/>
        <v>22.765329570361402</v>
      </c>
      <c r="Y68" s="65">
        <f t="shared" si="49"/>
        <v>208.0700631924077</v>
      </c>
      <c r="Z68" s="671">
        <f t="shared" si="49"/>
        <v>1388715.7170195491</v>
      </c>
      <c r="AA68" s="712">
        <f>Y68/Z68*mtonacft_mgl*$D$84</f>
        <v>121.46844987454779</v>
      </c>
      <c r="AB68" s="670">
        <f t="shared" ref="AB68:AJ68" si="50">SUM(AB61:AB64)</f>
        <v>7.1647558578039945</v>
      </c>
      <c r="AC68" s="65">
        <f t="shared" ref="AC68" si="51">SUM(AC61:AC64)</f>
        <v>6.7775561049743445</v>
      </c>
      <c r="AD68" s="65">
        <f t="shared" si="50"/>
        <v>0.75621653129489896</v>
      </c>
      <c r="AE68" s="65">
        <f t="shared" si="50"/>
        <v>8.7763498160037585</v>
      </c>
      <c r="AF68" s="65">
        <f t="shared" si="50"/>
        <v>19.253167129407078</v>
      </c>
      <c r="AG68" s="65">
        <f t="shared" si="50"/>
        <v>2.6427326025184925</v>
      </c>
      <c r="AH68" s="670">
        <f t="shared" si="50"/>
        <v>45.370778042002563</v>
      </c>
      <c r="AI68" s="65">
        <f t="shared" si="50"/>
        <v>162.69928515040516</v>
      </c>
      <c r="AJ68" s="671">
        <f t="shared" si="50"/>
        <v>1378574.7170195491</v>
      </c>
      <c r="AK68" s="712">
        <f>AI68/AJ68*mtonacft_mgl*$D$84</f>
        <v>95.680310586858226</v>
      </c>
      <c r="AL68" s="706">
        <f>O68/$H68</f>
        <v>0.1157596964943282</v>
      </c>
      <c r="AM68" s="525">
        <f>X68/$H68</f>
        <v>8.7205093152204594E-2</v>
      </c>
      <c r="AN68" s="985">
        <f>AH68/$H68</f>
        <v>0.17379774421065064</v>
      </c>
      <c r="AO68" s="704">
        <f>SUM(AL68:AN68)</f>
        <v>0.37676253385718345</v>
      </c>
      <c r="AP68" s="981">
        <f t="shared" ref="AP68" si="52">SUM(AP61:AP64)</f>
        <v>98.355760460607826</v>
      </c>
    </row>
    <row r="69" spans="1:42">
      <c r="C69" s="687" t="s">
        <v>785</v>
      </c>
      <c r="D69" s="77">
        <f>SUM(D62:D64)</f>
        <v>596353.31105767982</v>
      </c>
      <c r="E69" s="671">
        <f>SUM(E62:E64)</f>
        <v>589917.04822673206</v>
      </c>
      <c r="F69" s="671">
        <f>SUM(F62:F64)</f>
        <v>959965.79463385709</v>
      </c>
      <c r="G69" s="65">
        <f t="shared" si="47"/>
        <v>19.316719337359558</v>
      </c>
      <c r="H69" s="65">
        <f>SUM(H62:H64)</f>
        <v>167.39193707477847</v>
      </c>
      <c r="I69" s="714">
        <f>H69/F69*mtonacft_mgl*$D$84</f>
        <v>141.36634105003085</v>
      </c>
      <c r="J69" s="670">
        <f>SUM(J62:J64)</f>
        <v>7.216855671475142E-2</v>
      </c>
      <c r="K69" s="65">
        <f>SUM(K62:K64)</f>
        <v>26.196211201417839</v>
      </c>
      <c r="L69" s="65">
        <f t="shared" ref="L69:Q69" si="53">SUM(L62:L64)</f>
        <v>1.1506914414484526</v>
      </c>
      <c r="M69" s="65">
        <f t="shared" si="53"/>
        <v>4.467885139999999E-3</v>
      </c>
      <c r="N69" s="65">
        <f t="shared" si="53"/>
        <v>0</v>
      </c>
      <c r="O69" s="670">
        <f t="shared" si="53"/>
        <v>27.42353908472105</v>
      </c>
      <c r="P69" s="65">
        <f t="shared" si="53"/>
        <v>139.96839799005744</v>
      </c>
      <c r="Q69" s="671">
        <f t="shared" si="53"/>
        <v>954340.79463385709</v>
      </c>
      <c r="R69" s="712">
        <f>P69/Q69*mtonacft_mgl*$D$84</f>
        <v>118.9032551078492</v>
      </c>
      <c r="S69" s="65">
        <f>SUM(S62:S64)</f>
        <v>0.53201506923878616</v>
      </c>
      <c r="T69" s="65">
        <f>SUM(T62:T64)</f>
        <v>7.199689945631313</v>
      </c>
      <c r="U69" s="65">
        <f t="shared" ref="U69:Z69" si="54">SUM(U62:U64)</f>
        <v>0.23651656196584381</v>
      </c>
      <c r="V69" s="65">
        <f t="shared" si="54"/>
        <v>0.39126880423999966</v>
      </c>
      <c r="W69" s="65">
        <f t="shared" si="54"/>
        <v>9.745744941899714</v>
      </c>
      <c r="X69" s="670">
        <f t="shared" si="54"/>
        <v>18.105235322975659</v>
      </c>
      <c r="Y69" s="65">
        <f t="shared" si="54"/>
        <v>121.86316266708175</v>
      </c>
      <c r="Z69" s="671">
        <f t="shared" si="54"/>
        <v>952742.79463385709</v>
      </c>
      <c r="AA69" s="712">
        <f>Y69/Z69*mtonacft_mgl*$D$84</f>
        <v>103.69647964552408</v>
      </c>
      <c r="AB69" s="670">
        <f t="shared" ref="AB69:AJ69" si="55">SUM(AB62:AB64)</f>
        <v>1.3593735665244593</v>
      </c>
      <c r="AC69" s="65">
        <f t="shared" ref="AC69" si="56">SUM(AC62:AC64)</f>
        <v>2.9934020336547151</v>
      </c>
      <c r="AD69" s="65">
        <f t="shared" si="55"/>
        <v>0.74486849838946778</v>
      </c>
      <c r="AE69" s="65">
        <f t="shared" si="55"/>
        <v>7.0275070532000115</v>
      </c>
      <c r="AF69" s="65">
        <f t="shared" si="55"/>
        <v>16.385856708368284</v>
      </c>
      <c r="AG69" s="65">
        <f t="shared" si="55"/>
        <v>0</v>
      </c>
      <c r="AH69" s="670">
        <f t="shared" si="55"/>
        <v>28.511007860136935</v>
      </c>
      <c r="AI69" s="65">
        <f t="shared" si="55"/>
        <v>93.352154806944824</v>
      </c>
      <c r="AJ69" s="671">
        <f t="shared" si="55"/>
        <v>946022.79463385709</v>
      </c>
      <c r="AK69" s="712">
        <f>AI69/AJ69*mtonacft_mgl*$D$84</f>
        <v>80.000000000000014</v>
      </c>
      <c r="AL69" s="706">
        <f>O69/H69</f>
        <v>0.16382831553272617</v>
      </c>
      <c r="AM69" s="525">
        <f t="shared" ref="AM69:AM70" si="57">X69/$H69</f>
        <v>0.10816073724559125</v>
      </c>
      <c r="AN69" s="985">
        <f t="shared" ref="AN69:AN70" si="58">AH69/$H69</f>
        <v>0.17032485768654618</v>
      </c>
      <c r="AO69" s="704">
        <f t="shared" ref="AO69:AO70" si="59">SUM(AL69:AN69)</f>
        <v>0.44231391046486357</v>
      </c>
      <c r="AP69" s="981">
        <f t="shared" ref="AP69" si="60">SUM(AP62:AP64)</f>
        <v>74.039782267833644</v>
      </c>
    </row>
    <row r="70" spans="1:42">
      <c r="C70" s="687" t="s">
        <v>786</v>
      </c>
      <c r="D70" s="77">
        <f>SUM(D60:D61)</f>
        <v>494027.1130401952</v>
      </c>
      <c r="E70" s="671">
        <f>SUM(E60:E61)</f>
        <v>370030.95865690697</v>
      </c>
      <c r="F70" s="671">
        <f>SUM(F60:F61)</f>
        <v>659324.57626796863</v>
      </c>
      <c r="G70" s="65">
        <f t="shared" si="47"/>
        <v>16.015102625697171</v>
      </c>
      <c r="H70" s="65">
        <f>SUM(H60:H61)</f>
        <v>123.31416910103425</v>
      </c>
      <c r="I70" s="714">
        <f>H70/F70*mtonacft_mgl*$D$84</f>
        <v>151.62854149519393</v>
      </c>
      <c r="J70" s="670">
        <f>SUM(J60:J61)</f>
        <v>0.30115018817120209</v>
      </c>
      <c r="K70" s="65">
        <f>SUM(K60:K61)</f>
        <v>5.0773339329265241E-2</v>
      </c>
      <c r="L70" s="65">
        <f t="shared" ref="L70:Q70" si="61">SUM(L60:L61)</f>
        <v>0</v>
      </c>
      <c r="M70" s="65">
        <f t="shared" si="61"/>
        <v>2.5558570962800009</v>
      </c>
      <c r="N70" s="65">
        <f t="shared" si="61"/>
        <v>0</v>
      </c>
      <c r="O70" s="670">
        <f t="shared" si="61"/>
        <v>2.907780623780468</v>
      </c>
      <c r="P70" s="65">
        <f t="shared" si="61"/>
        <v>120.40638847725378</v>
      </c>
      <c r="Q70" s="671">
        <f t="shared" si="61"/>
        <v>659324.57626796863</v>
      </c>
      <c r="R70" s="712">
        <f>P70/Q70*mtonacft_mgl*$D$84</f>
        <v>148.05310050421926</v>
      </c>
      <c r="S70" s="65">
        <f>SUM(S60:S61)</f>
        <v>2.850701420019162</v>
      </c>
      <c r="T70" s="65">
        <f>SUM(T60:T61)</f>
        <v>2.5483891281519293</v>
      </c>
      <c r="U70" s="65">
        <f t="shared" ref="U70:Z70" si="62">SUM(U60:U61)</f>
        <v>0</v>
      </c>
      <c r="V70" s="65">
        <f t="shared" si="62"/>
        <v>0.48080794399999915</v>
      </c>
      <c r="W70" s="65">
        <f t="shared" si="62"/>
        <v>0</v>
      </c>
      <c r="X70" s="670">
        <f t="shared" si="62"/>
        <v>5.8798984921710904</v>
      </c>
      <c r="Y70" s="65">
        <f t="shared" si="62"/>
        <v>114.5264899850827</v>
      </c>
      <c r="Z70" s="671">
        <f t="shared" si="62"/>
        <v>658324.57626796863</v>
      </c>
      <c r="AA70" s="712">
        <f>Y70/Z70*mtonacft_mgl*$D$84</f>
        <v>141.03702006039242</v>
      </c>
      <c r="AB70" s="670">
        <f t="shared" ref="AB70:AJ70" si="63">SUM(AB60:AB61)</f>
        <v>8.0466125482384268</v>
      </c>
      <c r="AC70" s="65">
        <f t="shared" ref="AC70" si="64">SUM(AC60:AC61)</f>
        <v>4.5733442713309032</v>
      </c>
      <c r="AD70" s="65">
        <f t="shared" si="63"/>
        <v>1.1348032905431182E-2</v>
      </c>
      <c r="AE70" s="65">
        <f t="shared" si="63"/>
        <v>5.6782849926354757</v>
      </c>
      <c r="AF70" s="65">
        <f t="shared" si="63"/>
        <v>2.8673104210387947</v>
      </c>
      <c r="AG70" s="65">
        <f t="shared" si="63"/>
        <v>2.6427326025184925</v>
      </c>
      <c r="AH70" s="670">
        <f t="shared" si="63"/>
        <v>23.819632868667522</v>
      </c>
      <c r="AI70" s="65">
        <f t="shared" si="63"/>
        <v>90.706857116415179</v>
      </c>
      <c r="AJ70" s="671">
        <f t="shared" si="63"/>
        <v>649009.57626796863</v>
      </c>
      <c r="AK70" s="712">
        <f>AI70/AJ70*mtonacft_mgl*$D$84</f>
        <v>113.30687330433398</v>
      </c>
      <c r="AL70" s="706">
        <f>O70/H70</f>
        <v>2.3580263687281982E-2</v>
      </c>
      <c r="AM70" s="525">
        <f t="shared" si="57"/>
        <v>4.7682261779289518E-2</v>
      </c>
      <c r="AN70" s="985">
        <f t="shared" si="58"/>
        <v>0.1931621730277526</v>
      </c>
      <c r="AO70" s="704">
        <f t="shared" si="59"/>
        <v>0.2644246984943241</v>
      </c>
      <c r="AP70" s="981">
        <f t="shared" ref="AP70" si="65">SUM(AP60:AP61)</f>
        <v>32.607311984619081</v>
      </c>
    </row>
    <row r="71" spans="1:42">
      <c r="C71" s="689"/>
      <c r="D71" s="77"/>
      <c r="E71" s="671"/>
      <c r="F71" s="671"/>
      <c r="G71" s="65"/>
      <c r="H71" s="65"/>
      <c r="I71" s="671"/>
      <c r="J71" s="670"/>
      <c r="K71" s="65"/>
      <c r="L71" s="65"/>
      <c r="M71" s="65"/>
      <c r="N71" s="65"/>
      <c r="O71" s="670"/>
      <c r="P71" s="65"/>
      <c r="Q71" s="671"/>
      <c r="R71" s="710"/>
      <c r="S71" s="65"/>
      <c r="T71" s="65"/>
      <c r="U71" s="65"/>
      <c r="V71" s="65"/>
      <c r="W71" s="65"/>
      <c r="X71" s="670"/>
      <c r="Y71" s="65"/>
      <c r="Z71" s="671"/>
      <c r="AA71" s="710"/>
      <c r="AB71" s="670"/>
      <c r="AC71" s="65"/>
      <c r="AD71" s="65"/>
      <c r="AE71" s="65"/>
      <c r="AF71" s="65"/>
      <c r="AG71" s="65"/>
      <c r="AH71" s="670"/>
      <c r="AI71" s="65"/>
      <c r="AJ71" s="671"/>
      <c r="AK71" s="710"/>
      <c r="AL71" s="9"/>
      <c r="AM71" s="525"/>
      <c r="AN71" s="985"/>
      <c r="AO71" s="704"/>
      <c r="AP71" s="981"/>
    </row>
    <row r="72" spans="1:42">
      <c r="C72" s="689" t="s">
        <v>802</v>
      </c>
      <c r="D72" s="682" t="s">
        <v>398</v>
      </c>
      <c r="E72" s="683" t="s">
        <v>398</v>
      </c>
      <c r="F72" s="671">
        <f>VLOOKUP(4,okee_dat,2,FALSE)</f>
        <v>861534.32528925652</v>
      </c>
      <c r="G72" s="675" t="s">
        <v>398</v>
      </c>
      <c r="H72" s="65">
        <f>VLOOKUP(4,okee_dat,3,FALSE)</f>
        <v>103.5593231</v>
      </c>
      <c r="I72" s="715">
        <f>VLOOKUP(4,okee_dat,5,FALSE)*$D$84</f>
        <v>97.450452190554671</v>
      </c>
      <c r="J72" s="674" t="s">
        <v>398</v>
      </c>
      <c r="K72" s="675" t="s">
        <v>398</v>
      </c>
      <c r="L72" s="675" t="s">
        <v>398</v>
      </c>
      <c r="M72" s="675" t="s">
        <v>398</v>
      </c>
      <c r="N72" s="675" t="s">
        <v>398</v>
      </c>
      <c r="O72" s="670">
        <v>0</v>
      </c>
      <c r="P72" s="65">
        <f>VLOOKUP(4,okee_dat,3,FALSE)</f>
        <v>103.5593231</v>
      </c>
      <c r="Q72" s="671">
        <f>VLOOKUP(4,okee_dat,2,FALSE)</f>
        <v>861534.32528925652</v>
      </c>
      <c r="R72" s="712">
        <f>VLOOKUP(4,okee_dat,5,FALSE)*$D$84</f>
        <v>97.450452190554671</v>
      </c>
      <c r="S72" s="675" t="s">
        <v>398</v>
      </c>
      <c r="T72" s="675" t="s">
        <v>398</v>
      </c>
      <c r="U72" s="675" t="s">
        <v>398</v>
      </c>
      <c r="V72" s="675" t="s">
        <v>398</v>
      </c>
      <c r="W72" s="675" t="s">
        <v>398</v>
      </c>
      <c r="X72" s="670">
        <v>0</v>
      </c>
      <c r="Y72" s="65">
        <f>VLOOKUP(4,okee_dat,3,FALSE)</f>
        <v>103.5593231</v>
      </c>
      <c r="Z72" s="671">
        <f>VLOOKUP(4,okee_dat,2,FALSE)</f>
        <v>861534.32528925652</v>
      </c>
      <c r="AA72" s="712">
        <f>VLOOKUP(4,okee_dat,5,FALSE)*$D$84</f>
        <v>97.450452190554671</v>
      </c>
      <c r="AB72" s="674" t="s">
        <v>398</v>
      </c>
      <c r="AC72" s="675" t="s">
        <v>398</v>
      </c>
      <c r="AD72" s="675" t="s">
        <v>398</v>
      </c>
      <c r="AE72" s="675" t="s">
        <v>398</v>
      </c>
      <c r="AF72" s="675" t="s">
        <v>398</v>
      </c>
      <c r="AG72" s="675" t="s">
        <v>398</v>
      </c>
      <c r="AH72" s="670">
        <f>VLOOKUP(7,okee_dat,3,FALSE)</f>
        <v>56.954432135574535</v>
      </c>
      <c r="AI72" s="65">
        <f>VLOOKUP(5,okee_dat,3,FALSE)</f>
        <v>46.604890964425465</v>
      </c>
      <c r="AJ72" s="671">
        <f>VLOOKUP(5,okee_dat,2,FALSE)</f>
        <v>674700</v>
      </c>
      <c r="AK72" s="712">
        <f>VLOOKUP(5,okee_dat,5,FALSE)*$D$84</f>
        <v>56</v>
      </c>
      <c r="AL72" s="706">
        <f>O72/H72</f>
        <v>0</v>
      </c>
      <c r="AM72" s="525">
        <f t="shared" ref="AM72" si="66">X72/$H72</f>
        <v>0</v>
      </c>
      <c r="AN72" s="985">
        <f t="shared" ref="AN72" si="67">AH72/$H72</f>
        <v>0.54996914261961349</v>
      </c>
      <c r="AO72" s="704">
        <f t="shared" ref="AO72" si="68">SUM(AL72:AN72)</f>
        <v>0.54996914261961349</v>
      </c>
      <c r="AP72" s="981">
        <f>VLOOKUP(7,okee_dat,3,FALSE)</f>
        <v>56.954432135574535</v>
      </c>
    </row>
    <row r="73" spans="1:42">
      <c r="C73" s="689"/>
      <c r="D73" s="682"/>
      <c r="E73" s="683"/>
      <c r="F73" s="671"/>
      <c r="G73" s="675"/>
      <c r="H73" s="65"/>
      <c r="I73" s="671"/>
      <c r="J73" s="670"/>
      <c r="K73" s="65"/>
      <c r="L73" s="65"/>
      <c r="M73" s="65"/>
      <c r="N73" s="65"/>
      <c r="O73" s="670"/>
      <c r="P73" s="65"/>
      <c r="Q73" s="671"/>
      <c r="R73" s="710"/>
      <c r="S73" s="65"/>
      <c r="T73" s="65"/>
      <c r="U73" s="65"/>
      <c r="V73" s="65"/>
      <c r="W73" s="65"/>
      <c r="X73" s="670"/>
      <c r="Y73" s="65"/>
      <c r="Z73" s="671"/>
      <c r="AA73" s="710"/>
      <c r="AB73" s="670"/>
      <c r="AC73" s="65"/>
      <c r="AD73" s="65"/>
      <c r="AE73" s="65"/>
      <c r="AF73" s="65"/>
      <c r="AG73" s="65"/>
      <c r="AH73" s="670"/>
      <c r="AI73" s="65"/>
      <c r="AJ73" s="671"/>
      <c r="AK73" s="710"/>
      <c r="AL73" s="9"/>
      <c r="AM73" s="525"/>
      <c r="AN73" s="985"/>
      <c r="AO73" s="704"/>
      <c r="AP73" s="981"/>
    </row>
    <row r="74" spans="1:42">
      <c r="C74" s="688" t="s">
        <v>783</v>
      </c>
      <c r="D74" s="682"/>
      <c r="E74" s="683"/>
      <c r="F74" s="671"/>
      <c r="G74" s="675"/>
      <c r="H74" s="65"/>
      <c r="I74" s="671"/>
      <c r="J74" s="670"/>
      <c r="K74" s="65"/>
      <c r="L74" s="65"/>
      <c r="M74" s="65"/>
      <c r="N74" s="65"/>
      <c r="O74" s="670"/>
      <c r="P74" s="65"/>
      <c r="Q74" s="671"/>
      <c r="R74" s="710"/>
      <c r="S74" s="65"/>
      <c r="T74" s="65"/>
      <c r="U74" s="65"/>
      <c r="V74" s="65"/>
      <c r="W74" s="65"/>
      <c r="X74" s="670"/>
      <c r="Y74" s="65"/>
      <c r="Z74" s="671"/>
      <c r="AA74" s="710"/>
      <c r="AB74" s="670"/>
      <c r="AC74" s="65"/>
      <c r="AD74" s="65"/>
      <c r="AE74" s="65"/>
      <c r="AF74" s="65"/>
      <c r="AG74" s="65"/>
      <c r="AH74" s="670"/>
      <c r="AI74" s="65"/>
      <c r="AJ74" s="671"/>
      <c r="AK74" s="710"/>
      <c r="AL74" s="9"/>
      <c r="AM74" s="525"/>
      <c r="AN74" s="985"/>
      <c r="AO74" s="704"/>
      <c r="AP74" s="981"/>
    </row>
    <row r="75" spans="1:42">
      <c r="C75" s="687" t="s">
        <v>827</v>
      </c>
      <c r="D75" s="682" t="s">
        <v>398</v>
      </c>
      <c r="E75" s="683" t="s">
        <v>398</v>
      </c>
      <c r="F75" s="671">
        <f>F72+F65</f>
        <v>2480824.6961910822</v>
      </c>
      <c r="G75" s="675" t="s">
        <v>398</v>
      </c>
      <c r="H75" s="65">
        <f>H72+H65</f>
        <v>394.26542927581261</v>
      </c>
      <c r="I75" s="714">
        <f>H75/F75*mtonacft_mgl*$D$84</f>
        <v>128.84271341699244</v>
      </c>
      <c r="J75" s="674" t="s">
        <v>398</v>
      </c>
      <c r="K75" s="675" t="s">
        <v>398</v>
      </c>
      <c r="L75" s="675" t="s">
        <v>398</v>
      </c>
      <c r="M75" s="675" t="s">
        <v>398</v>
      </c>
      <c r="N75" s="675" t="s">
        <v>398</v>
      </c>
      <c r="O75" s="670">
        <f>O72+O65</f>
        <v>30.331319708501518</v>
      </c>
      <c r="P75" s="65">
        <f>P72+P65</f>
        <v>363.93410956731122</v>
      </c>
      <c r="Q75" s="671">
        <f>Q72+Q65</f>
        <v>2475199.6961910822</v>
      </c>
      <c r="R75" s="712">
        <f>P75/Q75*mtonacft_mgl*$D$84</f>
        <v>119.20096174479559</v>
      </c>
      <c r="S75" s="675" t="s">
        <v>398</v>
      </c>
      <c r="T75" s="675" t="s">
        <v>398</v>
      </c>
      <c r="U75" s="675" t="s">
        <v>398</v>
      </c>
      <c r="V75" s="675" t="s">
        <v>398</v>
      </c>
      <c r="W75" s="675" t="s">
        <v>398</v>
      </c>
      <c r="X75" s="670">
        <f>X72+X65</f>
        <v>23.985133815146749</v>
      </c>
      <c r="Y75" s="65">
        <f>Y72+Y65</f>
        <v>339.94897575216442</v>
      </c>
      <c r="Z75" s="671">
        <f>Z72+Z65</f>
        <v>2472601.6961910822</v>
      </c>
      <c r="AA75" s="712">
        <f>Y75/Z75*mtonacft_mgl*$D$84</f>
        <v>111.46199579260838</v>
      </c>
      <c r="AB75" s="674" t="s">
        <v>398</v>
      </c>
      <c r="AC75" s="675" t="s">
        <v>398</v>
      </c>
      <c r="AD75" s="675" t="s">
        <v>398</v>
      </c>
      <c r="AE75" s="675" t="s">
        <v>398</v>
      </c>
      <c r="AF75" s="675" t="s">
        <v>398</v>
      </c>
      <c r="AG75" s="675" t="s">
        <v>398</v>
      </c>
      <c r="AH75" s="670">
        <f>AH72+AH65</f>
        <v>109.285072864379</v>
      </c>
      <c r="AI75" s="65">
        <f>AI72+AI65</f>
        <v>230.6639028877855</v>
      </c>
      <c r="AJ75" s="671">
        <f>AJ72+AJ65</f>
        <v>2269732.3709018258</v>
      </c>
      <c r="AK75" s="712">
        <f>AI75/AJ75*mtonacft_mgl*$D$84</f>
        <v>82.38956795064864</v>
      </c>
      <c r="AL75" s="706">
        <f>O75/H75</f>
        <v>7.6931218048242614E-2</v>
      </c>
      <c r="AM75" s="525">
        <f t="shared" ref="AM75:AM77" si="69">X75/$H75</f>
        <v>6.083499093289179E-2</v>
      </c>
      <c r="AN75" s="985">
        <f t="shared" ref="AN75:AN77" si="70">AH75/$H75</f>
        <v>0.27718654680202121</v>
      </c>
      <c r="AO75" s="704">
        <f t="shared" ref="AO75:AO77" si="71">SUM(AL75:AN75)</f>
        <v>0.4149527557831556</v>
      </c>
      <c r="AP75" s="981">
        <f>AP72+AP65</f>
        <v>163.60152638802725</v>
      </c>
    </row>
    <row r="76" spans="1:42">
      <c r="C76" s="687" t="s">
        <v>825</v>
      </c>
      <c r="D76" s="682" t="s">
        <v>398</v>
      </c>
      <c r="E76" s="683" t="s">
        <v>398</v>
      </c>
      <c r="F76" s="671">
        <f>F72+F68</f>
        <v>2258473.0423088055</v>
      </c>
      <c r="G76" s="675" t="s">
        <v>398</v>
      </c>
      <c r="H76" s="65">
        <f>H72+H68</f>
        <v>364.61436871101296</v>
      </c>
      <c r="I76" s="714">
        <f>H76/F76*mtonacft_mgl*$D$84</f>
        <v>130.88386437290066</v>
      </c>
      <c r="J76" s="674" t="s">
        <v>398</v>
      </c>
      <c r="K76" s="675" t="s">
        <v>398</v>
      </c>
      <c r="L76" s="675" t="s">
        <v>398</v>
      </c>
      <c r="M76" s="675" t="s">
        <v>398</v>
      </c>
      <c r="N76" s="675" t="s">
        <v>398</v>
      </c>
      <c r="O76" s="670">
        <f>O72+O68</f>
        <v>30.219652848243861</v>
      </c>
      <c r="P76" s="65">
        <f>P72+P68</f>
        <v>334.39471586276909</v>
      </c>
      <c r="Q76" s="671">
        <f>Q72+Q68</f>
        <v>2252848.0423088055</v>
      </c>
      <c r="R76" s="712">
        <f>P76/Q76*mtonacft_mgl*$D$84</f>
        <v>120.33577187289737</v>
      </c>
      <c r="S76" s="675" t="s">
        <v>398</v>
      </c>
      <c r="T76" s="675" t="s">
        <v>398</v>
      </c>
      <c r="U76" s="675" t="s">
        <v>398</v>
      </c>
      <c r="V76" s="675" t="s">
        <v>398</v>
      </c>
      <c r="W76" s="675" t="s">
        <v>398</v>
      </c>
      <c r="X76" s="670">
        <f>X72+X68</f>
        <v>22.765329570361402</v>
      </c>
      <c r="Y76" s="65">
        <f>Y72+Y68</f>
        <v>311.62938629240773</v>
      </c>
      <c r="Z76" s="671">
        <f>Z72+Z68</f>
        <v>2250250.0423088055</v>
      </c>
      <c r="AA76" s="712">
        <f>Y76/Z76*mtonacft_mgl*$D$84</f>
        <v>112.2728809197986</v>
      </c>
      <c r="AB76" s="674" t="s">
        <v>398</v>
      </c>
      <c r="AC76" s="675" t="s">
        <v>398</v>
      </c>
      <c r="AD76" s="675" t="s">
        <v>398</v>
      </c>
      <c r="AE76" s="675" t="s">
        <v>398</v>
      </c>
      <c r="AF76" s="675" t="s">
        <v>398</v>
      </c>
      <c r="AG76" s="675" t="s">
        <v>398</v>
      </c>
      <c r="AH76" s="670">
        <f>AH72+AH68</f>
        <v>102.32521017757711</v>
      </c>
      <c r="AI76" s="65">
        <f>AI72+AI68</f>
        <v>209.30417611483063</v>
      </c>
      <c r="AJ76" s="671">
        <f>AJ72+AJ68</f>
        <v>2053274.7170195491</v>
      </c>
      <c r="AK76" s="712">
        <f>AI76/AJ76*mtonacft_mgl*$D$84</f>
        <v>82.64147787195742</v>
      </c>
      <c r="AL76" s="706">
        <f>O76/H76</f>
        <v>8.2881135362483302E-2</v>
      </c>
      <c r="AM76" s="525">
        <f t="shared" si="69"/>
        <v>6.2436731856842453E-2</v>
      </c>
      <c r="AN76" s="985">
        <f t="shared" si="70"/>
        <v>0.28063954401829483</v>
      </c>
      <c r="AO76" s="704">
        <f t="shared" si="71"/>
        <v>0.4259574112376206</v>
      </c>
      <c r="AP76" s="981">
        <f>AP72+AP68</f>
        <v>155.31019259618236</v>
      </c>
    </row>
    <row r="77" spans="1:42">
      <c r="C77" s="729" t="s">
        <v>826</v>
      </c>
      <c r="D77" s="684" t="s">
        <v>398</v>
      </c>
      <c r="E77" s="685" t="s">
        <v>398</v>
      </c>
      <c r="F77" s="679">
        <f>F72+F69</f>
        <v>1821500.1199231136</v>
      </c>
      <c r="G77" s="677" t="s">
        <v>398</v>
      </c>
      <c r="H77" s="678">
        <f>H72+H69</f>
        <v>270.95126017477844</v>
      </c>
      <c r="I77" s="843">
        <f>H77/F77*mtonacft_mgl*$D$84</f>
        <v>120.594975040116</v>
      </c>
      <c r="J77" s="676" t="s">
        <v>398</v>
      </c>
      <c r="K77" s="677" t="s">
        <v>398</v>
      </c>
      <c r="L77" s="677" t="s">
        <v>398</v>
      </c>
      <c r="M77" s="677" t="s">
        <v>398</v>
      </c>
      <c r="N77" s="677" t="s">
        <v>398</v>
      </c>
      <c r="O77" s="755">
        <f>O72+O69</f>
        <v>27.42353908472105</v>
      </c>
      <c r="P77" s="678">
        <f>P72+P69</f>
        <v>243.52772109005744</v>
      </c>
      <c r="Q77" s="679">
        <f>Q72+Q69</f>
        <v>1815875.1199231136</v>
      </c>
      <c r="R77" s="713">
        <f>P77/Q77*mtonacft_mgl*$D$84</f>
        <v>108.72506284994917</v>
      </c>
      <c r="S77" s="677" t="s">
        <v>398</v>
      </c>
      <c r="T77" s="677" t="s">
        <v>398</v>
      </c>
      <c r="U77" s="677" t="s">
        <v>398</v>
      </c>
      <c r="V77" s="677" t="s">
        <v>398</v>
      </c>
      <c r="W77" s="677" t="s">
        <v>398</v>
      </c>
      <c r="X77" s="755">
        <f>X72+X69</f>
        <v>18.105235322975659</v>
      </c>
      <c r="Y77" s="678">
        <f>Y72+Y69</f>
        <v>225.42248576708175</v>
      </c>
      <c r="Z77" s="679">
        <f>Z72+Z69</f>
        <v>1814277.1199231136</v>
      </c>
      <c r="AA77" s="713">
        <f>Y77/Z77*mtonacft_mgl*$D$84</f>
        <v>100.73046800922934</v>
      </c>
      <c r="AB77" s="676" t="s">
        <v>398</v>
      </c>
      <c r="AC77" s="677" t="s">
        <v>398</v>
      </c>
      <c r="AD77" s="677" t="s">
        <v>398</v>
      </c>
      <c r="AE77" s="677" t="s">
        <v>398</v>
      </c>
      <c r="AF77" s="677" t="s">
        <v>398</v>
      </c>
      <c r="AG77" s="677" t="s">
        <v>398</v>
      </c>
      <c r="AH77" s="755">
        <f>AH72+AH69</f>
        <v>85.465439995711478</v>
      </c>
      <c r="AI77" s="678">
        <f>AI72+AI69</f>
        <v>139.9570457713703</v>
      </c>
      <c r="AJ77" s="679">
        <f>AJ72+AJ69</f>
        <v>1620722.794633857</v>
      </c>
      <c r="AK77" s="713">
        <f>AI77/AJ77*mtonacft_mgl*$D$84</f>
        <v>70.008902167839167</v>
      </c>
      <c r="AL77" s="707">
        <f>O77/H77</f>
        <v>0.10121207433038459</v>
      </c>
      <c r="AM77" s="841">
        <f t="shared" si="69"/>
        <v>6.6821004306445331E-2</v>
      </c>
      <c r="AN77" s="986">
        <f t="shared" si="70"/>
        <v>0.31542735745381506</v>
      </c>
      <c r="AO77" s="984">
        <f t="shared" si="71"/>
        <v>0.48346043609064498</v>
      </c>
      <c r="AP77" s="982">
        <f>AP72+AP69</f>
        <v>130.99421440340819</v>
      </c>
    </row>
    <row r="78" spans="1:42">
      <c r="A78" s="717"/>
    </row>
    <row r="80" spans="1:42">
      <c r="A80" s="725" t="s">
        <v>820</v>
      </c>
      <c r="B80" s="988"/>
      <c r="C80" s="572"/>
      <c r="D80" s="572"/>
      <c r="E80" s="572"/>
      <c r="F80" s="572"/>
      <c r="G80" s="572"/>
      <c r="H80" s="572"/>
      <c r="I80" s="572"/>
      <c r="J80" s="572"/>
      <c r="K80" s="572"/>
      <c r="L80" s="572"/>
      <c r="M80" s="572"/>
      <c r="N80" s="572"/>
      <c r="O80" s="572"/>
      <c r="P80" s="572"/>
      <c r="Q80" s="572"/>
      <c r="R80" s="572"/>
      <c r="S80" s="572"/>
      <c r="T80" s="572"/>
      <c r="U80" s="572"/>
      <c r="V80" s="572"/>
      <c r="W80" s="572"/>
      <c r="X80" s="572"/>
      <c r="Y80" s="572"/>
      <c r="Z80" s="572"/>
      <c r="AA80" s="572"/>
      <c r="AB80" s="572"/>
      <c r="AC80" s="572"/>
      <c r="AD80" s="572"/>
      <c r="AE80" s="572"/>
      <c r="AF80" s="572"/>
      <c r="AG80" s="572"/>
      <c r="AH80" s="572"/>
      <c r="AI80" s="572"/>
      <c r="AJ80" s="572"/>
      <c r="AK80" s="572"/>
      <c r="AL80" s="572"/>
      <c r="AM80" s="572"/>
      <c r="AN80" s="572"/>
      <c r="AO80" s="572"/>
      <c r="AP80" s="724"/>
    </row>
    <row r="81" spans="1:7">
      <c r="A81" s="183" t="s">
        <v>821</v>
      </c>
      <c r="B81" s="183">
        <v>2</v>
      </c>
      <c r="C81" s="183">
        <v>3</v>
      </c>
      <c r="D81" s="183">
        <v>7</v>
      </c>
      <c r="E81" s="183">
        <v>8</v>
      </c>
      <c r="F81" s="183">
        <v>9</v>
      </c>
      <c r="G81" s="183">
        <v>10</v>
      </c>
    </row>
    <row r="82" spans="1:7">
      <c r="A82" s="379" t="s">
        <v>792</v>
      </c>
      <c r="B82" s="379" t="s">
        <v>793</v>
      </c>
      <c r="C82" s="379" t="s">
        <v>794</v>
      </c>
      <c r="D82" s="379" t="s">
        <v>795</v>
      </c>
      <c r="E82" s="379" t="s">
        <v>796</v>
      </c>
      <c r="F82" s="379" t="s">
        <v>810</v>
      </c>
      <c r="G82" s="379" t="s">
        <v>811</v>
      </c>
    </row>
    <row r="83" spans="1:7">
      <c r="A83" s="280">
        <v>1</v>
      </c>
      <c r="B83" s="280" t="str">
        <f>VLOOKUP($A83,parmlist,2,FALSE)</f>
        <v>TN</v>
      </c>
      <c r="C83" s="280" t="str">
        <f>VLOOKUP($A83,parmlist,3,FALSE)</f>
        <v>Total Nitrogen</v>
      </c>
      <c r="D83" s="239">
        <f>VLOOKUP($A83,parmlist,7,FALSE)</f>
        <v>1</v>
      </c>
      <c r="E83" s="239" t="str">
        <f>VLOOKUP($A83,parmlist,8,FALSE)</f>
        <v>ppm</v>
      </c>
      <c r="F83" s="239">
        <f>VLOOKUP($A83,parmlist,9,FALSE)</f>
        <v>0.8</v>
      </c>
      <c r="G83" s="239" t="str">
        <f>VLOOKUP($A83,parmlist,10,FALSE)</f>
        <v>0.80 ppm</v>
      </c>
    </row>
    <row r="84" spans="1:7">
      <c r="A84" s="280">
        <v>2</v>
      </c>
      <c r="B84" s="280" t="str">
        <f>VLOOKUP($A84,parmlist,2,FALSE)</f>
        <v>TP</v>
      </c>
      <c r="C84" s="280" t="str">
        <f>VLOOKUP($A84,parmlist,3,FALSE)</f>
        <v>Total Phosphorus</v>
      </c>
      <c r="D84" s="239">
        <f>VLOOKUP($A84,parmlist,7,FALSE)</f>
        <v>1000</v>
      </c>
      <c r="E84" s="239" t="str">
        <f>VLOOKUP($A84,parmlist,8,FALSE)</f>
        <v>ppb</v>
      </c>
      <c r="F84" s="239">
        <f>VLOOKUP($A84,parmlist,9,FALSE)</f>
        <v>80</v>
      </c>
      <c r="G84" s="239" t="str">
        <f>VLOOKUP($A84,parmlist,10,FALSE)</f>
        <v>80 ppb</v>
      </c>
    </row>
  </sheetData>
  <mergeCells count="24">
    <mergeCell ref="A58:B58"/>
    <mergeCell ref="S26:AA26"/>
    <mergeCell ref="X27:AA27"/>
    <mergeCell ref="A28:B28"/>
    <mergeCell ref="D26:I26"/>
    <mergeCell ref="D27:I27"/>
    <mergeCell ref="O27:R27"/>
    <mergeCell ref="J26:R26"/>
    <mergeCell ref="D57:I57"/>
    <mergeCell ref="O57:R57"/>
    <mergeCell ref="S56:AA56"/>
    <mergeCell ref="X57:AA57"/>
    <mergeCell ref="D56:I56"/>
    <mergeCell ref="J56:R56"/>
    <mergeCell ref="AL57:AN57"/>
    <mergeCell ref="AO57:AP57"/>
    <mergeCell ref="AL56:AP56"/>
    <mergeCell ref="AH27:AK27"/>
    <mergeCell ref="AB26:AK26"/>
    <mergeCell ref="AH57:AK57"/>
    <mergeCell ref="AL26:AP26"/>
    <mergeCell ref="AL27:AN27"/>
    <mergeCell ref="AO27:AP27"/>
    <mergeCell ref="AB56:AK56"/>
  </mergeCells>
  <printOptions gridLines="1"/>
  <pageMargins left="0.5" right="0.5" top="0.75" bottom="0.75" header="0.3" footer="0.3"/>
  <pageSetup paperSize="3" scale="41" orientation="landscape" r:id="rId1"/>
  <headerFooter>
    <oddFooter>&amp;L&amp;"-,Italic"&amp;9&amp;F, &amp;A&amp;R&amp;"-,Italic"&amp;9&amp;P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X315"/>
  <sheetViews>
    <sheetView zoomScale="85" zoomScaleNormal="85" workbookViewId="0">
      <selection activeCell="A3" sqref="A3"/>
    </sheetView>
  </sheetViews>
  <sheetFormatPr defaultRowHeight="15"/>
  <cols>
    <col min="2" max="2" width="8.85546875" customWidth="1"/>
    <col min="3" max="3" width="18.28515625" customWidth="1"/>
    <col min="4" max="7" width="10.7109375" customWidth="1"/>
    <col min="8" max="8" width="10.140625" customWidth="1"/>
  </cols>
  <sheetData>
    <row r="1" spans="1:22">
      <c r="A1" s="1304" t="s">
        <v>1047</v>
      </c>
      <c r="B1" s="32"/>
      <c r="C1" s="32"/>
      <c r="D1" s="32"/>
      <c r="E1" s="32"/>
      <c r="F1" s="32"/>
      <c r="G1" s="32"/>
      <c r="H1" s="32"/>
      <c r="I1" s="32"/>
      <c r="J1" s="33"/>
      <c r="Q1" s="58" t="s">
        <v>1453</v>
      </c>
    </row>
    <row r="2" spans="1:22">
      <c r="A2" t="s">
        <v>1196</v>
      </c>
      <c r="Q2" s="1118" t="s">
        <v>1197</v>
      </c>
    </row>
    <row r="5" spans="1:22">
      <c r="A5" s="403" t="s">
        <v>1076</v>
      </c>
      <c r="B5" s="989"/>
      <c r="C5" s="989"/>
      <c r="D5" s="989"/>
      <c r="E5" s="989"/>
      <c r="F5" s="989"/>
      <c r="G5" s="989"/>
      <c r="H5" s="989"/>
      <c r="I5" s="989"/>
      <c r="J5" s="989"/>
      <c r="K5" s="989"/>
      <c r="L5" s="989"/>
      <c r="M5" s="989"/>
      <c r="N5" s="989"/>
      <c r="O5" s="989"/>
      <c r="P5" s="989"/>
      <c r="Q5" s="989"/>
      <c r="R5" s="989"/>
      <c r="S5" s="989"/>
      <c r="T5" s="989"/>
      <c r="U5" s="989"/>
      <c r="V5" s="989"/>
    </row>
    <row r="7" spans="1:22">
      <c r="A7" s="183" t="s">
        <v>821</v>
      </c>
      <c r="B7" s="183">
        <v>2</v>
      </c>
      <c r="C7" s="183">
        <v>3</v>
      </c>
      <c r="D7" s="183">
        <v>7</v>
      </c>
      <c r="E7" s="183">
        <v>8</v>
      </c>
      <c r="F7" s="183">
        <v>9</v>
      </c>
      <c r="G7" s="183">
        <v>10</v>
      </c>
    </row>
    <row r="8" spans="1:22">
      <c r="A8" s="379" t="s">
        <v>792</v>
      </c>
      <c r="B8" s="379" t="s">
        <v>793</v>
      </c>
      <c r="C8" s="379" t="s">
        <v>794</v>
      </c>
      <c r="D8" s="379" t="s">
        <v>795</v>
      </c>
      <c r="E8" s="379" t="s">
        <v>796</v>
      </c>
      <c r="F8" s="379" t="s">
        <v>810</v>
      </c>
      <c r="G8" s="379" t="s">
        <v>811</v>
      </c>
    </row>
    <row r="9" spans="1:22">
      <c r="A9" s="280">
        <v>1</v>
      </c>
      <c r="B9" s="280" t="str">
        <f>VLOOKUP($A9,parmlist,2,FALSE)</f>
        <v>TN</v>
      </c>
      <c r="C9" s="280" t="str">
        <f>VLOOKUP($A9,parmlist,3,FALSE)</f>
        <v>Total Nitrogen</v>
      </c>
      <c r="D9" s="239">
        <f>VLOOKUP($A9,parmlist,7,FALSE)</f>
        <v>1</v>
      </c>
      <c r="E9" s="239" t="str">
        <f>VLOOKUP($A9,parmlist,8,FALSE)</f>
        <v>ppm</v>
      </c>
      <c r="F9" s="239">
        <f>VLOOKUP($A9,parmlist,9,FALSE)</f>
        <v>0.8</v>
      </c>
      <c r="G9" s="239" t="str">
        <f>VLOOKUP($A9,parmlist,10,FALSE)</f>
        <v>0.80 ppm</v>
      </c>
    </row>
    <row r="10" spans="1:22">
      <c r="A10" s="280">
        <v>2</v>
      </c>
      <c r="B10" s="280" t="str">
        <f>VLOOKUP($A10,parmlist,2,FALSE)</f>
        <v>TP</v>
      </c>
      <c r="C10" s="280" t="str">
        <f>VLOOKUP($A10,parmlist,3,FALSE)</f>
        <v>Total Phosphorus</v>
      </c>
      <c r="D10" s="239">
        <f>VLOOKUP($A10,parmlist,7,FALSE)</f>
        <v>1000</v>
      </c>
      <c r="E10" s="239" t="str">
        <f>VLOOKUP($A10,parmlist,8,FALSE)</f>
        <v>ppb</v>
      </c>
      <c r="F10" s="239">
        <f>VLOOKUP($A10,parmlist,9,FALSE)</f>
        <v>80</v>
      </c>
      <c r="G10" s="239" t="str">
        <f>VLOOKUP($A10,parmlist,10,FALSE)</f>
        <v>80 ppb</v>
      </c>
    </row>
    <row r="13" spans="1:22">
      <c r="A13" s="403" t="s">
        <v>1042</v>
      </c>
      <c r="B13" s="989"/>
      <c r="C13" s="989"/>
      <c r="D13" s="989"/>
      <c r="E13" s="989"/>
      <c r="F13" s="989"/>
      <c r="G13" s="989"/>
      <c r="H13" s="989"/>
      <c r="I13" s="989"/>
      <c r="J13" s="989"/>
      <c r="K13" s="989"/>
      <c r="L13" s="989"/>
      <c r="M13" s="989"/>
      <c r="N13" s="989"/>
      <c r="O13" s="989"/>
      <c r="P13" s="989"/>
      <c r="Q13" s="989"/>
      <c r="R13" s="989"/>
      <c r="S13" s="989"/>
      <c r="T13" s="989"/>
      <c r="U13" s="989"/>
      <c r="V13" s="989"/>
    </row>
    <row r="15" spans="1:22">
      <c r="D15" s="41">
        <v>74</v>
      </c>
      <c r="E15" s="41">
        <v>78</v>
      </c>
      <c r="F15" s="41">
        <v>82</v>
      </c>
      <c r="G15" s="41">
        <v>86</v>
      </c>
    </row>
    <row r="16" spans="1:22">
      <c r="D16" s="41">
        <v>10</v>
      </c>
      <c r="E16" s="41">
        <v>10</v>
      </c>
      <c r="F16" s="41">
        <v>10</v>
      </c>
      <c r="G16" s="41">
        <v>10</v>
      </c>
    </row>
    <row r="17" spans="1:7">
      <c r="D17" s="1439" t="s">
        <v>1041</v>
      </c>
      <c r="E17" s="1439"/>
      <c r="F17" s="1439"/>
      <c r="G17" s="1439"/>
    </row>
    <row r="18" spans="1:7">
      <c r="A18" s="41" t="s">
        <v>206</v>
      </c>
      <c r="B18" s="41" t="s">
        <v>207</v>
      </c>
      <c r="C18" s="974" t="s">
        <v>1039</v>
      </c>
      <c r="D18" s="1007" t="s">
        <v>1040</v>
      </c>
      <c r="E18" s="1007" t="s">
        <v>681</v>
      </c>
      <c r="F18" s="1007" t="s">
        <v>425</v>
      </c>
      <c r="G18" s="1090" t="s">
        <v>1094</v>
      </c>
    </row>
    <row r="19" spans="1:7">
      <c r="A19" s="41">
        <v>1</v>
      </c>
      <c r="B19" s="41">
        <f t="shared" ref="B19:B24" si="0">VLOOKUP($A19,subwatgeog,4,FALSE)</f>
        <v>1</v>
      </c>
      <c r="C19" s="990" t="str">
        <f t="shared" ref="C19:C24" si="1">VLOOKUP($A19,subwatgeog,2,FALSE)</f>
        <v>Coastal</v>
      </c>
      <c r="D19" s="1008">
        <f t="shared" ref="D19:G24" si="2">VLOOKUP(D$15,loads_summ,D$16+$A19,FALSE)*$D$9</f>
        <v>1.0297722329100547</v>
      </c>
      <c r="E19" s="994">
        <f t="shared" si="2"/>
        <v>1.0204607768377447</v>
      </c>
      <c r="F19" s="994">
        <f t="shared" si="2"/>
        <v>0.99079485676457946</v>
      </c>
      <c r="G19" s="1009">
        <f t="shared" si="2"/>
        <v>0.83478703789820408</v>
      </c>
    </row>
    <row r="20" spans="1:7">
      <c r="A20" s="41">
        <v>2</v>
      </c>
      <c r="B20" s="41">
        <f t="shared" si="0"/>
        <v>4</v>
      </c>
      <c r="C20" s="991" t="str">
        <f t="shared" si="1"/>
        <v>Tidal Cal.</v>
      </c>
      <c r="D20" s="1010">
        <f t="shared" si="2"/>
        <v>1.1679720484565255</v>
      </c>
      <c r="E20" s="1011">
        <f t="shared" si="2"/>
        <v>1.1380640658978958</v>
      </c>
      <c r="F20" s="1011">
        <f t="shared" si="2"/>
        <v>1.0945116026319424</v>
      </c>
      <c r="G20" s="1012">
        <f t="shared" si="2"/>
        <v>0.93360467145584647</v>
      </c>
    </row>
    <row r="21" spans="1:7">
      <c r="A21" s="41">
        <v>3</v>
      </c>
      <c r="B21" s="41">
        <f t="shared" si="0"/>
        <v>5</v>
      </c>
      <c r="C21" s="991" t="str">
        <f t="shared" si="1"/>
        <v>West Cal.</v>
      </c>
      <c r="D21" s="1010">
        <f t="shared" si="2"/>
        <v>1.3097955059772124</v>
      </c>
      <c r="E21" s="1011">
        <f t="shared" si="2"/>
        <v>1.1450517976348811</v>
      </c>
      <c r="F21" s="1011">
        <f t="shared" si="2"/>
        <v>1.0869314964701138</v>
      </c>
      <c r="G21" s="1012">
        <f t="shared" si="2"/>
        <v>0.80000000000000016</v>
      </c>
    </row>
    <row r="22" spans="1:7">
      <c r="A22" s="41">
        <v>4</v>
      </c>
      <c r="B22" s="41">
        <f t="shared" si="0"/>
        <v>2</v>
      </c>
      <c r="C22" s="991" t="str">
        <f t="shared" si="1"/>
        <v>East Cal.</v>
      </c>
      <c r="D22" s="1010">
        <f t="shared" si="2"/>
        <v>1.3563084606842892</v>
      </c>
      <c r="E22" s="1011">
        <f t="shared" si="2"/>
        <v>1.1627813749016025</v>
      </c>
      <c r="F22" s="1011">
        <f t="shared" si="2"/>
        <v>0.98879435231014279</v>
      </c>
      <c r="G22" s="1012">
        <f t="shared" si="2"/>
        <v>0.80000000000000016</v>
      </c>
    </row>
    <row r="23" spans="1:7">
      <c r="A23" s="41">
        <v>5</v>
      </c>
      <c r="B23" s="41">
        <f t="shared" si="0"/>
        <v>3</v>
      </c>
      <c r="C23" s="992" t="str">
        <f t="shared" si="1"/>
        <v>S-4</v>
      </c>
      <c r="D23" s="1013">
        <f t="shared" si="2"/>
        <v>2.0273293335279883</v>
      </c>
      <c r="E23" s="1014">
        <f t="shared" si="2"/>
        <v>1.5936351477393291</v>
      </c>
      <c r="F23" s="1014">
        <f t="shared" si="2"/>
        <v>1.532972809273655</v>
      </c>
      <c r="G23" s="1015">
        <f t="shared" si="2"/>
        <v>1.3177656642802209</v>
      </c>
    </row>
    <row r="24" spans="1:7">
      <c r="A24" s="41">
        <v>6</v>
      </c>
      <c r="B24" s="41">
        <f t="shared" si="0"/>
        <v>6</v>
      </c>
      <c r="C24" s="993" t="str">
        <f t="shared" si="1"/>
        <v>Total CRWPP</v>
      </c>
      <c r="D24" s="1016">
        <f t="shared" si="2"/>
        <v>1.2697376143261829</v>
      </c>
      <c r="E24" s="1017">
        <f t="shared" si="2"/>
        <v>1.1468002417718701</v>
      </c>
      <c r="F24" s="1017">
        <f t="shared" si="2"/>
        <v>1.0745586227361117</v>
      </c>
      <c r="G24" s="1018">
        <f t="shared" si="2"/>
        <v>0.86093450815255901</v>
      </c>
    </row>
    <row r="45" spans="1:22">
      <c r="A45" s="3"/>
      <c r="B45" s="3"/>
    </row>
    <row r="46" spans="1:22">
      <c r="A46" s="3"/>
      <c r="B46" s="3"/>
    </row>
    <row r="47" spans="1:22">
      <c r="A47" s="403" t="s">
        <v>1043</v>
      </c>
      <c r="B47" s="1019"/>
      <c r="C47" s="989"/>
      <c r="D47" s="989"/>
      <c r="E47" s="989"/>
      <c r="F47" s="989"/>
      <c r="G47" s="989"/>
      <c r="H47" s="989"/>
      <c r="I47" s="989"/>
      <c r="J47" s="989"/>
      <c r="K47" s="989"/>
      <c r="L47" s="989"/>
      <c r="M47" s="989"/>
      <c r="N47" s="989"/>
      <c r="O47" s="989"/>
      <c r="P47" s="989"/>
      <c r="Q47" s="989"/>
      <c r="R47" s="989"/>
      <c r="S47" s="989"/>
      <c r="T47" s="989"/>
      <c r="U47" s="989"/>
      <c r="V47" s="989"/>
    </row>
    <row r="48" spans="1:22">
      <c r="A48" s="3"/>
      <c r="B48" s="3"/>
    </row>
    <row r="49" spans="1:7">
      <c r="A49" s="3"/>
      <c r="B49" s="3"/>
      <c r="D49" s="41">
        <v>74</v>
      </c>
      <c r="E49" s="41">
        <v>78</v>
      </c>
      <c r="F49" s="41">
        <v>82</v>
      </c>
      <c r="G49" s="41">
        <v>86</v>
      </c>
    </row>
    <row r="50" spans="1:7">
      <c r="A50" s="3"/>
      <c r="B50" s="3"/>
      <c r="D50" s="41">
        <v>17</v>
      </c>
      <c r="E50" s="41">
        <v>17</v>
      </c>
      <c r="F50" s="41">
        <v>17</v>
      </c>
      <c r="G50" s="41">
        <v>17</v>
      </c>
    </row>
    <row r="51" spans="1:7">
      <c r="A51" s="3"/>
      <c r="B51" s="3"/>
      <c r="D51" s="1439" t="s">
        <v>1044</v>
      </c>
      <c r="E51" s="1439"/>
      <c r="F51" s="1439"/>
      <c r="G51" s="1439"/>
    </row>
    <row r="52" spans="1:7">
      <c r="A52" s="41" t="s">
        <v>206</v>
      </c>
      <c r="B52" s="41" t="s">
        <v>207</v>
      </c>
      <c r="C52" s="974" t="s">
        <v>1039</v>
      </c>
      <c r="D52" s="1007" t="s">
        <v>1040</v>
      </c>
      <c r="E52" s="1007" t="s">
        <v>681</v>
      </c>
      <c r="F52" s="1007" t="s">
        <v>425</v>
      </c>
      <c r="G52" s="1090" t="s">
        <v>1094</v>
      </c>
    </row>
    <row r="53" spans="1:7">
      <c r="A53" s="41">
        <v>1</v>
      </c>
      <c r="B53" s="41">
        <f t="shared" ref="B53:B58" si="3">VLOOKUP($A53,subwatgeog,4,FALSE)</f>
        <v>1</v>
      </c>
      <c r="C53" s="990" t="str">
        <f t="shared" ref="C53:C58" si="4">VLOOKUP($A53,subwatgeog,2,FALSE)</f>
        <v>Coastal</v>
      </c>
      <c r="D53" s="997">
        <f t="shared" ref="D53:G58" si="5">VLOOKUP(D$49,loads_summ,D$50+$A53,FALSE)*$D$10</f>
        <v>108.1103090084234</v>
      </c>
      <c r="E53" s="995">
        <f t="shared" si="5"/>
        <v>107.70316206195675</v>
      </c>
      <c r="F53" s="995">
        <f t="shared" si="5"/>
        <v>103.25565120326982</v>
      </c>
      <c r="G53" s="998">
        <f t="shared" si="5"/>
        <v>80</v>
      </c>
    </row>
    <row r="54" spans="1:7">
      <c r="A54" s="41">
        <v>2</v>
      </c>
      <c r="B54" s="41">
        <f t="shared" si="3"/>
        <v>4</v>
      </c>
      <c r="C54" s="991" t="str">
        <f t="shared" si="4"/>
        <v>Tidal Cal.</v>
      </c>
      <c r="D54" s="999">
        <f t="shared" si="5"/>
        <v>173.77259315550725</v>
      </c>
      <c r="E54" s="996">
        <f t="shared" si="5"/>
        <v>168.58498036922873</v>
      </c>
      <c r="F54" s="996">
        <f t="shared" si="5"/>
        <v>160.30599164089267</v>
      </c>
      <c r="G54" s="1000">
        <f t="shared" si="5"/>
        <v>129.97430045122312</v>
      </c>
    </row>
    <row r="55" spans="1:7">
      <c r="A55" s="41">
        <v>3</v>
      </c>
      <c r="B55" s="41">
        <f t="shared" si="3"/>
        <v>5</v>
      </c>
      <c r="C55" s="991" t="str">
        <f t="shared" si="4"/>
        <v>West Cal.</v>
      </c>
      <c r="D55" s="999">
        <f t="shared" si="5"/>
        <v>147.75313917952485</v>
      </c>
      <c r="E55" s="996">
        <f t="shared" si="5"/>
        <v>124.57362366569292</v>
      </c>
      <c r="F55" s="996">
        <f t="shared" si="5"/>
        <v>116.01288137680233</v>
      </c>
      <c r="G55" s="1000">
        <f t="shared" si="5"/>
        <v>80.000000000000014</v>
      </c>
    </row>
    <row r="56" spans="1:7">
      <c r="A56" s="41">
        <v>4</v>
      </c>
      <c r="B56" s="41">
        <f t="shared" si="3"/>
        <v>2</v>
      </c>
      <c r="C56" s="991" t="str">
        <f t="shared" si="4"/>
        <v>East Cal.</v>
      </c>
      <c r="D56" s="999">
        <f t="shared" si="5"/>
        <v>132.15715250625749</v>
      </c>
      <c r="E56" s="996">
        <f t="shared" si="5"/>
        <v>110.6366017312656</v>
      </c>
      <c r="F56" s="996">
        <f t="shared" si="5"/>
        <v>80</v>
      </c>
      <c r="G56" s="1000">
        <f t="shared" si="5"/>
        <v>80</v>
      </c>
    </row>
    <row r="57" spans="1:7">
      <c r="A57" s="41">
        <v>5</v>
      </c>
      <c r="B57" s="41">
        <f t="shared" si="3"/>
        <v>3</v>
      </c>
      <c r="C57" s="992" t="str">
        <f t="shared" si="4"/>
        <v>S-4</v>
      </c>
      <c r="D57" s="1001">
        <f t="shared" si="5"/>
        <v>125.7147141544315</v>
      </c>
      <c r="E57" s="1002">
        <f t="shared" si="5"/>
        <v>104.84210207155213</v>
      </c>
      <c r="F57" s="1002">
        <f t="shared" si="5"/>
        <v>100.25398479450897</v>
      </c>
      <c r="G57" s="1003">
        <f t="shared" si="5"/>
        <v>80.000000000000014</v>
      </c>
    </row>
    <row r="58" spans="1:7">
      <c r="A58" s="41">
        <v>6</v>
      </c>
      <c r="B58" s="41">
        <f t="shared" si="3"/>
        <v>6</v>
      </c>
      <c r="C58" s="993" t="str">
        <f t="shared" si="4"/>
        <v>Total CRWPP</v>
      </c>
      <c r="D58" s="1004">
        <f t="shared" si="5"/>
        <v>145.54478926516828</v>
      </c>
      <c r="E58" s="1005">
        <f t="shared" si="5"/>
        <v>130.81353701065626</v>
      </c>
      <c r="F58" s="1005">
        <f t="shared" si="5"/>
        <v>118.95480831024949</v>
      </c>
      <c r="G58" s="1006">
        <f t="shared" si="5"/>
        <v>93.552376819684767</v>
      </c>
    </row>
    <row r="61" spans="1:7">
      <c r="A61" s="3"/>
      <c r="B61" s="3"/>
    </row>
    <row r="81" spans="1:22">
      <c r="A81" s="403" t="s">
        <v>1046</v>
      </c>
      <c r="B81" s="989"/>
      <c r="C81" s="989"/>
      <c r="D81" s="989"/>
      <c r="E81" s="989"/>
      <c r="F81" s="989"/>
      <c r="G81" s="989"/>
      <c r="H81" s="989"/>
      <c r="I81" s="989"/>
      <c r="J81" s="989"/>
      <c r="K81" s="989"/>
      <c r="L81" s="989"/>
      <c r="M81" s="989"/>
      <c r="N81" s="989"/>
      <c r="O81" s="989"/>
      <c r="P81" s="989"/>
      <c r="Q81" s="989"/>
      <c r="R81" s="989"/>
      <c r="S81" s="989"/>
      <c r="T81" s="989"/>
      <c r="U81" s="989"/>
      <c r="V81" s="989"/>
    </row>
    <row r="83" spans="1:22">
      <c r="D83" s="41">
        <v>73</v>
      </c>
      <c r="E83" s="41">
        <v>77</v>
      </c>
      <c r="F83" s="41">
        <v>81</v>
      </c>
      <c r="G83" s="41">
        <v>85</v>
      </c>
    </row>
    <row r="84" spans="1:22">
      <c r="D84" s="41">
        <v>10</v>
      </c>
      <c r="E84" s="41">
        <v>10</v>
      </c>
      <c r="F84" s="41">
        <v>10</v>
      </c>
      <c r="G84" s="41">
        <v>10</v>
      </c>
    </row>
    <row r="85" spans="1:22">
      <c r="D85" s="1439" t="s">
        <v>1194</v>
      </c>
      <c r="E85" s="1439"/>
      <c r="F85" s="1439"/>
      <c r="G85" s="1439"/>
    </row>
    <row r="86" spans="1:22">
      <c r="A86" s="41" t="s">
        <v>206</v>
      </c>
      <c r="B86" s="41" t="s">
        <v>207</v>
      </c>
      <c r="C86" s="974" t="s">
        <v>1039</v>
      </c>
      <c r="D86" s="1007" t="s">
        <v>1040</v>
      </c>
      <c r="E86" s="1007" t="s">
        <v>681</v>
      </c>
      <c r="F86" s="1007" t="s">
        <v>425</v>
      </c>
      <c r="G86" s="1090" t="s">
        <v>1094</v>
      </c>
    </row>
    <row r="87" spans="1:22">
      <c r="A87" s="41">
        <v>1</v>
      </c>
      <c r="B87" s="41">
        <f t="shared" ref="B87:B92" si="6">VLOOKUP($A87,subwatgeog,4,FALSE)</f>
        <v>1</v>
      </c>
      <c r="C87" s="990" t="str">
        <f t="shared" ref="C87:C92" si="7">VLOOKUP($A87,subwatgeog,2,FALSE)</f>
        <v>Coastal</v>
      </c>
      <c r="D87" s="1198">
        <f t="shared" ref="D87:G92" si="8">VLOOKUP(D$83,loads_summ,D$84+$A87,FALSE)</f>
        <v>282.43225947662467</v>
      </c>
      <c r="E87" s="1199">
        <f t="shared" si="8"/>
        <v>279.87843689967673</v>
      </c>
      <c r="F87" s="1199">
        <f t="shared" si="8"/>
        <v>271.74206210926337</v>
      </c>
      <c r="G87" s="1200">
        <f t="shared" si="8"/>
        <v>222.88528803887442</v>
      </c>
    </row>
    <row r="88" spans="1:22">
      <c r="A88" s="41">
        <v>2</v>
      </c>
      <c r="B88" s="41">
        <f t="shared" si="6"/>
        <v>4</v>
      </c>
      <c r="C88" s="991" t="str">
        <f t="shared" si="7"/>
        <v>Tidal Cal.</v>
      </c>
      <c r="D88" s="1201">
        <f t="shared" si="8"/>
        <v>629.5347888603726</v>
      </c>
      <c r="E88" s="1202">
        <f t="shared" si="8"/>
        <v>613.41444119437494</v>
      </c>
      <c r="F88" s="1202">
        <f t="shared" si="8"/>
        <v>588.58968330562345</v>
      </c>
      <c r="G88" s="1203">
        <f t="shared" si="8"/>
        <v>498.12004847072649</v>
      </c>
    </row>
    <row r="89" spans="1:22">
      <c r="A89" s="41">
        <v>3</v>
      </c>
      <c r="B89" s="41">
        <f t="shared" si="6"/>
        <v>5</v>
      </c>
      <c r="C89" s="991" t="str">
        <f t="shared" si="7"/>
        <v>West Cal.</v>
      </c>
      <c r="D89" s="1201">
        <f t="shared" si="8"/>
        <v>957.86749900000109</v>
      </c>
      <c r="E89" s="1202">
        <f t="shared" si="8"/>
        <v>836.52003210814962</v>
      </c>
      <c r="F89" s="1202">
        <f t="shared" si="8"/>
        <v>794.06012217489649</v>
      </c>
      <c r="G89" s="1203">
        <f t="shared" si="8"/>
        <v>580.09984959859287</v>
      </c>
    </row>
    <row r="90" spans="1:22">
      <c r="A90" s="41">
        <v>4</v>
      </c>
      <c r="B90" s="41">
        <f t="shared" si="6"/>
        <v>2</v>
      </c>
      <c r="C90" s="991" t="str">
        <f t="shared" si="7"/>
        <v>East Cal.</v>
      </c>
      <c r="D90" s="1201">
        <f t="shared" si="8"/>
        <v>508.66752665601132</v>
      </c>
      <c r="E90" s="1202">
        <f t="shared" si="8"/>
        <v>428.90177939729006</v>
      </c>
      <c r="F90" s="1202">
        <f t="shared" si="8"/>
        <v>364.54224039475059</v>
      </c>
      <c r="G90" s="1203">
        <f t="shared" si="8"/>
        <v>292.67903356175333</v>
      </c>
    </row>
    <row r="91" spans="1:22">
      <c r="A91" s="41">
        <v>5</v>
      </c>
      <c r="B91" s="41">
        <f t="shared" si="6"/>
        <v>3</v>
      </c>
      <c r="C91" s="992" t="str">
        <f t="shared" si="7"/>
        <v>S-4</v>
      </c>
      <c r="D91" s="1204">
        <f t="shared" si="8"/>
        <v>157.62772899999999</v>
      </c>
      <c r="E91" s="1205">
        <f t="shared" si="8"/>
        <v>123.90739138351346</v>
      </c>
      <c r="F91" s="1205">
        <f t="shared" si="8"/>
        <v>116.45279390912391</v>
      </c>
      <c r="G91" s="1206">
        <f t="shared" si="8"/>
        <v>100.05574771761722</v>
      </c>
    </row>
    <row r="92" spans="1:22">
      <c r="A92" s="41">
        <v>6</v>
      </c>
      <c r="B92" s="41">
        <f t="shared" si="6"/>
        <v>6</v>
      </c>
      <c r="C92" s="993" t="str">
        <f t="shared" si="7"/>
        <v>Total CRWPP</v>
      </c>
      <c r="D92" s="1196">
        <f t="shared" si="8"/>
        <v>2536.1298029930094</v>
      </c>
      <c r="E92" s="1207">
        <f t="shared" si="8"/>
        <v>2282.6220809830047</v>
      </c>
      <c r="F92" s="1207">
        <f t="shared" si="8"/>
        <v>2135.386901893658</v>
      </c>
      <c r="G92" s="1208">
        <f t="shared" si="8"/>
        <v>1693.8399673875642</v>
      </c>
    </row>
    <row r="113" spans="1:22">
      <c r="A113" s="3"/>
      <c r="B113" s="3"/>
    </row>
    <row r="114" spans="1:22">
      <c r="A114" s="3"/>
      <c r="B114" s="3"/>
    </row>
    <row r="115" spans="1:22">
      <c r="A115" s="403" t="s">
        <v>1045</v>
      </c>
      <c r="B115" s="1019"/>
      <c r="C115" s="989"/>
      <c r="D115" s="989"/>
      <c r="E115" s="989"/>
      <c r="F115" s="989"/>
      <c r="G115" s="989"/>
      <c r="H115" s="989"/>
      <c r="I115" s="989"/>
      <c r="J115" s="989"/>
      <c r="K115" s="989"/>
      <c r="L115" s="989"/>
      <c r="M115" s="989"/>
      <c r="N115" s="989"/>
      <c r="O115" s="989"/>
      <c r="P115" s="989"/>
      <c r="Q115" s="989"/>
      <c r="R115" s="989"/>
      <c r="S115" s="989"/>
      <c r="T115" s="989"/>
      <c r="U115" s="989"/>
      <c r="V115" s="989"/>
    </row>
    <row r="116" spans="1:22">
      <c r="A116" s="3"/>
      <c r="B116" s="3"/>
    </row>
    <row r="117" spans="1:22">
      <c r="A117" s="3"/>
      <c r="B117" s="3"/>
      <c r="D117" s="41">
        <v>73</v>
      </c>
      <c r="E117" s="41">
        <v>77</v>
      </c>
      <c r="F117" s="41">
        <v>81</v>
      </c>
      <c r="G117" s="41">
        <v>85</v>
      </c>
    </row>
    <row r="118" spans="1:22">
      <c r="A118" s="3"/>
      <c r="B118" s="3"/>
      <c r="D118" s="41">
        <v>17</v>
      </c>
      <c r="E118" s="41">
        <v>17</v>
      </c>
      <c r="F118" s="41">
        <v>17</v>
      </c>
      <c r="G118" s="41">
        <v>17</v>
      </c>
    </row>
    <row r="119" spans="1:22">
      <c r="A119" s="3"/>
      <c r="B119" s="3"/>
      <c r="D119" s="1439" t="s">
        <v>1195</v>
      </c>
      <c r="E119" s="1439"/>
      <c r="F119" s="1439"/>
      <c r="G119" s="1439"/>
    </row>
    <row r="120" spans="1:22">
      <c r="A120" s="41" t="s">
        <v>206</v>
      </c>
      <c r="B120" s="41" t="s">
        <v>207</v>
      </c>
      <c r="C120" s="974" t="s">
        <v>1039</v>
      </c>
      <c r="D120" s="1007" t="s">
        <v>1040</v>
      </c>
      <c r="E120" s="1007" t="s">
        <v>681</v>
      </c>
      <c r="F120" s="1007" t="s">
        <v>425</v>
      </c>
      <c r="G120" s="1090" t="s">
        <v>1094</v>
      </c>
    </row>
    <row r="121" spans="1:22">
      <c r="A121" s="41">
        <v>1</v>
      </c>
      <c r="B121" s="41">
        <f t="shared" ref="B121:B126" si="9">VLOOKUP($A121,subwatgeog,4,FALSE)</f>
        <v>1</v>
      </c>
      <c r="C121" s="990" t="str">
        <f t="shared" ref="C121:C126" si="10">VLOOKUP($A121,subwatgeog,2,FALSE)</f>
        <v>Coastal</v>
      </c>
      <c r="D121" s="1190">
        <f t="shared" ref="D121:G126" si="11">VLOOKUP(D$117,loads_summ,D$118+$A121,FALSE)</f>
        <v>29.651060564799756</v>
      </c>
      <c r="E121" s="1191">
        <f t="shared" si="11"/>
        <v>29.5393937045421</v>
      </c>
      <c r="F121" s="1191">
        <f t="shared" si="11"/>
        <v>28.319589459756752</v>
      </c>
      <c r="G121" s="1192">
        <f t="shared" si="11"/>
        <v>21.359726772954858</v>
      </c>
    </row>
    <row r="122" spans="1:22">
      <c r="A122" s="41">
        <v>2</v>
      </c>
      <c r="B122" s="41">
        <f t="shared" si="9"/>
        <v>4</v>
      </c>
      <c r="C122" s="991" t="str">
        <f t="shared" si="10"/>
        <v>Tidal Cal.</v>
      </c>
      <c r="D122" s="1193">
        <f t="shared" si="11"/>
        <v>93.663108536234503</v>
      </c>
      <c r="E122" s="1194">
        <f t="shared" si="11"/>
        <v>90.866994772711692</v>
      </c>
      <c r="F122" s="1194">
        <f t="shared" si="11"/>
        <v>86.206900525325949</v>
      </c>
      <c r="G122" s="1195">
        <f t="shared" si="11"/>
        <v>69.347130343460321</v>
      </c>
    </row>
    <row r="123" spans="1:22">
      <c r="A123" s="41">
        <v>3</v>
      </c>
      <c r="B123" s="41">
        <f t="shared" si="9"/>
        <v>5</v>
      </c>
      <c r="C123" s="991" t="str">
        <f t="shared" si="10"/>
        <v>West Cal.</v>
      </c>
      <c r="D123" s="1193">
        <f t="shared" si="11"/>
        <v>108.05345510000004</v>
      </c>
      <c r="E123" s="1194">
        <f t="shared" si="11"/>
        <v>91.007526370333295</v>
      </c>
      <c r="F123" s="1194">
        <f t="shared" si="11"/>
        <v>84.753457838967307</v>
      </c>
      <c r="G123" s="1195">
        <f t="shared" si="11"/>
        <v>58.009984959859281</v>
      </c>
    </row>
    <row r="124" spans="1:22">
      <c r="A124" s="41">
        <v>4</v>
      </c>
      <c r="B124" s="41">
        <f t="shared" si="9"/>
        <v>2</v>
      </c>
      <c r="C124" s="991" t="str">
        <f t="shared" si="10"/>
        <v>East Cal.</v>
      </c>
      <c r="D124" s="1193">
        <f t="shared" si="11"/>
        <v>49.563984774778426</v>
      </c>
      <c r="E124" s="1194">
        <f t="shared" si="11"/>
        <v>40.809249591759809</v>
      </c>
      <c r="F124" s="1194">
        <f t="shared" si="11"/>
        <v>29.493877228814036</v>
      </c>
      <c r="G124" s="1195">
        <f t="shared" si="11"/>
        <v>29.267903356175331</v>
      </c>
    </row>
    <row r="125" spans="1:22">
      <c r="A125" s="41">
        <v>5</v>
      </c>
      <c r="B125" s="41">
        <f t="shared" si="9"/>
        <v>3</v>
      </c>
      <c r="C125" s="992" t="str">
        <f t="shared" si="10"/>
        <v>S-4</v>
      </c>
      <c r="D125" s="1301">
        <f t="shared" si="11"/>
        <v>9.7744972000000026</v>
      </c>
      <c r="E125" s="1302">
        <f t="shared" si="11"/>
        <v>8.1516220279643132</v>
      </c>
      <c r="F125" s="1302">
        <f t="shared" si="11"/>
        <v>7.6158275993004159</v>
      </c>
      <c r="G125" s="1303">
        <f t="shared" si="11"/>
        <v>6.0742664909102091</v>
      </c>
    </row>
    <row r="126" spans="1:22">
      <c r="A126" s="41">
        <v>6</v>
      </c>
      <c r="B126" s="41">
        <f t="shared" si="9"/>
        <v>6</v>
      </c>
      <c r="C126" s="993" t="str">
        <f t="shared" si="10"/>
        <v>Total CRWPP</v>
      </c>
      <c r="D126" s="1284">
        <f t="shared" si="11"/>
        <v>290.70610617581258</v>
      </c>
      <c r="E126" s="1285">
        <f t="shared" si="11"/>
        <v>260.3747864673112</v>
      </c>
      <c r="F126" s="1285">
        <f t="shared" si="11"/>
        <v>236.38965265216444</v>
      </c>
      <c r="G126" s="1286">
        <f t="shared" si="11"/>
        <v>184.05901192336003</v>
      </c>
    </row>
    <row r="129" spans="1:2">
      <c r="A129" s="3"/>
      <c r="B129" s="3"/>
    </row>
    <row r="149" spans="1:22">
      <c r="A149" s="403" t="s">
        <v>1260</v>
      </c>
      <c r="B149" s="1019"/>
      <c r="C149" s="989"/>
      <c r="D149" s="989"/>
      <c r="E149" s="989"/>
      <c r="F149" s="989"/>
      <c r="G149" s="989"/>
      <c r="H149" s="989"/>
      <c r="I149" s="989"/>
      <c r="J149" s="989"/>
      <c r="K149" s="989"/>
      <c r="L149" s="989"/>
      <c r="M149" s="989"/>
      <c r="N149" s="989"/>
      <c r="O149" s="989"/>
      <c r="P149" s="989"/>
      <c r="Q149" s="989"/>
      <c r="R149" s="989"/>
      <c r="S149" s="989"/>
      <c r="T149" s="989"/>
      <c r="U149" s="989"/>
      <c r="V149" s="989"/>
    </row>
    <row r="150" spans="1:22">
      <c r="A150" s="3"/>
      <c r="B150" s="3"/>
    </row>
    <row r="151" spans="1:22">
      <c r="A151" s="3"/>
      <c r="B151" s="3"/>
      <c r="D151" s="41">
        <v>90</v>
      </c>
      <c r="E151" s="41">
        <v>91</v>
      </c>
      <c r="F151" s="41">
        <v>92</v>
      </c>
      <c r="G151" s="41">
        <v>93</v>
      </c>
    </row>
    <row r="152" spans="1:22">
      <c r="A152" s="3"/>
      <c r="B152" s="3"/>
      <c r="D152" s="41">
        <v>10</v>
      </c>
      <c r="E152" s="41">
        <v>10</v>
      </c>
      <c r="F152" s="41">
        <v>10</v>
      </c>
      <c r="G152" s="41">
        <v>10</v>
      </c>
    </row>
    <row r="153" spans="1:22">
      <c r="A153" s="3"/>
      <c r="B153" s="3"/>
      <c r="D153" s="1439" t="s">
        <v>1262</v>
      </c>
      <c r="E153" s="1439"/>
      <c r="F153" s="1439"/>
      <c r="G153" s="1439"/>
    </row>
    <row r="154" spans="1:22">
      <c r="A154" s="41" t="s">
        <v>206</v>
      </c>
      <c r="B154" s="41" t="s">
        <v>207</v>
      </c>
      <c r="C154" s="974" t="s">
        <v>1039</v>
      </c>
      <c r="D154" s="1188" t="s">
        <v>681</v>
      </c>
      <c r="E154" s="1188" t="s">
        <v>425</v>
      </c>
      <c r="F154" s="1188" t="s">
        <v>1094</v>
      </c>
      <c r="G154" s="1188" t="s">
        <v>1261</v>
      </c>
    </row>
    <row r="155" spans="1:22">
      <c r="A155" s="41">
        <v>1</v>
      </c>
      <c r="B155" s="41">
        <f t="shared" ref="B155:B160" si="12">VLOOKUP($A155,subwatgeog,4,FALSE)</f>
        <v>1</v>
      </c>
      <c r="C155" s="990" t="str">
        <f t="shared" ref="C155:C160" si="13">VLOOKUP($A155,subwatgeog,2,FALSE)</f>
        <v>Coastal</v>
      </c>
      <c r="D155" s="1288">
        <f t="shared" ref="D155:G160" si="14">VLOOKUP(D$151,loads_summ,D$152+$A155,FALSE)</f>
        <v>9.0422481542314827E-3</v>
      </c>
      <c r="E155" s="1290">
        <f t="shared" si="14"/>
        <v>2.8808234602842025E-2</v>
      </c>
      <c r="F155" s="1290">
        <f t="shared" si="14"/>
        <v>0.17298581316782105</v>
      </c>
      <c r="G155" s="1291">
        <f t="shared" si="14"/>
        <v>0.21083629592489456</v>
      </c>
    </row>
    <row r="156" spans="1:22">
      <c r="A156" s="41">
        <v>2</v>
      </c>
      <c r="B156" s="41">
        <f t="shared" si="12"/>
        <v>4</v>
      </c>
      <c r="C156" s="991" t="str">
        <f t="shared" si="13"/>
        <v>Tidal Cal.</v>
      </c>
      <c r="D156" s="1292">
        <f t="shared" si="14"/>
        <v>2.5606762249279064E-2</v>
      </c>
      <c r="E156" s="1289">
        <f t="shared" si="14"/>
        <v>3.943349649300714E-2</v>
      </c>
      <c r="F156" s="1289">
        <f t="shared" si="14"/>
        <v>0.14370871385626099</v>
      </c>
      <c r="G156" s="1293">
        <f t="shared" si="14"/>
        <v>0.20874897259854719</v>
      </c>
    </row>
    <row r="157" spans="1:22">
      <c r="A157" s="41">
        <v>3</v>
      </c>
      <c r="B157" s="41">
        <f t="shared" si="12"/>
        <v>5</v>
      </c>
      <c r="C157" s="991" t="str">
        <f t="shared" si="13"/>
        <v>West Cal.</v>
      </c>
      <c r="D157" s="1292">
        <f t="shared" si="14"/>
        <v>0.12668502378307683</v>
      </c>
      <c r="E157" s="1289">
        <f t="shared" si="14"/>
        <v>4.432754005912156E-2</v>
      </c>
      <c r="F157" s="1289">
        <f t="shared" si="14"/>
        <v>0.22337147131484766</v>
      </c>
      <c r="G157" s="1293">
        <f t="shared" si="14"/>
        <v>0.39438403515704606</v>
      </c>
    </row>
    <row r="158" spans="1:22">
      <c r="A158" s="41">
        <v>4</v>
      </c>
      <c r="B158" s="41">
        <f t="shared" si="12"/>
        <v>2</v>
      </c>
      <c r="C158" s="991" t="str">
        <f t="shared" si="13"/>
        <v>East Cal.</v>
      </c>
      <c r="D158" s="1292">
        <f t="shared" si="14"/>
        <v>0.15681313053951487</v>
      </c>
      <c r="E158" s="1289">
        <f t="shared" si="14"/>
        <v>0.12652574742806982</v>
      </c>
      <c r="F158" s="1289">
        <f t="shared" si="14"/>
        <v>0.14127736304581337</v>
      </c>
      <c r="G158" s="1293">
        <f t="shared" si="14"/>
        <v>0.42461624101339812</v>
      </c>
    </row>
    <row r="159" spans="1:22">
      <c r="A159" s="41">
        <v>5</v>
      </c>
      <c r="B159" s="41">
        <f t="shared" si="12"/>
        <v>3</v>
      </c>
      <c r="C159" s="992" t="str">
        <f t="shared" si="13"/>
        <v>S-4</v>
      </c>
      <c r="D159" s="1294">
        <f t="shared" si="14"/>
        <v>0.21392389416767232</v>
      </c>
      <c r="E159" s="1295">
        <f t="shared" si="14"/>
        <v>4.7292424509837006E-2</v>
      </c>
      <c r="F159" s="1295">
        <f t="shared" si="14"/>
        <v>0.10402386874143629</v>
      </c>
      <c r="G159" s="1296">
        <f t="shared" si="14"/>
        <v>0.36524018741894559</v>
      </c>
    </row>
    <row r="160" spans="1:22">
      <c r="A160" s="41">
        <v>6</v>
      </c>
      <c r="B160" s="41">
        <f t="shared" si="12"/>
        <v>6</v>
      </c>
      <c r="C160" s="993" t="str">
        <f t="shared" si="13"/>
        <v>Total CRWPP</v>
      </c>
      <c r="D160" s="1297">
        <f t="shared" si="14"/>
        <v>9.9958496489741228E-2</v>
      </c>
      <c r="E160" s="1298">
        <f t="shared" si="14"/>
        <v>5.8055064419647459E-2</v>
      </c>
      <c r="F160" s="1298">
        <f t="shared" si="14"/>
        <v>0.17410265593858903</v>
      </c>
      <c r="G160" s="1299">
        <f t="shared" si="14"/>
        <v>0.33211621684797771</v>
      </c>
    </row>
    <row r="183" spans="1:24">
      <c r="A183" s="403" t="s">
        <v>1082</v>
      </c>
      <c r="B183" s="989"/>
      <c r="C183" s="989"/>
      <c r="D183" s="989"/>
      <c r="E183" s="989"/>
      <c r="F183" s="989"/>
      <c r="G183" s="989"/>
      <c r="H183" s="989"/>
      <c r="I183" s="989"/>
      <c r="J183" s="989"/>
      <c r="K183" s="989"/>
      <c r="L183" s="989"/>
      <c r="M183" s="989"/>
      <c r="N183" s="989"/>
      <c r="O183" s="989"/>
      <c r="P183" s="989"/>
      <c r="Q183" s="989"/>
      <c r="R183" s="989"/>
      <c r="S183" s="989"/>
      <c r="T183" s="989"/>
      <c r="U183" s="989"/>
      <c r="V183" s="989"/>
      <c r="W183" s="989"/>
      <c r="X183" s="989"/>
    </row>
    <row r="185" spans="1:24">
      <c r="A185" s="1048" t="s">
        <v>1081</v>
      </c>
      <c r="B185" s="1047"/>
      <c r="C185" s="1047"/>
      <c r="D185" s="1047"/>
      <c r="E185" s="1047"/>
      <c r="F185" s="1047"/>
      <c r="G185" s="1047"/>
      <c r="H185" s="1287">
        <v>16</v>
      </c>
      <c r="I185" s="1287"/>
      <c r="J185" s="1287"/>
      <c r="K185" s="1287">
        <v>23</v>
      </c>
      <c r="L185" s="1047"/>
      <c r="M185" s="1047"/>
      <c r="N185" s="1047"/>
      <c r="O185" s="1047"/>
      <c r="P185" s="1047"/>
      <c r="Q185" s="1047"/>
      <c r="R185" s="1047"/>
      <c r="S185" s="1047"/>
      <c r="T185" s="1047"/>
      <c r="U185" s="1047"/>
      <c r="V185" s="1047"/>
      <c r="W185" s="1047"/>
      <c r="X185" s="1047"/>
    </row>
    <row r="187" spans="1:24">
      <c r="C187" s="1020"/>
      <c r="D187" s="1021"/>
      <c r="E187" s="1021"/>
      <c r="F187" s="1021"/>
      <c r="G187" s="1021"/>
      <c r="H187" s="1021"/>
      <c r="I187" s="1021"/>
      <c r="J187" s="1021"/>
      <c r="K187" s="1021"/>
      <c r="L187" s="1021"/>
      <c r="M187" s="1021"/>
      <c r="N187" s="1021"/>
      <c r="O187" s="1022"/>
    </row>
    <row r="188" spans="1:24" ht="15.75">
      <c r="C188" s="1023"/>
      <c r="D188" s="1024"/>
      <c r="E188" s="1024"/>
      <c r="F188" s="1024"/>
      <c r="G188" s="1024"/>
      <c r="H188" s="1025" t="s">
        <v>1056</v>
      </c>
      <c r="I188" s="1075"/>
      <c r="J188" s="1075"/>
      <c r="K188" s="1025" t="s">
        <v>1058</v>
      </c>
      <c r="L188" s="1075"/>
      <c r="M188" s="1075"/>
      <c r="N188" s="1025" t="s">
        <v>1053</v>
      </c>
      <c r="O188" s="1026"/>
    </row>
    <row r="189" spans="1:24" ht="16.5" thickBot="1">
      <c r="C189" s="1027"/>
      <c r="D189" s="1028"/>
      <c r="E189" s="1028"/>
      <c r="F189" s="1028"/>
      <c r="G189" s="1028"/>
      <c r="H189" s="1043" t="s">
        <v>1057</v>
      </c>
      <c r="I189" s="1076"/>
      <c r="J189" s="1076"/>
      <c r="K189" s="1043" t="s">
        <v>1057</v>
      </c>
      <c r="L189" s="1076"/>
      <c r="M189" s="1076"/>
      <c r="N189" s="1076"/>
      <c r="O189" s="1030"/>
    </row>
    <row r="190" spans="1:24" ht="16.5" thickTop="1">
      <c r="A190" s="41">
        <v>5</v>
      </c>
      <c r="C190" s="1031" t="s">
        <v>1048</v>
      </c>
      <c r="D190" s="1024"/>
      <c r="E190" s="1024"/>
      <c r="F190" s="1024"/>
      <c r="G190" s="1024"/>
      <c r="H190" s="1032">
        <f>VLOOKUP($A190,loads_summ,16,FALSE)</f>
        <v>2536.1298029930094</v>
      </c>
      <c r="I190" s="1024"/>
      <c r="J190" s="1024"/>
      <c r="K190" s="1220">
        <f>VLOOKUP($A190,loads_summ,23,FALSE)</f>
        <v>290.70610617581258</v>
      </c>
      <c r="L190" s="1024"/>
      <c r="M190" s="1024"/>
      <c r="N190" s="1024"/>
      <c r="O190" s="1026"/>
    </row>
    <row r="191" spans="1:24" ht="15.75">
      <c r="A191" s="41">
        <v>6</v>
      </c>
      <c r="C191" s="1033" t="s">
        <v>759</v>
      </c>
      <c r="D191" s="1024"/>
      <c r="E191" s="1024"/>
      <c r="F191" s="1024"/>
      <c r="G191" s="1024"/>
      <c r="H191" s="1034">
        <f>VLOOKUP($A191,loads_summ,16,FALSE)*$D$9</f>
        <v>1.2697376143261829</v>
      </c>
      <c r="I191" s="1035" t="str">
        <f>$E$9</f>
        <v>ppm</v>
      </c>
      <c r="J191" s="1024"/>
      <c r="K191" s="1049">
        <f>VLOOKUP($A191,loads_summ,23,FALSE)*$D$10</f>
        <v>145.54478926516828</v>
      </c>
      <c r="L191" s="1035" t="str">
        <f>$E$10</f>
        <v>ppb</v>
      </c>
      <c r="M191" s="1024"/>
      <c r="N191" s="1024"/>
      <c r="O191" s="1026"/>
    </row>
    <row r="192" spans="1:24" ht="16.5" thickBot="1">
      <c r="A192" s="41"/>
      <c r="C192" s="1036"/>
      <c r="D192" s="1037"/>
      <c r="E192" s="1037"/>
      <c r="F192" s="1037"/>
      <c r="G192" s="1037"/>
      <c r="H192" s="1038"/>
      <c r="I192" s="1037"/>
      <c r="J192" s="1037"/>
      <c r="K192" s="1029"/>
      <c r="L192" s="1037"/>
      <c r="M192" s="1037"/>
      <c r="N192" s="1037"/>
      <c r="O192" s="1039"/>
    </row>
    <row r="193" spans="1:24" ht="17.25" thickTop="1" thickBot="1">
      <c r="A193" s="41"/>
      <c r="C193" s="1070" t="s">
        <v>1052</v>
      </c>
      <c r="D193" s="1071"/>
      <c r="E193" s="1071"/>
      <c r="F193" s="1071"/>
      <c r="G193" s="1071"/>
      <c r="H193" s="1072"/>
      <c r="I193" s="1071"/>
      <c r="J193" s="1071"/>
      <c r="K193" s="1073"/>
      <c r="L193" s="1071"/>
      <c r="M193" s="1071"/>
      <c r="N193" s="1071"/>
      <c r="O193" s="1074"/>
    </row>
    <row r="194" spans="1:24" ht="16.5" thickTop="1">
      <c r="A194" s="41">
        <v>10</v>
      </c>
      <c r="C194" s="1040" t="s">
        <v>985</v>
      </c>
      <c r="D194" s="1024"/>
      <c r="E194" s="1024"/>
      <c r="F194" s="1024"/>
      <c r="G194" s="1024"/>
      <c r="H194" s="1032">
        <f t="shared" ref="H194:H199" si="15">VLOOKUP($A194,loads_summ,16,FALSE)</f>
        <v>8.7736964533527537</v>
      </c>
      <c r="I194" s="1024"/>
      <c r="J194" s="1024"/>
      <c r="K194" s="1220">
        <f t="shared" ref="K194:K199" si="16">VLOOKUP($A194,loads_summ,23,FALSE)</f>
        <v>0.37331874488595351</v>
      </c>
      <c r="L194" s="1024"/>
      <c r="M194" s="1024"/>
      <c r="N194" s="1025" t="s">
        <v>1054</v>
      </c>
      <c r="O194" s="1026"/>
    </row>
    <row r="195" spans="1:24" ht="15.75">
      <c r="A195" s="41">
        <v>11</v>
      </c>
      <c r="C195" s="1040" t="s">
        <v>1049</v>
      </c>
      <c r="D195" s="1024"/>
      <c r="E195" s="1024"/>
      <c r="F195" s="1024"/>
      <c r="G195" s="1024"/>
      <c r="H195" s="1032">
        <f t="shared" si="15"/>
        <v>225.0580789851636</v>
      </c>
      <c r="I195" s="1024"/>
      <c r="J195" s="1024"/>
      <c r="K195" s="1220">
        <f t="shared" si="16"/>
        <v>26.246984540747107</v>
      </c>
      <c r="L195" s="1024"/>
      <c r="M195" s="1024"/>
      <c r="N195" s="1025" t="s">
        <v>1055</v>
      </c>
      <c r="O195" s="1026"/>
    </row>
    <row r="196" spans="1:24" ht="15.75">
      <c r="A196" s="41">
        <v>12</v>
      </c>
      <c r="C196" s="1040" t="s">
        <v>1050</v>
      </c>
      <c r="D196" s="1024"/>
      <c r="E196" s="1024"/>
      <c r="F196" s="1024"/>
      <c r="G196" s="1024"/>
      <c r="H196" s="1032">
        <f t="shared" si="15"/>
        <v>8.3714578116765086</v>
      </c>
      <c r="I196" s="1024"/>
      <c r="J196" s="1024"/>
      <c r="K196" s="1220">
        <f t="shared" si="16"/>
        <v>1.1506914414484526</v>
      </c>
      <c r="L196" s="1024"/>
      <c r="M196" s="1024"/>
      <c r="N196" s="1025" t="s">
        <v>1176</v>
      </c>
      <c r="O196" s="1026"/>
    </row>
    <row r="197" spans="1:24" ht="15.75">
      <c r="A197" s="41">
        <v>13</v>
      </c>
      <c r="C197" s="1040" t="s">
        <v>1178</v>
      </c>
      <c r="D197" s="1024"/>
      <c r="E197" s="1024"/>
      <c r="F197" s="1024"/>
      <c r="G197" s="1024"/>
      <c r="H197" s="1032">
        <f t="shared" si="15"/>
        <v>11.304488759811987</v>
      </c>
      <c r="I197" s="1221"/>
      <c r="J197" s="1221"/>
      <c r="K197" s="1220">
        <f t="shared" si="16"/>
        <v>2.5603249814200009</v>
      </c>
      <c r="L197" s="1024"/>
      <c r="M197" s="1024"/>
      <c r="N197" s="1025" t="s">
        <v>1177</v>
      </c>
      <c r="O197" s="1026"/>
    </row>
    <row r="198" spans="1:24" ht="16.5" thickBot="1">
      <c r="A198" s="41">
        <v>14</v>
      </c>
      <c r="C198" s="1041" t="s">
        <v>1179</v>
      </c>
      <c r="D198" s="1037"/>
      <c r="E198" s="1037"/>
      <c r="F198" s="1037"/>
      <c r="G198" s="1037"/>
      <c r="H198" s="1042">
        <f t="shared" si="15"/>
        <v>0</v>
      </c>
      <c r="I198" s="1037"/>
      <c r="J198" s="1037"/>
      <c r="K198" s="1222">
        <f t="shared" si="16"/>
        <v>0</v>
      </c>
      <c r="L198" s="1037"/>
      <c r="M198" s="1037"/>
      <c r="N198" s="1043" t="s">
        <v>1184</v>
      </c>
      <c r="O198" s="1039"/>
    </row>
    <row r="199" spans="1:24" ht="16.5" thickTop="1">
      <c r="A199" s="41">
        <v>19</v>
      </c>
      <c r="C199" s="1031" t="s">
        <v>1060</v>
      </c>
      <c r="D199" s="1024"/>
      <c r="E199" s="1024"/>
      <c r="F199" s="1024"/>
      <c r="G199" s="1024"/>
      <c r="H199" s="1032">
        <f t="shared" si="15"/>
        <v>253.50772201000484</v>
      </c>
      <c r="I199" s="1024"/>
      <c r="J199" s="1024"/>
      <c r="K199" s="1220">
        <f t="shared" si="16"/>
        <v>30.331319708501518</v>
      </c>
      <c r="L199" s="1024"/>
      <c r="M199" s="1024"/>
      <c r="N199" s="1024"/>
      <c r="O199" s="1026"/>
    </row>
    <row r="200" spans="1:24" ht="16.5" thickBot="1">
      <c r="A200" s="41"/>
      <c r="C200" s="1036"/>
      <c r="D200" s="1037"/>
      <c r="E200" s="1037"/>
      <c r="F200" s="1037"/>
      <c r="G200" s="1037"/>
      <c r="H200" s="1038"/>
      <c r="I200" s="1037"/>
      <c r="J200" s="1037"/>
      <c r="K200" s="1224"/>
      <c r="L200" s="1037"/>
      <c r="M200" s="1037"/>
      <c r="N200" s="1037"/>
      <c r="O200" s="1039"/>
    </row>
    <row r="201" spans="1:24" ht="16.5" thickTop="1">
      <c r="A201" s="41">
        <v>20</v>
      </c>
      <c r="C201" s="1031" t="s">
        <v>1051</v>
      </c>
      <c r="D201" s="1024"/>
      <c r="E201" s="1024"/>
      <c r="F201" s="1024"/>
      <c r="G201" s="1024"/>
      <c r="H201" s="1032">
        <f>VLOOKUP($A201,loads_summ,16,FALSE)</f>
        <v>2282.6220809830047</v>
      </c>
      <c r="I201" s="1024"/>
      <c r="J201" s="1024"/>
      <c r="K201" s="1220">
        <f>VLOOKUP($A201,loads_summ,23,FALSE)</f>
        <v>260.3747864673112</v>
      </c>
      <c r="L201" s="1024"/>
      <c r="M201" s="1024"/>
      <c r="N201" s="1024"/>
      <c r="O201" s="1026"/>
    </row>
    <row r="202" spans="1:24" ht="15.75">
      <c r="A202" s="41">
        <v>21</v>
      </c>
      <c r="C202" s="1033" t="s">
        <v>1059</v>
      </c>
      <c r="D202" s="1024"/>
      <c r="E202" s="1024"/>
      <c r="F202" s="1024"/>
      <c r="G202" s="1024"/>
      <c r="H202" s="1034">
        <f>VLOOKUP($A202,loads_summ,16,FALSE)*$D$9</f>
        <v>1.1468002417718701</v>
      </c>
      <c r="I202" s="1035" t="str">
        <f>$E$9</f>
        <v>ppm</v>
      </c>
      <c r="J202" s="1024"/>
      <c r="K202" s="1049">
        <f>VLOOKUP($A202,loads_summ,23,FALSE)*$D$10</f>
        <v>130.81353701065626</v>
      </c>
      <c r="L202" s="1035" t="str">
        <f>$E$10</f>
        <v>ppb</v>
      </c>
      <c r="M202" s="1024"/>
      <c r="N202" s="1024"/>
      <c r="O202" s="1026"/>
    </row>
    <row r="203" spans="1:24">
      <c r="C203" s="1044"/>
      <c r="D203" s="1045"/>
      <c r="E203" s="1045"/>
      <c r="F203" s="1045"/>
      <c r="G203" s="1045"/>
      <c r="H203" s="1045"/>
      <c r="I203" s="1045"/>
      <c r="J203" s="1045"/>
      <c r="K203" s="1045"/>
      <c r="L203" s="1045"/>
      <c r="M203" s="1045"/>
      <c r="N203" s="1045"/>
      <c r="O203" s="1046"/>
    </row>
    <row r="206" spans="1:24">
      <c r="A206" s="1048" t="s">
        <v>1080</v>
      </c>
      <c r="B206" s="1047"/>
      <c r="C206" s="1047"/>
      <c r="D206" s="1047"/>
      <c r="E206" s="1047"/>
      <c r="F206" s="1047"/>
      <c r="G206" s="1047"/>
      <c r="H206" s="1047"/>
      <c r="I206" s="1047"/>
      <c r="J206" s="1047"/>
      <c r="K206" s="1047"/>
      <c r="L206" s="1047"/>
      <c r="M206" s="1047"/>
      <c r="N206" s="1047"/>
      <c r="O206" s="1047"/>
      <c r="P206" s="1047"/>
      <c r="Q206" s="1047"/>
      <c r="R206" s="1047"/>
      <c r="S206" s="1047"/>
      <c r="T206" s="1047"/>
      <c r="U206" s="1047"/>
      <c r="V206" s="1047"/>
      <c r="W206" s="1047"/>
      <c r="X206" s="1047"/>
    </row>
    <row r="208" spans="1:24">
      <c r="C208" s="1020"/>
      <c r="D208" s="1021"/>
      <c r="E208" s="1021"/>
      <c r="F208" s="1021"/>
      <c r="G208" s="1021"/>
      <c r="H208" s="1021"/>
      <c r="I208" s="1021"/>
      <c r="J208" s="1021"/>
      <c r="K208" s="1021"/>
      <c r="L208" s="1021"/>
      <c r="M208" s="1021"/>
      <c r="N208" s="1021"/>
      <c r="O208" s="1022"/>
    </row>
    <row r="209" spans="1:15" ht="15.75">
      <c r="C209" s="1023"/>
      <c r="D209" s="1024"/>
      <c r="E209" s="1024"/>
      <c r="F209" s="1024"/>
      <c r="G209" s="1024"/>
      <c r="H209" s="1025" t="s">
        <v>1056</v>
      </c>
      <c r="I209" s="1075"/>
      <c r="J209" s="1075"/>
      <c r="K209" s="1025" t="s">
        <v>1058</v>
      </c>
      <c r="L209" s="1075"/>
      <c r="M209" s="1075"/>
      <c r="N209" s="1025" t="s">
        <v>1053</v>
      </c>
      <c r="O209" s="1026"/>
    </row>
    <row r="210" spans="1:15" ht="16.5" thickBot="1">
      <c r="C210" s="1027"/>
      <c r="D210" s="1028"/>
      <c r="E210" s="1028"/>
      <c r="F210" s="1028"/>
      <c r="G210" s="1028"/>
      <c r="H210" s="1043" t="s">
        <v>1057</v>
      </c>
      <c r="I210" s="1076"/>
      <c r="J210" s="1076"/>
      <c r="K210" s="1043" t="s">
        <v>1057</v>
      </c>
      <c r="L210" s="1076"/>
      <c r="M210" s="1076"/>
      <c r="N210" s="1076"/>
      <c r="O210" s="1030"/>
    </row>
    <row r="211" spans="1:15" ht="16.5" thickTop="1">
      <c r="A211" s="41">
        <v>20</v>
      </c>
      <c r="C211" s="1031" t="s">
        <v>1061</v>
      </c>
      <c r="D211" s="1024"/>
      <c r="E211" s="1024"/>
      <c r="F211" s="1024"/>
      <c r="G211" s="1024"/>
      <c r="H211" s="1032">
        <f>VLOOKUP($A211,loads_summ,16,FALSE)</f>
        <v>2282.6220809830047</v>
      </c>
      <c r="I211" s="1024"/>
      <c r="J211" s="1024"/>
      <c r="K211" s="1220">
        <f>VLOOKUP($A211,loads_summ,23,FALSE)</f>
        <v>260.3747864673112</v>
      </c>
      <c r="L211" s="1024"/>
      <c r="M211" s="1024"/>
      <c r="N211" s="1024"/>
      <c r="O211" s="1026"/>
    </row>
    <row r="212" spans="1:15" ht="15.75">
      <c r="A212" s="41">
        <v>21</v>
      </c>
      <c r="C212" s="1033" t="s">
        <v>1062</v>
      </c>
      <c r="D212" s="1024"/>
      <c r="E212" s="1024"/>
      <c r="F212" s="1024"/>
      <c r="G212" s="1024"/>
      <c r="H212" s="1034">
        <f>VLOOKUP($A212,loads_summ,16,FALSE)*$D$9</f>
        <v>1.1468002417718701</v>
      </c>
      <c r="I212" s="1035" t="s">
        <v>791</v>
      </c>
      <c r="J212" s="1024"/>
      <c r="K212" s="1049">
        <f>VLOOKUP($A212,loads_summ,23,FALSE)*$D$10</f>
        <v>130.81353701065626</v>
      </c>
      <c r="L212" s="1035" t="str">
        <f>$E$10</f>
        <v>ppb</v>
      </c>
      <c r="M212" s="1024"/>
      <c r="N212" s="1024"/>
      <c r="O212" s="1026"/>
    </row>
    <row r="213" spans="1:15" ht="16.5" thickBot="1">
      <c r="A213" s="41"/>
      <c r="C213" s="1036"/>
      <c r="D213" s="1037"/>
      <c r="E213" s="1037"/>
      <c r="F213" s="1037"/>
      <c r="G213" s="1037"/>
      <c r="H213" s="1038"/>
      <c r="I213" s="1037"/>
      <c r="J213" s="1037"/>
      <c r="K213" s="1029"/>
      <c r="L213" s="1037"/>
      <c r="M213" s="1037"/>
      <c r="N213" s="1037"/>
      <c r="O213" s="1039"/>
    </row>
    <row r="214" spans="1:15" ht="17.25" thickTop="1" thickBot="1">
      <c r="A214" s="41"/>
      <c r="C214" s="1070" t="s">
        <v>1063</v>
      </c>
      <c r="D214" s="1071"/>
      <c r="E214" s="1071"/>
      <c r="F214" s="1071"/>
      <c r="G214" s="1071"/>
      <c r="H214" s="1072"/>
      <c r="I214" s="1071"/>
      <c r="J214" s="1071"/>
      <c r="K214" s="1073"/>
      <c r="L214" s="1071"/>
      <c r="M214" s="1071"/>
      <c r="N214" s="1071"/>
      <c r="O214" s="1074"/>
    </row>
    <row r="215" spans="1:15" ht="16.5" thickTop="1">
      <c r="A215" s="41">
        <v>25</v>
      </c>
      <c r="C215" s="1040" t="s">
        <v>985</v>
      </c>
      <c r="D215" s="1024"/>
      <c r="E215" s="1024"/>
      <c r="F215" s="1024"/>
      <c r="G215" s="1024"/>
      <c r="H215" s="1032">
        <f t="shared" ref="H215:H220" si="17">VLOOKUP($A215,loads_summ,16,FALSE)</f>
        <v>20.533970919768127</v>
      </c>
      <c r="I215" s="1024"/>
      <c r="J215" s="1024"/>
      <c r="K215" s="1220">
        <f t="shared" ref="K215:K220" si="18">VLOOKUP($A215,loads_summ,23,FALSE)</f>
        <v>3.3827164892579482</v>
      </c>
      <c r="L215" s="1024"/>
      <c r="M215" s="1024"/>
      <c r="N215" s="1025" t="s">
        <v>1054</v>
      </c>
      <c r="O215" s="1026"/>
    </row>
    <row r="216" spans="1:15" ht="15.75">
      <c r="A216" s="41">
        <v>26</v>
      </c>
      <c r="C216" s="1040" t="s">
        <v>1049</v>
      </c>
      <c r="D216" s="1024"/>
      <c r="E216" s="1024"/>
      <c r="F216" s="1024"/>
      <c r="G216" s="1024"/>
      <c r="H216" s="1032">
        <f t="shared" si="17"/>
        <v>77.19580821507931</v>
      </c>
      <c r="I216" s="1024"/>
      <c r="J216" s="1024"/>
      <c r="K216" s="1220">
        <f t="shared" si="18"/>
        <v>9.7480790737832415</v>
      </c>
      <c r="L216" s="1024"/>
      <c r="M216" s="1024"/>
      <c r="N216" s="1025" t="s">
        <v>1055</v>
      </c>
      <c r="O216" s="1026"/>
    </row>
    <row r="217" spans="1:15" ht="15.75">
      <c r="A217" s="41">
        <v>27</v>
      </c>
      <c r="C217" s="1040" t="s">
        <v>1050</v>
      </c>
      <c r="D217" s="1024"/>
      <c r="E217" s="1024"/>
      <c r="F217" s="1024"/>
      <c r="G217" s="1024"/>
      <c r="H217" s="1032">
        <f t="shared" si="17"/>
        <v>2.1540728521795485</v>
      </c>
      <c r="I217" s="1024"/>
      <c r="J217" s="1024"/>
      <c r="K217" s="1220">
        <f t="shared" si="18"/>
        <v>0.23651656196584381</v>
      </c>
      <c r="L217" s="1024"/>
      <c r="M217" s="1024"/>
      <c r="N217" s="1025" t="s">
        <v>1176</v>
      </c>
      <c r="O217" s="1026"/>
    </row>
    <row r="218" spans="1:15" ht="15.75">
      <c r="A218" s="41">
        <v>28</v>
      </c>
      <c r="C218" s="1040" t="s">
        <v>1178</v>
      </c>
      <c r="D218" s="1024"/>
      <c r="E218" s="1024"/>
      <c r="F218" s="1024"/>
      <c r="G218" s="1024"/>
      <c r="H218" s="1032">
        <f t="shared" si="17"/>
        <v>3.5238686371199863</v>
      </c>
      <c r="I218" s="1221"/>
      <c r="J218" s="1221"/>
      <c r="K218" s="1220">
        <f t="shared" si="18"/>
        <v>0.87207674823999881</v>
      </c>
      <c r="L218" s="1024"/>
      <c r="M218" s="1024"/>
      <c r="N218" s="1025" t="s">
        <v>1177</v>
      </c>
      <c r="O218" s="1026"/>
    </row>
    <row r="219" spans="1:15" ht="16.5" thickBot="1">
      <c r="A219" s="41">
        <v>29</v>
      </c>
      <c r="C219" s="1041" t="s">
        <v>1179</v>
      </c>
      <c r="D219" s="1037"/>
      <c r="E219" s="1037"/>
      <c r="F219" s="1037"/>
      <c r="G219" s="1037"/>
      <c r="H219" s="1042">
        <f t="shared" si="17"/>
        <v>43.82745846520001</v>
      </c>
      <c r="I219" s="1223"/>
      <c r="J219" s="1223"/>
      <c r="K219" s="1222">
        <f t="shared" si="18"/>
        <v>9.745744941899714</v>
      </c>
      <c r="L219" s="1037"/>
      <c r="M219" s="1037"/>
      <c r="N219" s="1043" t="s">
        <v>1184</v>
      </c>
      <c r="O219" s="1039"/>
    </row>
    <row r="220" spans="1:15" ht="16.5" thickTop="1">
      <c r="A220" s="41">
        <v>34</v>
      </c>
      <c r="C220" s="1031" t="s">
        <v>1064</v>
      </c>
      <c r="D220" s="1024"/>
      <c r="E220" s="1024"/>
      <c r="F220" s="1024"/>
      <c r="G220" s="1024"/>
      <c r="H220" s="1032">
        <f t="shared" si="17"/>
        <v>147.23517908934699</v>
      </c>
      <c r="I220" s="1024"/>
      <c r="J220" s="1024"/>
      <c r="K220" s="1220">
        <f t="shared" si="18"/>
        <v>23.985133815146749</v>
      </c>
      <c r="L220" s="1024"/>
      <c r="M220" s="1024"/>
      <c r="N220" s="1024"/>
      <c r="O220" s="1026"/>
    </row>
    <row r="221" spans="1:15" ht="16.5" thickBot="1">
      <c r="A221" s="41"/>
      <c r="C221" s="1036"/>
      <c r="D221" s="1037"/>
      <c r="E221" s="1037"/>
      <c r="F221" s="1037"/>
      <c r="G221" s="1037"/>
      <c r="H221" s="1038"/>
      <c r="I221" s="1037"/>
      <c r="J221" s="1037"/>
      <c r="K221" s="1224"/>
      <c r="L221" s="1037"/>
      <c r="M221" s="1037"/>
      <c r="N221" s="1037"/>
      <c r="O221" s="1039"/>
    </row>
    <row r="222" spans="1:15" ht="16.5" thickTop="1">
      <c r="A222" s="41">
        <v>35</v>
      </c>
      <c r="C222" s="1031" t="s">
        <v>1051</v>
      </c>
      <c r="D222" s="1024"/>
      <c r="E222" s="1024"/>
      <c r="F222" s="1024"/>
      <c r="G222" s="1024"/>
      <c r="H222" s="1032">
        <f>VLOOKUP($A222,loads_summ,16,FALSE)</f>
        <v>2135.386901893658</v>
      </c>
      <c r="I222" s="1024"/>
      <c r="J222" s="1024"/>
      <c r="K222" s="1220">
        <f>VLOOKUP($A222,loads_summ,23,FALSE)</f>
        <v>236.38965265216444</v>
      </c>
      <c r="L222" s="1024"/>
      <c r="M222" s="1024"/>
      <c r="N222" s="1024"/>
      <c r="O222" s="1026"/>
    </row>
    <row r="223" spans="1:15" ht="15.75">
      <c r="A223" s="41">
        <v>36</v>
      </c>
      <c r="C223" s="1033" t="s">
        <v>1059</v>
      </c>
      <c r="D223" s="1024"/>
      <c r="E223" s="1024"/>
      <c r="F223" s="1024"/>
      <c r="G223" s="1024"/>
      <c r="H223" s="1034">
        <f>VLOOKUP($A223,loads_summ,16,FALSE)*$D$9</f>
        <v>1.0745586227361117</v>
      </c>
      <c r="I223" s="1035" t="str">
        <f>$E$9</f>
        <v>ppm</v>
      </c>
      <c r="J223" s="1024"/>
      <c r="K223" s="1049">
        <f>VLOOKUP($A223,loads_summ,23,FALSE)*$D$10</f>
        <v>118.95480831024949</v>
      </c>
      <c r="L223" s="1035" t="str">
        <f>$E$10</f>
        <v>ppb</v>
      </c>
      <c r="M223" s="1024"/>
      <c r="N223" s="1024"/>
      <c r="O223" s="1026"/>
    </row>
    <row r="224" spans="1:15">
      <c r="C224" s="1044"/>
      <c r="D224" s="1045"/>
      <c r="E224" s="1045"/>
      <c r="F224" s="1045"/>
      <c r="G224" s="1045"/>
      <c r="H224" s="1045"/>
      <c r="I224" s="1045"/>
      <c r="J224" s="1045"/>
      <c r="K224" s="1045"/>
      <c r="L224" s="1045"/>
      <c r="M224" s="1045"/>
      <c r="N224" s="1045"/>
      <c r="O224" s="1046"/>
    </row>
    <row r="227" spans="1:24">
      <c r="A227" s="1048" t="s">
        <v>1172</v>
      </c>
      <c r="B227" s="1047"/>
      <c r="C227" s="1047"/>
      <c r="D227" s="1047"/>
      <c r="E227" s="1047"/>
      <c r="F227" s="1047"/>
      <c r="G227" s="1047"/>
      <c r="H227" s="1047"/>
      <c r="I227" s="1047"/>
      <c r="J227" s="1047"/>
      <c r="K227" s="1047"/>
      <c r="L227" s="1047"/>
      <c r="M227" s="1047"/>
      <c r="N227" s="1047"/>
      <c r="O227" s="1047"/>
      <c r="P227" s="1047"/>
      <c r="Q227" s="1047"/>
      <c r="R227" s="1047"/>
      <c r="S227" s="1047"/>
      <c r="T227" s="1047"/>
      <c r="U227" s="1047"/>
      <c r="V227" s="1047"/>
      <c r="W227" s="1047"/>
      <c r="X227" s="1047"/>
    </row>
    <row r="229" spans="1:24">
      <c r="C229" s="1020"/>
      <c r="D229" s="1021"/>
      <c r="E229" s="1021"/>
      <c r="F229" s="1021"/>
      <c r="G229" s="1021"/>
      <c r="H229" s="1021"/>
      <c r="I229" s="1021"/>
      <c r="J229" s="1021"/>
      <c r="K229" s="1021"/>
      <c r="L229" s="1021"/>
      <c r="M229" s="1021"/>
      <c r="N229" s="1021"/>
      <c r="O229" s="1022"/>
    </row>
    <row r="230" spans="1:24" ht="15.75">
      <c r="C230" s="1023"/>
      <c r="D230" s="1024"/>
      <c r="E230" s="1024"/>
      <c r="F230" s="1024"/>
      <c r="G230" s="1024"/>
      <c r="H230" s="1119" t="s">
        <v>1056</v>
      </c>
      <c r="I230" s="1075"/>
      <c r="J230" s="1075"/>
      <c r="K230" s="1119" t="s">
        <v>1058</v>
      </c>
      <c r="L230" s="1075"/>
      <c r="M230" s="1075"/>
      <c r="N230" s="1119" t="s">
        <v>1053</v>
      </c>
      <c r="O230" s="1026"/>
    </row>
    <row r="231" spans="1:24" ht="16.5" thickBot="1">
      <c r="C231" s="1027"/>
      <c r="D231" s="1028"/>
      <c r="E231" s="1028"/>
      <c r="F231" s="1028"/>
      <c r="G231" s="1028"/>
      <c r="H231" s="1043" t="s">
        <v>1057</v>
      </c>
      <c r="I231" s="1076"/>
      <c r="J231" s="1076"/>
      <c r="K231" s="1043" t="s">
        <v>1057</v>
      </c>
      <c r="L231" s="1076"/>
      <c r="M231" s="1076"/>
      <c r="N231" s="1076"/>
      <c r="O231" s="1030"/>
    </row>
    <row r="232" spans="1:24" ht="16.5" thickTop="1">
      <c r="A232" s="41">
        <v>35</v>
      </c>
      <c r="C232" s="1031" t="s">
        <v>1067</v>
      </c>
      <c r="D232" s="1024"/>
      <c r="E232" s="1024"/>
      <c r="F232" s="1024"/>
      <c r="G232" s="1024"/>
      <c r="H232" s="1032">
        <f>VLOOKUP($A232,loads_summ,16,FALSE)</f>
        <v>2135.386901893658</v>
      </c>
      <c r="I232" s="1024"/>
      <c r="J232" s="1024"/>
      <c r="K232" s="1220">
        <f>VLOOKUP($A232,loads_summ,23,FALSE)</f>
        <v>236.38965265216444</v>
      </c>
      <c r="L232" s="1024"/>
      <c r="M232" s="1024"/>
      <c r="N232" s="1024"/>
      <c r="O232" s="1026"/>
    </row>
    <row r="233" spans="1:24" ht="15.75">
      <c r="A233" s="41">
        <v>36</v>
      </c>
      <c r="C233" s="1033" t="s">
        <v>1065</v>
      </c>
      <c r="D233" s="1024"/>
      <c r="E233" s="1024"/>
      <c r="F233" s="1024"/>
      <c r="G233" s="1024"/>
      <c r="H233" s="1034">
        <f>VLOOKUP($A233,loads_summ,16,FALSE)*$D$9</f>
        <v>1.0745586227361117</v>
      </c>
      <c r="I233" s="1035" t="s">
        <v>791</v>
      </c>
      <c r="J233" s="1024"/>
      <c r="K233" s="1049">
        <f>VLOOKUP($A233,loads_summ,23,FALSE)*$D$10</f>
        <v>118.95480831024949</v>
      </c>
      <c r="L233" s="1035" t="str">
        <f>$E$10</f>
        <v>ppb</v>
      </c>
      <c r="M233" s="1024"/>
      <c r="N233" s="1024"/>
      <c r="O233" s="1026"/>
    </row>
    <row r="234" spans="1:24" ht="16.5" thickBot="1">
      <c r="A234" s="41"/>
      <c r="C234" s="1036"/>
      <c r="D234" s="1037"/>
      <c r="E234" s="1037"/>
      <c r="F234" s="1037"/>
      <c r="G234" s="1037"/>
      <c r="H234" s="1038"/>
      <c r="I234" s="1037"/>
      <c r="J234" s="1037"/>
      <c r="K234" s="1029"/>
      <c r="L234" s="1037"/>
      <c r="M234" s="1037"/>
      <c r="N234" s="1037"/>
      <c r="O234" s="1039"/>
    </row>
    <row r="235" spans="1:24" ht="17.25" thickTop="1" thickBot="1">
      <c r="A235" s="41"/>
      <c r="C235" s="1070" t="s">
        <v>1173</v>
      </c>
      <c r="D235" s="1071"/>
      <c r="E235" s="1071"/>
      <c r="F235" s="1071"/>
      <c r="G235" s="1071"/>
      <c r="H235" s="1072"/>
      <c r="I235" s="1071"/>
      <c r="J235" s="1071"/>
      <c r="K235" s="1073"/>
      <c r="L235" s="1071"/>
      <c r="M235" s="1071"/>
      <c r="N235" s="1071"/>
      <c r="O235" s="1074"/>
    </row>
    <row r="236" spans="1:24" ht="16.5" thickTop="1">
      <c r="A236" s="41">
        <v>42</v>
      </c>
      <c r="C236" s="1040" t="s">
        <v>985</v>
      </c>
      <c r="D236" s="1024"/>
      <c r="E236" s="1024"/>
      <c r="F236" s="1024"/>
      <c r="G236" s="1024"/>
      <c r="H236" s="1032">
        <f t="shared" ref="H236:H242" si="19">VLOOKUP($A236,loads_summ,16,FALSE)</f>
        <v>58.429297160406591</v>
      </c>
      <c r="I236" s="1024"/>
      <c r="J236" s="1024"/>
      <c r="K236" s="1220">
        <f t="shared" ref="K236:K242" si="20">VLOOKUP($A236,loads_summ,23,FALSE)</f>
        <v>9.4059861147628858</v>
      </c>
      <c r="L236" s="1024"/>
      <c r="M236" s="1024"/>
      <c r="N236" s="1119" t="s">
        <v>1054</v>
      </c>
      <c r="O236" s="1026"/>
    </row>
    <row r="237" spans="1:24" ht="15.75">
      <c r="A237" s="41">
        <v>43</v>
      </c>
      <c r="C237" s="1040" t="s">
        <v>1049</v>
      </c>
      <c r="D237" s="1024"/>
      <c r="E237" s="1024"/>
      <c r="F237" s="1024"/>
      <c r="G237" s="1024"/>
      <c r="H237" s="1032">
        <f t="shared" si="19"/>
        <v>60.640289623768808</v>
      </c>
      <c r="I237" s="1024"/>
      <c r="J237" s="1024"/>
      <c r="K237" s="1220">
        <f t="shared" si="20"/>
        <v>7.5667463049856183</v>
      </c>
      <c r="L237" s="1024"/>
      <c r="M237" s="1024"/>
      <c r="N237" s="1119" t="s">
        <v>1055</v>
      </c>
      <c r="O237" s="1026"/>
    </row>
    <row r="238" spans="1:24" ht="15.75">
      <c r="A238" s="41">
        <v>49</v>
      </c>
      <c r="C238" s="1040" t="s">
        <v>1050</v>
      </c>
      <c r="D238" s="1024"/>
      <c r="E238" s="1024"/>
      <c r="F238" s="1024"/>
      <c r="G238" s="1024"/>
      <c r="H238" s="1032">
        <f t="shared" si="19"/>
        <v>10.987644747937111</v>
      </c>
      <c r="I238" s="1024"/>
      <c r="J238" s="1024"/>
      <c r="K238" s="1220">
        <f t="shared" si="20"/>
        <v>0.75621653129488209</v>
      </c>
      <c r="L238" s="1024"/>
      <c r="M238" s="1024"/>
      <c r="N238" s="1119" t="s">
        <v>1176</v>
      </c>
      <c r="O238" s="1026"/>
    </row>
    <row r="239" spans="1:24" ht="15.75">
      <c r="A239" s="41">
        <v>54</v>
      </c>
      <c r="C239" s="1040" t="s">
        <v>1178</v>
      </c>
      <c r="D239" s="1024"/>
      <c r="E239" s="1024"/>
      <c r="F239" s="1024"/>
      <c r="G239" s="1024"/>
      <c r="H239" s="1032">
        <f t="shared" si="19"/>
        <v>78.05145863759995</v>
      </c>
      <c r="I239" s="1221"/>
      <c r="J239" s="1221"/>
      <c r="K239" s="1220">
        <f t="shared" si="20"/>
        <v>12.705792045835487</v>
      </c>
      <c r="L239" s="1024"/>
      <c r="M239" s="1024"/>
      <c r="N239" s="1119" t="s">
        <v>1177</v>
      </c>
      <c r="O239" s="1026"/>
    </row>
    <row r="240" spans="1:24" ht="15.75">
      <c r="A240" s="41">
        <v>59</v>
      </c>
      <c r="C240" s="1040" t="s">
        <v>1179</v>
      </c>
      <c r="D240" s="1024"/>
      <c r="E240" s="1024"/>
      <c r="F240" s="1024"/>
      <c r="G240" s="1024"/>
      <c r="H240" s="1032">
        <f t="shared" si="19"/>
        <v>219.65361875301969</v>
      </c>
      <c r="I240" s="1221"/>
      <c r="J240" s="1221"/>
      <c r="K240" s="1220">
        <f t="shared" si="20"/>
        <v>19.253167129407078</v>
      </c>
      <c r="L240" s="1024"/>
      <c r="M240" s="1024"/>
      <c r="N240" s="1119" t="s">
        <v>1184</v>
      </c>
      <c r="O240" s="1026"/>
    </row>
    <row r="241" spans="1:24" ht="16.5" thickBot="1">
      <c r="A241" s="41">
        <v>64</v>
      </c>
      <c r="C241" s="1041" t="s">
        <v>1066</v>
      </c>
      <c r="D241" s="1037"/>
      <c r="E241" s="1037"/>
      <c r="F241" s="1037"/>
      <c r="G241" s="1037"/>
      <c r="H241" s="1042">
        <f t="shared" si="19"/>
        <v>13.784625583361276</v>
      </c>
      <c r="I241" s="1037"/>
      <c r="J241" s="1037"/>
      <c r="K241" s="1222">
        <f t="shared" si="20"/>
        <v>2.6427326025184925</v>
      </c>
      <c r="L241" s="1037"/>
      <c r="M241" s="1037"/>
      <c r="N241" s="1043" t="s">
        <v>1180</v>
      </c>
      <c r="O241" s="1039"/>
    </row>
    <row r="242" spans="1:24" ht="16.5" thickTop="1">
      <c r="A242" s="41">
        <v>68</v>
      </c>
      <c r="C242" s="1031" t="s">
        <v>1174</v>
      </c>
      <c r="D242" s="1024"/>
      <c r="E242" s="1024"/>
      <c r="F242" s="1024"/>
      <c r="G242" s="1024"/>
      <c r="H242" s="1032">
        <f t="shared" si="19"/>
        <v>441.54693450609352</v>
      </c>
      <c r="I242" s="1024"/>
      <c r="J242" s="1024"/>
      <c r="K242" s="1220">
        <f t="shared" si="20"/>
        <v>52.330640728804461</v>
      </c>
      <c r="L242" s="1024"/>
      <c r="M242" s="1024"/>
      <c r="N242" s="1024"/>
      <c r="O242" s="1026"/>
      <c r="R242" s="1189"/>
      <c r="T242" s="1189"/>
      <c r="U242" s="1189"/>
    </row>
    <row r="243" spans="1:24" ht="16.5" thickBot="1">
      <c r="A243" s="41"/>
      <c r="C243" s="1036"/>
      <c r="D243" s="1037"/>
      <c r="E243" s="1037"/>
      <c r="F243" s="1037"/>
      <c r="G243" s="1037"/>
      <c r="H243" s="1038"/>
      <c r="I243" s="1037"/>
      <c r="J243" s="1037"/>
      <c r="K243" s="1224"/>
      <c r="L243" s="1037"/>
      <c r="M243" s="1037"/>
      <c r="N243" s="1037"/>
      <c r="O243" s="1039"/>
    </row>
    <row r="244" spans="1:24" ht="16.5" thickTop="1">
      <c r="A244" s="41">
        <v>69</v>
      </c>
      <c r="C244" s="1031" t="s">
        <v>1051</v>
      </c>
      <c r="D244" s="1024"/>
      <c r="E244" s="1024"/>
      <c r="F244" s="1024"/>
      <c r="G244" s="1024"/>
      <c r="H244" s="1032">
        <f>VLOOKUP($A244,loads_summ,16,FALSE)</f>
        <v>1693.8399673875642</v>
      </c>
      <c r="I244" s="1024"/>
      <c r="J244" s="1024"/>
      <c r="K244" s="1220">
        <f>VLOOKUP($A244,loads_summ,23,FALSE)</f>
        <v>184.05901192336003</v>
      </c>
      <c r="L244" s="1024"/>
      <c r="M244" s="1024"/>
      <c r="N244" s="1024"/>
      <c r="O244" s="1026"/>
    </row>
    <row r="245" spans="1:24" ht="15.75">
      <c r="A245" s="41">
        <v>70</v>
      </c>
      <c r="C245" s="1033" t="s">
        <v>1059</v>
      </c>
      <c r="D245" s="1024"/>
      <c r="E245" s="1024"/>
      <c r="F245" s="1024"/>
      <c r="G245" s="1024"/>
      <c r="H245" s="1034">
        <f>VLOOKUP($A245,loads_summ,16,FALSE)*$D$9</f>
        <v>0.86093450815255901</v>
      </c>
      <c r="I245" s="1035" t="str">
        <f>$E$9</f>
        <v>ppm</v>
      </c>
      <c r="J245" s="1024"/>
      <c r="K245" s="1049">
        <f>VLOOKUP($A245,loads_summ,23,FALSE)*$D$10</f>
        <v>93.552376819684767</v>
      </c>
      <c r="L245" s="1035" t="str">
        <f>$E$10</f>
        <v>ppb</v>
      </c>
      <c r="M245" s="1024"/>
      <c r="N245" s="1024"/>
      <c r="O245" s="1026"/>
    </row>
    <row r="246" spans="1:24">
      <c r="C246" s="1044"/>
      <c r="D246" s="1045"/>
      <c r="E246" s="1045"/>
      <c r="F246" s="1045"/>
      <c r="G246" s="1045"/>
      <c r="H246" s="1045"/>
      <c r="I246" s="1045"/>
      <c r="J246" s="1045"/>
      <c r="K246" s="1045"/>
      <c r="L246" s="1045"/>
      <c r="M246" s="1045"/>
      <c r="N246" s="1045"/>
      <c r="O246" s="1046"/>
    </row>
    <row r="249" spans="1:24">
      <c r="A249" s="1048" t="s">
        <v>1079</v>
      </c>
      <c r="B249" s="1047"/>
      <c r="C249" s="1047"/>
      <c r="D249" s="1047"/>
      <c r="E249" s="1047"/>
      <c r="F249" s="1047"/>
      <c r="G249" s="1047"/>
      <c r="H249" s="1047"/>
      <c r="I249" s="1047"/>
      <c r="J249" s="1047"/>
      <c r="K249" s="1047"/>
      <c r="L249" s="1047"/>
      <c r="M249" s="1047"/>
      <c r="N249" s="1047"/>
      <c r="O249" s="1047"/>
      <c r="P249" s="1047"/>
      <c r="Q249" s="1047"/>
      <c r="R249" s="1047"/>
      <c r="S249" s="1047"/>
      <c r="T249" s="1047"/>
      <c r="U249" s="1047"/>
      <c r="V249" s="1047"/>
      <c r="W249" s="1047"/>
      <c r="X249" s="1047"/>
    </row>
    <row r="251" spans="1:24">
      <c r="C251" s="1020"/>
      <c r="D251" s="1021"/>
      <c r="E251" s="1021"/>
      <c r="F251" s="1021"/>
      <c r="G251" s="1021"/>
      <c r="H251" s="1021"/>
      <c r="I251" s="1021"/>
      <c r="J251" s="1021"/>
      <c r="K251" s="1021"/>
      <c r="L251" s="1021"/>
      <c r="M251" s="1021"/>
      <c r="N251" s="1021"/>
      <c r="O251" s="1022"/>
    </row>
    <row r="252" spans="1:24" ht="15.75">
      <c r="C252" s="1050"/>
      <c r="D252" s="1051"/>
      <c r="E252" s="1051"/>
      <c r="F252" s="1051"/>
      <c r="G252" s="1024"/>
      <c r="H252" s="1025" t="s">
        <v>1070</v>
      </c>
      <c r="I252" s="1025"/>
      <c r="J252" s="1025" t="s">
        <v>1071</v>
      </c>
      <c r="K252" s="1025"/>
      <c r="L252" s="1025" t="s">
        <v>1073</v>
      </c>
      <c r="M252" s="1025"/>
      <c r="N252" s="1437" t="s">
        <v>1072</v>
      </c>
      <c r="O252" s="1438"/>
    </row>
    <row r="253" spans="1:24" ht="15.75">
      <c r="C253" s="1050"/>
      <c r="D253" s="1051"/>
      <c r="E253" s="1051"/>
      <c r="F253" s="1051"/>
      <c r="G253" s="1024"/>
      <c r="H253" s="1025" t="s">
        <v>1057</v>
      </c>
      <c r="I253" s="1025"/>
      <c r="J253" s="1025" t="s">
        <v>1057</v>
      </c>
      <c r="K253" s="1025"/>
      <c r="L253" s="1025" t="s">
        <v>1074</v>
      </c>
      <c r="M253" s="1025"/>
      <c r="N253" s="1437" t="s">
        <v>75</v>
      </c>
      <c r="O253" s="1438"/>
    </row>
    <row r="254" spans="1:24" ht="16.5" thickBot="1">
      <c r="C254" s="1036"/>
      <c r="D254" s="1029"/>
      <c r="E254" s="1029"/>
      <c r="F254" s="1029"/>
      <c r="G254" s="1037"/>
      <c r="H254" s="1043"/>
      <c r="I254" s="1043"/>
      <c r="J254" s="1043"/>
      <c r="K254" s="1043"/>
      <c r="L254" s="1043"/>
      <c r="M254" s="1043"/>
      <c r="N254" s="1043"/>
      <c r="O254" s="1060"/>
    </row>
    <row r="255" spans="1:24" ht="17.25" thickTop="1" thickBot="1">
      <c r="C255" s="1062" t="s">
        <v>96</v>
      </c>
      <c r="D255" s="1063"/>
      <c r="E255" s="1063"/>
      <c r="F255" s="1063"/>
      <c r="G255" s="1063"/>
      <c r="H255" s="1063"/>
      <c r="I255" s="1063"/>
      <c r="J255" s="1063"/>
      <c r="K255" s="1063"/>
      <c r="L255" s="1063"/>
      <c r="M255" s="1063"/>
      <c r="N255" s="1063"/>
      <c r="O255" s="1064"/>
      <c r="R255" s="1077" t="s">
        <v>1077</v>
      </c>
      <c r="S255" s="1077"/>
      <c r="T255" s="1077"/>
      <c r="U255" s="1077"/>
    </row>
    <row r="256" spans="1:24" ht="16.5" thickTop="1">
      <c r="C256" s="1040" t="s">
        <v>1040</v>
      </c>
      <c r="D256" s="1051"/>
      <c r="E256" s="1051"/>
      <c r="F256" s="1051"/>
      <c r="G256" s="1051"/>
      <c r="H256" s="1068" t="s">
        <v>398</v>
      </c>
      <c r="I256" s="1051"/>
      <c r="J256" s="1054">
        <f>VLOOKUP(S256,loads_summ,16,FALSE)</f>
        <v>2536.1298029930094</v>
      </c>
      <c r="K256" s="1051"/>
      <c r="L256" s="1068" t="s">
        <v>398</v>
      </c>
      <c r="M256" s="1051"/>
      <c r="N256" s="1034">
        <f>VLOOKUP(U256,loads_summ,16,FALSE)*$D$9</f>
        <v>1.2697376143261829</v>
      </c>
      <c r="O256" s="1055" t="str">
        <f>$E$9</f>
        <v>ppm</v>
      </c>
      <c r="R256" s="41" t="s">
        <v>398</v>
      </c>
      <c r="S256" s="41">
        <v>5</v>
      </c>
      <c r="T256" s="41" t="s">
        <v>398</v>
      </c>
      <c r="U256" s="41">
        <v>6</v>
      </c>
    </row>
    <row r="257" spans="3:21" ht="15.75">
      <c r="C257" s="1040" t="s">
        <v>1068</v>
      </c>
      <c r="D257" s="1051"/>
      <c r="E257" s="1051"/>
      <c r="F257" s="1051"/>
      <c r="G257" s="1051"/>
      <c r="H257" s="1054">
        <f>VLOOKUP(R257,loads_summ,16,FALSE)</f>
        <v>253.50772201000484</v>
      </c>
      <c r="I257" s="1051"/>
      <c r="J257" s="1054">
        <f>VLOOKUP(S257,loads_summ,16,FALSE)</f>
        <v>2282.6220809830047</v>
      </c>
      <c r="K257" s="1051"/>
      <c r="L257" s="1056">
        <f>VLOOKUP(T257,loads_summ,16,FALSE)</f>
        <v>9.9958496489741228E-2</v>
      </c>
      <c r="M257" s="1051"/>
      <c r="N257" s="1034">
        <f>VLOOKUP(U257,loads_summ,16,FALSE)*$D$9</f>
        <v>1.1468002417718701</v>
      </c>
      <c r="O257" s="1055" t="str">
        <f t="shared" ref="O257:O259" si="21">$E$9</f>
        <v>ppm</v>
      </c>
      <c r="R257" s="41">
        <v>76</v>
      </c>
      <c r="S257" s="41">
        <v>77</v>
      </c>
      <c r="T257" s="41">
        <v>90</v>
      </c>
      <c r="U257" s="41">
        <v>78</v>
      </c>
    </row>
    <row r="258" spans="3:21" ht="15.75">
      <c r="C258" s="1040" t="s">
        <v>1069</v>
      </c>
      <c r="D258" s="1051"/>
      <c r="E258" s="1051"/>
      <c r="F258" s="1051"/>
      <c r="G258" s="1051"/>
      <c r="H258" s="1054">
        <f>VLOOKUP(R258,loads_summ,16,FALSE)</f>
        <v>147.23517908934699</v>
      </c>
      <c r="I258" s="1051"/>
      <c r="J258" s="1054">
        <f>VLOOKUP(S258,loads_summ,16,FALSE)</f>
        <v>2135.386901893658</v>
      </c>
      <c r="K258" s="1051"/>
      <c r="L258" s="1056">
        <f>VLOOKUP(T258,loads_summ,16,FALSE)</f>
        <v>5.8055064419647459E-2</v>
      </c>
      <c r="M258" s="1051"/>
      <c r="N258" s="1034">
        <f>VLOOKUP(U258,loads_summ,16,FALSE)*$D$9</f>
        <v>1.0745586227361117</v>
      </c>
      <c r="O258" s="1055" t="str">
        <f t="shared" si="21"/>
        <v>ppm</v>
      </c>
      <c r="R258" s="41">
        <v>80</v>
      </c>
      <c r="S258" s="41">
        <v>81</v>
      </c>
      <c r="T258" s="41">
        <v>91</v>
      </c>
      <c r="U258" s="41">
        <v>82</v>
      </c>
    </row>
    <row r="259" spans="3:21" ht="16.5" thickBot="1">
      <c r="C259" s="1041" t="s">
        <v>1175</v>
      </c>
      <c r="D259" s="1029"/>
      <c r="E259" s="1029"/>
      <c r="F259" s="1029"/>
      <c r="G259" s="1029"/>
      <c r="H259" s="1057">
        <f>VLOOKUP(R259,loads_summ,16,FALSE)</f>
        <v>441.54693450609352</v>
      </c>
      <c r="I259" s="1029"/>
      <c r="J259" s="1057">
        <f>VLOOKUP(S259,loads_summ,16,FALSE)</f>
        <v>1693.8399673875642</v>
      </c>
      <c r="K259" s="1029"/>
      <c r="L259" s="1058">
        <f>VLOOKUP(T259,loads_summ,16,FALSE)</f>
        <v>0.17410265593858903</v>
      </c>
      <c r="M259" s="1029"/>
      <c r="N259" s="1059">
        <f>VLOOKUP(U259,loads_summ,16,FALSE)*$D$9</f>
        <v>0.86093450815255901</v>
      </c>
      <c r="O259" s="1053" t="str">
        <f t="shared" si="21"/>
        <v>ppm</v>
      </c>
      <c r="R259" s="41">
        <v>84</v>
      </c>
      <c r="S259" s="41">
        <v>85</v>
      </c>
      <c r="T259" s="41">
        <v>92</v>
      </c>
      <c r="U259" s="41">
        <v>86</v>
      </c>
    </row>
    <row r="260" spans="3:21" ht="16.5" thickTop="1">
      <c r="C260" s="1031" t="s">
        <v>1075</v>
      </c>
      <c r="D260" s="1051"/>
      <c r="E260" s="1051"/>
      <c r="F260" s="1051"/>
      <c r="G260" s="1051"/>
      <c r="H260" s="1054">
        <f>VLOOKUP(R260,loads_summ,16,FALSE)</f>
        <v>842.28983560544532</v>
      </c>
      <c r="I260" s="1051"/>
      <c r="J260" s="1051"/>
      <c r="K260" s="1051"/>
      <c r="L260" s="1056">
        <f>VLOOKUP(T260,loads_summ,16,FALSE)</f>
        <v>0.33211621684797771</v>
      </c>
      <c r="M260" s="1051"/>
      <c r="N260" s="1051"/>
      <c r="O260" s="1052"/>
      <c r="R260" s="41">
        <v>88</v>
      </c>
      <c r="S260" s="1077"/>
      <c r="T260" s="41">
        <v>93</v>
      </c>
      <c r="U260" s="1077"/>
    </row>
    <row r="261" spans="3:21" ht="15.75">
      <c r="C261" s="1031"/>
      <c r="D261" s="1051"/>
      <c r="E261" s="1051"/>
      <c r="F261" s="1051"/>
      <c r="G261" s="1051"/>
      <c r="H261" s="1054"/>
      <c r="I261" s="1051"/>
      <c r="J261" s="1051"/>
      <c r="K261" s="1051"/>
      <c r="L261" s="1056"/>
      <c r="M261" s="1051"/>
      <c r="N261" s="1051"/>
      <c r="O261" s="1052"/>
    </row>
    <row r="262" spans="3:21" ht="15.75">
      <c r="C262" s="1031" t="s">
        <v>1240</v>
      </c>
      <c r="D262" s="1051"/>
      <c r="E262" s="1051"/>
      <c r="F262" s="1051"/>
      <c r="G262" s="1051"/>
      <c r="H262" s="1054">
        <f>J256*Tmdl_TN</f>
        <v>583.30985468839219</v>
      </c>
      <c r="I262" s="1051"/>
      <c r="J262" s="1054">
        <f>J256*(1-Tmdl_TN)</f>
        <v>1952.8199483046174</v>
      </c>
      <c r="K262" s="1051"/>
      <c r="L262" s="1056">
        <f>Tmdl_TN</f>
        <v>0.23</v>
      </c>
      <c r="M262" s="1051"/>
      <c r="N262" s="1034">
        <f>J262/R263*mtonacft_mgl*$D$9</f>
        <v>0.97769796303116097</v>
      </c>
      <c r="O262" s="1055" t="str">
        <f t="shared" ref="O262" si="22">$E$9</f>
        <v>ppm</v>
      </c>
      <c r="R262" s="1087">
        <f>Tmdl_TN</f>
        <v>0.23</v>
      </c>
      <c r="S262" s="1078" t="s">
        <v>1087</v>
      </c>
    </row>
    <row r="263" spans="3:21" ht="15.75">
      <c r="C263" s="1031"/>
      <c r="D263" s="1051"/>
      <c r="E263" s="1051"/>
      <c r="F263" s="1051"/>
      <c r="G263" s="1051"/>
      <c r="H263" s="1054"/>
      <c r="I263" s="1051"/>
      <c r="J263" s="1051"/>
      <c r="K263" s="1051"/>
      <c r="L263" s="1056"/>
      <c r="M263" s="1051"/>
      <c r="N263" s="1051"/>
      <c r="O263" s="1052"/>
      <c r="R263" s="1077">
        <f>VLOOKUP(5,loads_summ,9,FALSE)</f>
        <v>1619290.3709018258</v>
      </c>
      <c r="S263" s="1078" t="s">
        <v>1088</v>
      </c>
    </row>
    <row r="264" spans="3:21" ht="16.5" thickBot="1">
      <c r="C264" s="1036"/>
      <c r="D264" s="1029"/>
      <c r="E264" s="1029"/>
      <c r="F264" s="1029"/>
      <c r="G264" s="1029"/>
      <c r="H264" s="1029"/>
      <c r="I264" s="1029"/>
      <c r="J264" s="1029"/>
      <c r="K264" s="1029"/>
      <c r="L264" s="1029"/>
      <c r="M264" s="1029"/>
      <c r="N264" s="1029"/>
      <c r="O264" s="1060"/>
    </row>
    <row r="265" spans="3:21" ht="17.25" thickTop="1" thickBot="1">
      <c r="C265" s="1065" t="s">
        <v>97</v>
      </c>
      <c r="D265" s="1066"/>
      <c r="E265" s="1066"/>
      <c r="F265" s="1066"/>
      <c r="G265" s="1066"/>
      <c r="H265" s="1066"/>
      <c r="I265" s="1066"/>
      <c r="J265" s="1066"/>
      <c r="K265" s="1066"/>
      <c r="L265" s="1066"/>
      <c r="M265" s="1066"/>
      <c r="N265" s="1066"/>
      <c r="O265" s="1067"/>
      <c r="R265" s="1077" t="s">
        <v>1078</v>
      </c>
      <c r="S265" s="1077"/>
      <c r="T265" s="1077"/>
      <c r="U265" s="1077"/>
    </row>
    <row r="266" spans="3:21" ht="16.5" thickTop="1">
      <c r="C266" s="1040" t="s">
        <v>1040</v>
      </c>
      <c r="D266" s="1051"/>
      <c r="E266" s="1051"/>
      <c r="F266" s="1051"/>
      <c r="G266" s="1051"/>
      <c r="H266" s="1068" t="s">
        <v>398</v>
      </c>
      <c r="I266" s="1051"/>
      <c r="J266" s="1225">
        <f>VLOOKUP(S266,loads_summ,23,FALSE)</f>
        <v>290.70610617581258</v>
      </c>
      <c r="K266" s="1051"/>
      <c r="L266" s="1068" t="s">
        <v>398</v>
      </c>
      <c r="M266" s="1051"/>
      <c r="N266" s="1049">
        <f>VLOOKUP(U266,loads_summ,23,FALSE)*$D$10</f>
        <v>145.54478926516828</v>
      </c>
      <c r="O266" s="1055" t="str">
        <f>$E$10</f>
        <v>ppb</v>
      </c>
      <c r="R266" s="41" t="s">
        <v>398</v>
      </c>
      <c r="S266" s="41">
        <v>73</v>
      </c>
      <c r="T266" s="41" t="s">
        <v>398</v>
      </c>
      <c r="U266" s="41">
        <v>74</v>
      </c>
    </row>
    <row r="267" spans="3:21" ht="15.75">
      <c r="C267" s="1040" t="s">
        <v>1068</v>
      </c>
      <c r="D267" s="1051"/>
      <c r="E267" s="1051"/>
      <c r="F267" s="1051"/>
      <c r="G267" s="1051"/>
      <c r="H267" s="1225">
        <f>VLOOKUP(R267,loads_summ,23,FALSE)</f>
        <v>30.331319708501518</v>
      </c>
      <c r="I267" s="1051"/>
      <c r="J267" s="1225">
        <f>VLOOKUP(S267,loads_summ,23,FALSE)</f>
        <v>260.3747864673112</v>
      </c>
      <c r="K267" s="1051"/>
      <c r="L267" s="1056">
        <f>VLOOKUP(T267,loads_summ,23,FALSE)</f>
        <v>0.10433671348532944</v>
      </c>
      <c r="M267" s="1051"/>
      <c r="N267" s="1049">
        <f>VLOOKUP(U267,loads_summ,23,FALSE)*$D$10</f>
        <v>130.81353701065626</v>
      </c>
      <c r="O267" s="1055" t="str">
        <f t="shared" ref="O267:O269" si="23">$E$10</f>
        <v>ppb</v>
      </c>
      <c r="R267" s="41">
        <v>76</v>
      </c>
      <c r="S267" s="41">
        <v>77</v>
      </c>
      <c r="T267" s="41">
        <v>90</v>
      </c>
      <c r="U267" s="41">
        <v>78</v>
      </c>
    </row>
    <row r="268" spans="3:21" ht="15.75">
      <c r="C268" s="1040" t="s">
        <v>1069</v>
      </c>
      <c r="D268" s="1051"/>
      <c r="E268" s="1051"/>
      <c r="F268" s="1051"/>
      <c r="G268" s="1051"/>
      <c r="H268" s="1225">
        <f>VLOOKUP(R268,loads_summ,23,FALSE)</f>
        <v>23.985133815146749</v>
      </c>
      <c r="I268" s="1051"/>
      <c r="J268" s="1225">
        <f>VLOOKUP(S268,loads_summ,23,FALSE)</f>
        <v>236.38965265216444</v>
      </c>
      <c r="K268" s="1051"/>
      <c r="L268" s="1056">
        <f>VLOOKUP(T268,loads_summ,23,FALSE)</f>
        <v>8.2506467203826372E-2</v>
      </c>
      <c r="M268" s="1051"/>
      <c r="N268" s="1049">
        <f>VLOOKUP(U268,loads_summ,23,FALSE)*$D$10</f>
        <v>118.95480831024949</v>
      </c>
      <c r="O268" s="1055" t="str">
        <f t="shared" si="23"/>
        <v>ppb</v>
      </c>
      <c r="R268" s="41">
        <v>80</v>
      </c>
      <c r="S268" s="41">
        <v>81</v>
      </c>
      <c r="T268" s="41">
        <v>91</v>
      </c>
      <c r="U268" s="41">
        <v>82</v>
      </c>
    </row>
    <row r="269" spans="3:21" ht="16.5" thickBot="1">
      <c r="C269" s="1041" t="s">
        <v>1175</v>
      </c>
      <c r="D269" s="1029"/>
      <c r="E269" s="1029"/>
      <c r="F269" s="1029"/>
      <c r="G269" s="1029"/>
      <c r="H269" s="1226">
        <f>VLOOKUP(R269,loads_summ,23,FALSE)</f>
        <v>52.330640728804461</v>
      </c>
      <c r="I269" s="1029"/>
      <c r="J269" s="1226">
        <f>VLOOKUP(S269,loads_summ,23,FALSE)</f>
        <v>184.05901192336003</v>
      </c>
      <c r="K269" s="1029"/>
      <c r="L269" s="1058">
        <f>VLOOKUP(T269,loads_summ,23,FALSE)</f>
        <v>0.18001218280965883</v>
      </c>
      <c r="M269" s="1029"/>
      <c r="N269" s="1069">
        <f>VLOOKUP(U269,loads_summ,23,FALSE)*$D$10</f>
        <v>93.552376819684767</v>
      </c>
      <c r="O269" s="1053" t="str">
        <f t="shared" si="23"/>
        <v>ppb</v>
      </c>
      <c r="R269" s="41">
        <v>84</v>
      </c>
      <c r="S269" s="41">
        <v>85</v>
      </c>
      <c r="T269" s="41">
        <v>92</v>
      </c>
      <c r="U269" s="41">
        <v>86</v>
      </c>
    </row>
    <row r="270" spans="3:21" ht="16.5" thickTop="1">
      <c r="C270" s="1031" t="s">
        <v>1075</v>
      </c>
      <c r="D270" s="1061"/>
      <c r="E270" s="1061"/>
      <c r="F270" s="1061"/>
      <c r="G270" s="1061"/>
      <c r="H270" s="1225">
        <f>VLOOKUP(R270,loads_summ,23,FALSE)</f>
        <v>106.64709425245273</v>
      </c>
      <c r="I270" s="1051"/>
      <c r="J270" s="1051"/>
      <c r="K270" s="1051"/>
      <c r="L270" s="1056">
        <f>VLOOKUP(T270,loads_summ,23,FALSE)</f>
        <v>0.36685536349881465</v>
      </c>
      <c r="M270" s="1051"/>
      <c r="N270" s="1051"/>
      <c r="O270" s="1052"/>
      <c r="R270" s="41">
        <v>88</v>
      </c>
      <c r="S270" s="1077"/>
      <c r="T270" s="41">
        <v>93</v>
      </c>
      <c r="U270" s="1077"/>
    </row>
    <row r="271" spans="3:21">
      <c r="C271" s="1044"/>
      <c r="D271" s="1045"/>
      <c r="E271" s="1045"/>
      <c r="F271" s="1045"/>
      <c r="G271" s="1045"/>
      <c r="H271" s="1045"/>
      <c r="I271" s="1045"/>
      <c r="J271" s="1045"/>
      <c r="K271" s="1045"/>
      <c r="L271" s="1045"/>
      <c r="M271" s="1045"/>
      <c r="N271" s="1045"/>
      <c r="O271" s="1046"/>
    </row>
    <row r="274" spans="1:24">
      <c r="A274" s="1048" t="s">
        <v>1198</v>
      </c>
      <c r="B274" s="1047"/>
      <c r="C274" s="1047"/>
      <c r="D274" s="1047"/>
      <c r="E274" s="1047"/>
      <c r="F274" s="1047"/>
      <c r="G274" s="1047"/>
      <c r="H274" s="1047"/>
      <c r="I274" s="1047"/>
      <c r="J274" s="1047"/>
      <c r="K274" s="1047"/>
      <c r="L274" s="1047"/>
      <c r="M274" s="1047"/>
      <c r="N274" s="1047"/>
      <c r="O274" s="1047"/>
      <c r="P274" s="1047"/>
      <c r="Q274" s="1047"/>
      <c r="R274" s="1047"/>
      <c r="S274" s="1047"/>
      <c r="T274" s="1047"/>
      <c r="U274" s="1047"/>
      <c r="V274" s="1047"/>
      <c r="W274" s="1047"/>
      <c r="X274" s="1047"/>
    </row>
    <row r="276" spans="1:24">
      <c r="D276" s="41">
        <v>74</v>
      </c>
      <c r="E276" s="41">
        <v>78</v>
      </c>
      <c r="F276" s="41">
        <v>82</v>
      </c>
      <c r="G276" s="41">
        <v>86</v>
      </c>
    </row>
    <row r="277" spans="1:24">
      <c r="D277" s="41">
        <v>10</v>
      </c>
      <c r="E277" s="41">
        <v>10</v>
      </c>
      <c r="F277" s="41">
        <v>10</v>
      </c>
      <c r="G277" s="41">
        <v>10</v>
      </c>
    </row>
    <row r="278" spans="1:24">
      <c r="D278" s="1436" t="s">
        <v>1041</v>
      </c>
      <c r="E278" s="1436"/>
      <c r="F278" s="1436"/>
      <c r="G278" s="1436"/>
      <c r="H278" s="1436"/>
    </row>
    <row r="279" spans="1:24">
      <c r="A279" s="41" t="s">
        <v>206</v>
      </c>
      <c r="B279" s="41" t="s">
        <v>207</v>
      </c>
      <c r="C279" s="974" t="s">
        <v>1039</v>
      </c>
      <c r="D279" s="1116" t="s">
        <v>1040</v>
      </c>
      <c r="E279" s="1116" t="s">
        <v>681</v>
      </c>
      <c r="F279" s="1116" t="s">
        <v>425</v>
      </c>
      <c r="G279" s="1116" t="s">
        <v>1094</v>
      </c>
      <c r="H279" s="368" t="s">
        <v>1193</v>
      </c>
    </row>
    <row r="280" spans="1:24">
      <c r="A280" s="41">
        <v>6</v>
      </c>
      <c r="B280" s="41">
        <f t="shared" ref="B280" si="24">VLOOKUP($A280,subwatgeog,4,FALSE)</f>
        <v>6</v>
      </c>
      <c r="C280" s="993" t="str">
        <f t="shared" ref="C280" si="25">VLOOKUP($A280,subwatgeog,2,FALSE)</f>
        <v>Total CRWPP</v>
      </c>
      <c r="D280" s="1016">
        <f>VLOOKUP(D$276,loads_summ,D$277+$A280,FALSE)*$D$9</f>
        <v>1.2697376143261829</v>
      </c>
      <c r="E280" s="1016">
        <f>VLOOKUP(E$276,loads_summ,E$277+$A280,FALSE)*$D$9</f>
        <v>1.1468002417718701</v>
      </c>
      <c r="F280" s="1016">
        <f>VLOOKUP(F$276,loads_summ,F$277+$A280,FALSE)*$D$9</f>
        <v>1.0745586227361117</v>
      </c>
      <c r="G280" s="1016">
        <f>VLOOKUP(G$276,loads_summ,G$277+$A280,FALSE)*$D$9</f>
        <v>0.86093450815255901</v>
      </c>
      <c r="H280" s="1117">
        <f>D280*(1-Tmdl_TN)</f>
        <v>0.97769796303116085</v>
      </c>
    </row>
    <row r="283" spans="1:24">
      <c r="D283" s="41">
        <v>73</v>
      </c>
      <c r="E283" s="41">
        <v>77</v>
      </c>
      <c r="F283" s="41">
        <v>81</v>
      </c>
      <c r="G283" s="41">
        <v>85</v>
      </c>
    </row>
    <row r="284" spans="1:24">
      <c r="D284" s="41">
        <v>10</v>
      </c>
      <c r="E284" s="41">
        <v>10</v>
      </c>
      <c r="F284" s="41">
        <v>10</v>
      </c>
      <c r="G284" s="41">
        <v>10</v>
      </c>
    </row>
    <row r="285" spans="1:24">
      <c r="D285" s="1436" t="s">
        <v>1194</v>
      </c>
      <c r="E285" s="1436"/>
      <c r="F285" s="1436"/>
      <c r="G285" s="1436"/>
      <c r="H285" s="1436"/>
    </row>
    <row r="286" spans="1:24">
      <c r="A286" s="41" t="s">
        <v>206</v>
      </c>
      <c r="B286" s="41" t="s">
        <v>207</v>
      </c>
      <c r="C286" s="974" t="s">
        <v>1039</v>
      </c>
      <c r="D286" s="1116" t="s">
        <v>1040</v>
      </c>
      <c r="E286" s="1116" t="s">
        <v>681</v>
      </c>
      <c r="F286" s="1116" t="s">
        <v>425</v>
      </c>
      <c r="G286" s="1116" t="s">
        <v>1094</v>
      </c>
      <c r="H286" s="368" t="s">
        <v>1193</v>
      </c>
    </row>
    <row r="287" spans="1:24">
      <c r="A287" s="41">
        <v>6</v>
      </c>
      <c r="B287" s="41">
        <f t="shared" ref="B287" si="26">VLOOKUP($A287,subwatgeog,4,FALSE)</f>
        <v>6</v>
      </c>
      <c r="C287" s="993" t="str">
        <f t="shared" ref="C287" si="27">VLOOKUP($A287,subwatgeog,2,FALSE)</f>
        <v>Total CRWPP</v>
      </c>
      <c r="D287" s="1196">
        <f>VLOOKUP(D$283,loads_summ,D$284+$A287,FALSE)</f>
        <v>2536.1298029930094</v>
      </c>
      <c r="E287" s="1196">
        <f>VLOOKUP(E$283,loads_summ,E$284+$A287,FALSE)</f>
        <v>2282.6220809830047</v>
      </c>
      <c r="F287" s="1196">
        <f>VLOOKUP(F$283,loads_summ,F$284+$A287,FALSE)</f>
        <v>2135.386901893658</v>
      </c>
      <c r="G287" s="1196">
        <f>VLOOKUP(G$283,loads_summ,G$284+$A287,FALSE)</f>
        <v>1693.8399673875642</v>
      </c>
      <c r="H287" s="1197">
        <f>D287*(1-Tmdl_TN)</f>
        <v>1952.8199483046174</v>
      </c>
    </row>
    <row r="309" spans="1:24">
      <c r="A309" s="1048" t="s">
        <v>1263</v>
      </c>
      <c r="B309" s="1047"/>
      <c r="C309" s="1047"/>
      <c r="D309" s="1047"/>
      <c r="E309" s="1047"/>
      <c r="F309" s="1047"/>
      <c r="G309" s="1047"/>
      <c r="H309" s="1047"/>
      <c r="I309" s="1047"/>
      <c r="J309" s="1047"/>
      <c r="K309" s="1047"/>
      <c r="L309" s="1047"/>
      <c r="M309" s="1047"/>
      <c r="N309" s="1047"/>
      <c r="O309" s="1047"/>
      <c r="P309" s="1047"/>
      <c r="Q309" s="1047"/>
      <c r="R309" s="1047"/>
      <c r="S309" s="1047"/>
      <c r="T309" s="1047"/>
      <c r="U309" s="1047"/>
      <c r="V309" s="1047"/>
      <c r="W309" s="1047"/>
      <c r="X309" s="1047"/>
    </row>
    <row r="311" spans="1:24">
      <c r="D311" s="41">
        <v>90</v>
      </c>
      <c r="E311" s="41">
        <v>91</v>
      </c>
      <c r="F311" s="41">
        <v>92</v>
      </c>
      <c r="G311" s="41">
        <v>93</v>
      </c>
    </row>
    <row r="312" spans="1:24">
      <c r="D312" s="41">
        <v>10</v>
      </c>
      <c r="E312" s="41">
        <v>10</v>
      </c>
      <c r="F312" s="41">
        <v>10</v>
      </c>
      <c r="G312" s="41">
        <v>10</v>
      </c>
    </row>
    <row r="313" spans="1:24">
      <c r="D313" s="1436" t="s">
        <v>1262</v>
      </c>
      <c r="E313" s="1436"/>
      <c r="F313" s="1436"/>
      <c r="G313" s="1436"/>
      <c r="H313" s="1436"/>
    </row>
    <row r="314" spans="1:24">
      <c r="A314" s="41" t="s">
        <v>206</v>
      </c>
      <c r="B314" s="41" t="s">
        <v>207</v>
      </c>
      <c r="C314" s="974" t="s">
        <v>1039</v>
      </c>
      <c r="D314" s="1116" t="s">
        <v>681</v>
      </c>
      <c r="E314" s="1116" t="s">
        <v>425</v>
      </c>
      <c r="F314" s="1116" t="s">
        <v>1094</v>
      </c>
      <c r="G314" s="1116" t="s">
        <v>1261</v>
      </c>
      <c r="H314" s="368" t="s">
        <v>1193</v>
      </c>
    </row>
    <row r="315" spans="1:24">
      <c r="A315" s="41">
        <v>6</v>
      </c>
      <c r="B315" s="41">
        <f>VLOOKUP($A315,subwatgeog,4,FALSE)</f>
        <v>6</v>
      </c>
      <c r="C315" s="993" t="str">
        <f>VLOOKUP($A315,subwatgeog,2,FALSE)</f>
        <v>Total CRWPP</v>
      </c>
      <c r="D315" s="1297">
        <f>VLOOKUP(D$311,loads_summ,D$312+$A315,FALSE)</f>
        <v>9.9958496489741228E-2</v>
      </c>
      <c r="E315" s="1297">
        <f>VLOOKUP(E$311,loads_summ,E$312+$A315,FALSE)</f>
        <v>5.8055064419647459E-2</v>
      </c>
      <c r="F315" s="1297">
        <f>VLOOKUP(F$311,loads_summ,F$312+$A315,FALSE)</f>
        <v>0.17410265593858903</v>
      </c>
      <c r="G315" s="1297">
        <f>VLOOKUP(G$311,loads_summ,G$312+$A315,FALSE)</f>
        <v>0.33211621684797771</v>
      </c>
      <c r="H315" s="1300">
        <f>Tmdl_TN</f>
        <v>0.23</v>
      </c>
    </row>
  </sheetData>
  <mergeCells count="10">
    <mergeCell ref="D313:H313"/>
    <mergeCell ref="D278:H278"/>
    <mergeCell ref="D285:H285"/>
    <mergeCell ref="N253:O253"/>
    <mergeCell ref="D17:G17"/>
    <mergeCell ref="D51:G51"/>
    <mergeCell ref="D85:G85"/>
    <mergeCell ref="D119:G119"/>
    <mergeCell ref="N252:O252"/>
    <mergeCell ref="D153:G153"/>
  </mergeCells>
  <printOptions gridLines="1"/>
  <pageMargins left="0.5" right="0.5" top="0.75" bottom="0.75" header="0.3" footer="0.3"/>
  <pageSetup scale="48" fitToHeight="10" orientation="landscape" r:id="rId1"/>
  <headerFooter>
    <oddFooter>&amp;L&amp;"-,Italic"&amp;9&amp;F, &amp;A&amp;R&amp;"-,Italic"&amp;9&amp;P of 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Y732"/>
  <sheetViews>
    <sheetView zoomScale="80" zoomScaleNormal="80" workbookViewId="0">
      <selection activeCell="A19" sqref="A19"/>
    </sheetView>
  </sheetViews>
  <sheetFormatPr defaultRowHeight="15"/>
  <cols>
    <col min="1" max="1" width="10" customWidth="1"/>
    <col min="2" max="2" width="48.42578125" customWidth="1"/>
    <col min="3" max="3" width="7.85546875" customWidth="1"/>
    <col min="4" max="23" width="11.7109375" customWidth="1"/>
  </cols>
  <sheetData>
    <row r="1" spans="1:16">
      <c r="A1" s="226" t="s">
        <v>900</v>
      </c>
      <c r="B1" s="260"/>
      <c r="C1" s="260"/>
      <c r="D1" s="260"/>
      <c r="E1" s="260"/>
      <c r="F1" s="260"/>
      <c r="G1" s="101"/>
      <c r="H1" s="101"/>
      <c r="I1" s="101"/>
      <c r="J1" s="101"/>
      <c r="K1" s="101"/>
      <c r="L1" s="778"/>
      <c r="P1" s="58" t="s">
        <v>1453</v>
      </c>
    </row>
    <row r="2" spans="1:16">
      <c r="A2" t="s">
        <v>896</v>
      </c>
      <c r="P2" s="58" t="s">
        <v>1009</v>
      </c>
    </row>
    <row r="3" spans="1:16">
      <c r="A3" s="61" t="s">
        <v>895</v>
      </c>
    </row>
    <row r="4" spans="1:16">
      <c r="A4" s="61" t="s">
        <v>899</v>
      </c>
    </row>
    <row r="5" spans="1:16">
      <c r="A5" s="61" t="s">
        <v>898</v>
      </c>
    </row>
    <row r="6" spans="1:16">
      <c r="A6" s="401" t="s">
        <v>912</v>
      </c>
    </row>
    <row r="7" spans="1:16">
      <c r="A7" s="47" t="s">
        <v>902</v>
      </c>
      <c r="B7" s="269" t="s">
        <v>905</v>
      </c>
    </row>
    <row r="8" spans="1:16">
      <c r="A8" s="47" t="s">
        <v>904</v>
      </c>
      <c r="B8" s="782" t="s">
        <v>911</v>
      </c>
    </row>
    <row r="9" spans="1:16">
      <c r="A9" s="47" t="s">
        <v>908</v>
      </c>
      <c r="B9" s="782" t="s">
        <v>919</v>
      </c>
    </row>
    <row r="10" spans="1:16">
      <c r="A10" s="47" t="s">
        <v>910</v>
      </c>
      <c r="B10" s="782" t="s">
        <v>981</v>
      </c>
    </row>
    <row r="11" spans="1:16">
      <c r="A11" s="47"/>
      <c r="B11" s="753" t="s">
        <v>924</v>
      </c>
    </row>
    <row r="12" spans="1:16">
      <c r="A12" s="47" t="s">
        <v>915</v>
      </c>
      <c r="B12" s="782" t="s">
        <v>982</v>
      </c>
    </row>
    <row r="13" spans="1:16">
      <c r="A13" s="47"/>
      <c r="B13" s="753" t="s">
        <v>980</v>
      </c>
    </row>
    <row r="14" spans="1:16">
      <c r="A14" s="47" t="s">
        <v>918</v>
      </c>
      <c r="B14" t="s">
        <v>1109</v>
      </c>
    </row>
    <row r="15" spans="1:16">
      <c r="A15" s="47"/>
      <c r="B15" s="753" t="s">
        <v>925</v>
      </c>
    </row>
    <row r="16" spans="1:16">
      <c r="A16" s="47" t="s">
        <v>922</v>
      </c>
      <c r="B16" s="782" t="s">
        <v>983</v>
      </c>
    </row>
    <row r="17" spans="1:23">
      <c r="A17" s="47" t="s">
        <v>974</v>
      </c>
      <c r="B17" s="782" t="s">
        <v>923</v>
      </c>
    </row>
    <row r="18" spans="1:23">
      <c r="A18" s="61"/>
      <c r="B18" s="61" t="s">
        <v>897</v>
      </c>
    </row>
    <row r="19" spans="1:23">
      <c r="A19" s="61"/>
    </row>
    <row r="21" spans="1:23">
      <c r="A21" s="779" t="s">
        <v>901</v>
      </c>
      <c r="B21" s="838" t="s">
        <v>1022</v>
      </c>
    </row>
    <row r="22" spans="1:23">
      <c r="A22" s="567" t="s">
        <v>239</v>
      </c>
      <c r="B22" s="568"/>
      <c r="C22" s="569"/>
      <c r="D22" s="570"/>
      <c r="E22" s="570"/>
      <c r="F22" s="570"/>
      <c r="G22" s="570"/>
      <c r="H22" s="570"/>
      <c r="I22" s="570"/>
      <c r="J22" s="569"/>
      <c r="K22" s="571"/>
      <c r="L22" s="571"/>
      <c r="M22" s="571"/>
      <c r="N22" s="571"/>
      <c r="O22" s="571"/>
      <c r="P22" s="571"/>
      <c r="Q22" s="569"/>
      <c r="R22" s="572"/>
      <c r="S22" s="572"/>
      <c r="T22" s="572"/>
      <c r="U22" s="572"/>
      <c r="V22" s="572"/>
      <c r="W22" s="724"/>
    </row>
    <row r="24" spans="1:23">
      <c r="C24" s="99" t="s">
        <v>206</v>
      </c>
      <c r="D24" s="183">
        <v>1</v>
      </c>
      <c r="E24" s="183">
        <v>2</v>
      </c>
      <c r="F24" s="183">
        <v>3</v>
      </c>
      <c r="G24" s="183">
        <v>4</v>
      </c>
      <c r="H24" s="183">
        <v>5</v>
      </c>
      <c r="I24" s="183">
        <v>6</v>
      </c>
      <c r="K24" s="183">
        <v>1</v>
      </c>
      <c r="L24" s="183">
        <v>2</v>
      </c>
      <c r="M24" s="183">
        <v>3</v>
      </c>
      <c r="N24" s="183">
        <v>4</v>
      </c>
      <c r="O24" s="183">
        <v>5</v>
      </c>
      <c r="P24" s="183">
        <v>6</v>
      </c>
      <c r="R24" s="183">
        <v>1</v>
      </c>
      <c r="S24" s="183">
        <v>2</v>
      </c>
      <c r="T24" s="183">
        <v>3</v>
      </c>
      <c r="U24" s="183">
        <v>4</v>
      </c>
      <c r="V24" s="183">
        <v>5</v>
      </c>
      <c r="W24" s="183">
        <v>6</v>
      </c>
    </row>
    <row r="25" spans="1:23">
      <c r="C25" s="99" t="s">
        <v>207</v>
      </c>
      <c r="D25" s="183">
        <f t="shared" ref="D25:I25" si="0">VLOOKUP(D$24,subwatgeog,4,FALSE)</f>
        <v>1</v>
      </c>
      <c r="E25" s="183">
        <f t="shared" si="0"/>
        <v>4</v>
      </c>
      <c r="F25" s="183">
        <f t="shared" si="0"/>
        <v>5</v>
      </c>
      <c r="G25" s="183">
        <f t="shared" si="0"/>
        <v>2</v>
      </c>
      <c r="H25" s="183">
        <f t="shared" si="0"/>
        <v>3</v>
      </c>
      <c r="I25" s="183">
        <f t="shared" si="0"/>
        <v>6</v>
      </c>
      <c r="K25" s="183">
        <f t="shared" ref="K25:P25" si="1">VLOOKUP(K$24,subwatgeog,4,FALSE)</f>
        <v>1</v>
      </c>
      <c r="L25" s="183">
        <f t="shared" si="1"/>
        <v>4</v>
      </c>
      <c r="M25" s="183">
        <f t="shared" si="1"/>
        <v>5</v>
      </c>
      <c r="N25" s="183">
        <f t="shared" si="1"/>
        <v>2</v>
      </c>
      <c r="O25" s="183">
        <f t="shared" si="1"/>
        <v>3</v>
      </c>
      <c r="P25" s="183">
        <f t="shared" si="1"/>
        <v>6</v>
      </c>
      <c r="R25" s="183">
        <f t="shared" ref="R25:W25" si="2">VLOOKUP(R$24,subwatgeog,4,FALSE)</f>
        <v>1</v>
      </c>
      <c r="S25" s="183">
        <f t="shared" si="2"/>
        <v>4</v>
      </c>
      <c r="T25" s="183">
        <f t="shared" si="2"/>
        <v>5</v>
      </c>
      <c r="U25" s="183">
        <f t="shared" si="2"/>
        <v>2</v>
      </c>
      <c r="V25" s="183">
        <f t="shared" si="2"/>
        <v>3</v>
      </c>
      <c r="W25" s="183">
        <f t="shared" si="2"/>
        <v>6</v>
      </c>
    </row>
    <row r="26" spans="1:23">
      <c r="C26" s="99"/>
      <c r="D26" s="1440" t="s">
        <v>213</v>
      </c>
      <c r="E26" s="1440"/>
      <c r="F26" s="1440"/>
      <c r="G26" s="1440"/>
      <c r="H26" s="1440"/>
      <c r="I26" s="1440"/>
      <c r="K26" s="1441" t="s">
        <v>419</v>
      </c>
      <c r="L26" s="1441"/>
      <c r="M26" s="1441"/>
      <c r="N26" s="1441"/>
      <c r="O26" s="1441"/>
      <c r="P26" s="1441"/>
      <c r="R26" s="1442" t="s">
        <v>420</v>
      </c>
      <c r="S26" s="1442"/>
      <c r="T26" s="1442"/>
      <c r="U26" s="1442"/>
      <c r="V26" s="1442"/>
      <c r="W26" s="1442"/>
    </row>
    <row r="27" spans="1:23" ht="30">
      <c r="A27" s="218" t="s">
        <v>215</v>
      </c>
      <c r="B27" s="219" t="s">
        <v>214</v>
      </c>
      <c r="C27" s="219" t="s">
        <v>659</v>
      </c>
      <c r="D27" s="363" t="str">
        <f t="shared" ref="D27:I27" si="3">VLOOKUP(D$24,subwatgeog,2,FALSE)</f>
        <v>Coastal</v>
      </c>
      <c r="E27" s="363" t="str">
        <f t="shared" si="3"/>
        <v>Tidal Cal.</v>
      </c>
      <c r="F27" s="363" t="str">
        <f t="shared" si="3"/>
        <v>West Cal.</v>
      </c>
      <c r="G27" s="363" t="str">
        <f t="shared" si="3"/>
        <v>East Cal.</v>
      </c>
      <c r="H27" s="363" t="str">
        <f t="shared" si="3"/>
        <v>S-4</v>
      </c>
      <c r="I27" s="364" t="str">
        <f t="shared" si="3"/>
        <v>Total CRWPP</v>
      </c>
      <c r="K27" s="351" t="str">
        <f t="shared" ref="K27:W27" si="4">VLOOKUP(K$24,subwatgeog,2,FALSE)</f>
        <v>Coastal</v>
      </c>
      <c r="L27" s="351" t="str">
        <f t="shared" si="4"/>
        <v>Tidal Cal.</v>
      </c>
      <c r="M27" s="351" t="str">
        <f t="shared" si="4"/>
        <v>West Cal.</v>
      </c>
      <c r="N27" s="351" t="str">
        <f t="shared" si="4"/>
        <v>East Cal.</v>
      </c>
      <c r="O27" s="351" t="str">
        <f t="shared" si="4"/>
        <v>S-4</v>
      </c>
      <c r="P27" s="355" t="str">
        <f t="shared" si="4"/>
        <v>Total CRWPP</v>
      </c>
      <c r="R27" s="352" t="str">
        <f t="shared" si="4"/>
        <v>Coastal</v>
      </c>
      <c r="S27" s="352" t="str">
        <f t="shared" si="4"/>
        <v>Tidal Cal.</v>
      </c>
      <c r="T27" s="352" t="str">
        <f t="shared" si="4"/>
        <v>West Cal.</v>
      </c>
      <c r="U27" s="352" t="str">
        <f t="shared" si="4"/>
        <v>East Cal.</v>
      </c>
      <c r="V27" s="352" t="str">
        <f t="shared" si="4"/>
        <v>S-4</v>
      </c>
      <c r="W27" s="356" t="str">
        <f t="shared" si="4"/>
        <v>Total CRWPP</v>
      </c>
    </row>
    <row r="28" spans="1:23">
      <c r="A28" s="783">
        <v>1</v>
      </c>
      <c r="B28" t="str">
        <f t="shared" ref="B28:B65" si="5">VLOOKUP($A28,bottb_Loadings,2,FALSE)</f>
        <v>Residential Low Density</v>
      </c>
      <c r="C28" s="777">
        <f t="shared" ref="C28:C65" si="6">VLOOKUP($A28,bottb_Loadings,4,FALSE)</f>
        <v>1</v>
      </c>
      <c r="D28" s="196">
        <f t="shared" ref="D28:I43" si="7">VLOOKUP($A28,bottb_Loadings,5,FALSE)*VLOOKUP($A28,bottb_luacres,D$25+2,FALSE)/12</f>
        <v>59417.274669567625</v>
      </c>
      <c r="E28" s="196">
        <f t="shared" si="7"/>
        <v>63348.03546160931</v>
      </c>
      <c r="F28" s="196">
        <f t="shared" si="7"/>
        <v>31149.605301066214</v>
      </c>
      <c r="G28" s="196">
        <f t="shared" si="7"/>
        <v>6297.8144376604423</v>
      </c>
      <c r="H28" s="196">
        <f t="shared" si="7"/>
        <v>1150.2355046646069</v>
      </c>
      <c r="I28" s="196">
        <f t="shared" si="7"/>
        <v>161362.96537456822</v>
      </c>
      <c r="K28" s="198">
        <f t="shared" ref="K28:P37" si="8">VLOOKUP($A28,bottb_Loadings,$G$616,FALSE)*VLOOKUP($A28,bottb_luacres,K$25+2,FALSE)/lb_mton</f>
        <v>72.530944794580563</v>
      </c>
      <c r="L28" s="198">
        <f t="shared" si="8"/>
        <v>77.329242858465022</v>
      </c>
      <c r="M28" s="198">
        <f t="shared" si="8"/>
        <v>38.024468726125917</v>
      </c>
      <c r="N28" s="198">
        <f t="shared" si="8"/>
        <v>7.6877715082819007</v>
      </c>
      <c r="O28" s="198">
        <f t="shared" si="8"/>
        <v>1.4040978545979179</v>
      </c>
      <c r="P28" s="198">
        <f t="shared" si="8"/>
        <v>196.97652574205131</v>
      </c>
      <c r="R28" s="198">
        <f t="shared" ref="R28:W37" si="9">VLOOKUP($A28,bottb_Loadings,$G$617,FALSE)*VLOOKUP($A28,bottb_luacres,R$25+2,FALSE)/lb_mton</f>
        <v>7.4330357864322449</v>
      </c>
      <c r="S28" s="198">
        <f t="shared" si="9"/>
        <v>7.9247696432547841</v>
      </c>
      <c r="T28" s="198">
        <f t="shared" si="9"/>
        <v>3.8967814027770116</v>
      </c>
      <c r="U28" s="198">
        <f t="shared" si="9"/>
        <v>0.78784966748762486</v>
      </c>
      <c r="V28" s="198">
        <f t="shared" si="9"/>
        <v>0.14389319800586528</v>
      </c>
      <c r="W28" s="198">
        <f t="shared" si="9"/>
        <v>20.186329697957529</v>
      </c>
    </row>
    <row r="29" spans="1:23">
      <c r="A29" s="784">
        <v>2</v>
      </c>
      <c r="B29" t="str">
        <f t="shared" si="5"/>
        <v>Residential Medium Density</v>
      </c>
      <c r="C29" s="777">
        <f t="shared" si="6"/>
        <v>2</v>
      </c>
      <c r="D29" s="196">
        <f t="shared" si="7"/>
        <v>9255.8810287086453</v>
      </c>
      <c r="E29" s="196">
        <f t="shared" si="7"/>
        <v>63813.271378838894</v>
      </c>
      <c r="F29" s="196">
        <f t="shared" si="7"/>
        <v>4361.0778882149125</v>
      </c>
      <c r="G29" s="196">
        <f t="shared" si="7"/>
        <v>948.55413625076915</v>
      </c>
      <c r="H29" s="196">
        <f t="shared" si="7"/>
        <v>3734.3474242267234</v>
      </c>
      <c r="I29" s="196">
        <f t="shared" si="7"/>
        <v>82113.131856239954</v>
      </c>
      <c r="K29" s="198">
        <f t="shared" si="8"/>
        <v>13.906088881792558</v>
      </c>
      <c r="L29" s="198">
        <f t="shared" si="8"/>
        <v>95.873425866180284</v>
      </c>
      <c r="M29" s="198">
        <f t="shared" si="8"/>
        <v>6.552108496839427</v>
      </c>
      <c r="N29" s="198">
        <f t="shared" si="8"/>
        <v>1.4251131887912232</v>
      </c>
      <c r="O29" s="198">
        <f t="shared" si="8"/>
        <v>5.6105050438440074</v>
      </c>
      <c r="P29" s="198">
        <f t="shared" si="8"/>
        <v>123.36724147744752</v>
      </c>
      <c r="R29" s="198">
        <f t="shared" si="9"/>
        <v>2.7993200069998263</v>
      </c>
      <c r="S29" s="198">
        <f t="shared" si="9"/>
        <v>19.299488263605696</v>
      </c>
      <c r="T29" s="198">
        <f t="shared" si="9"/>
        <v>1.3189508969161623</v>
      </c>
      <c r="U29" s="198">
        <f t="shared" si="9"/>
        <v>0.28687777674468212</v>
      </c>
      <c r="V29" s="198">
        <f t="shared" si="9"/>
        <v>1.1294044754143298</v>
      </c>
      <c r="W29" s="198">
        <f t="shared" si="9"/>
        <v>24.834041419680698</v>
      </c>
    </row>
    <row r="30" spans="1:23">
      <c r="A30" s="784">
        <v>3</v>
      </c>
      <c r="B30" t="str">
        <f t="shared" si="5"/>
        <v>Residential High Density</v>
      </c>
      <c r="C30" s="777">
        <f t="shared" si="6"/>
        <v>3</v>
      </c>
      <c r="D30" s="196">
        <f t="shared" si="7"/>
        <v>7406.5034627085543</v>
      </c>
      <c r="E30" s="196">
        <f t="shared" si="7"/>
        <v>26266.110012137065</v>
      </c>
      <c r="F30" s="196">
        <f t="shared" si="7"/>
        <v>1206.6438466645998</v>
      </c>
      <c r="G30" s="196">
        <f t="shared" si="7"/>
        <v>180.36862060804455</v>
      </c>
      <c r="H30" s="196">
        <f t="shared" si="7"/>
        <v>236.32835317621743</v>
      </c>
      <c r="I30" s="196">
        <f t="shared" si="7"/>
        <v>35295.954295294476</v>
      </c>
      <c r="K30" s="198">
        <f t="shared" si="8"/>
        <v>13.561730071651896</v>
      </c>
      <c r="L30" s="198">
        <f t="shared" si="8"/>
        <v>48.094744815882251</v>
      </c>
      <c r="M30" s="198">
        <f t="shared" si="8"/>
        <v>2.2094336718369201</v>
      </c>
      <c r="N30" s="198">
        <f t="shared" si="8"/>
        <v>0.33026522682377146</v>
      </c>
      <c r="O30" s="198">
        <f t="shared" si="8"/>
        <v>0.43273068731973613</v>
      </c>
      <c r="P30" s="198">
        <f t="shared" si="8"/>
        <v>64.628904473514581</v>
      </c>
      <c r="R30" s="198">
        <f t="shared" si="9"/>
        <v>3.8999999662853408</v>
      </c>
      <c r="S30" s="198">
        <f t="shared" si="9"/>
        <v>13.83079460875863</v>
      </c>
      <c r="T30" s="198">
        <f t="shared" si="9"/>
        <v>0.63537551626140798</v>
      </c>
      <c r="U30" s="198">
        <f t="shared" si="9"/>
        <v>9.4975668050664819E-2</v>
      </c>
      <c r="V30" s="198">
        <f t="shared" si="9"/>
        <v>0.12444206285194392</v>
      </c>
      <c r="W30" s="198">
        <f t="shared" si="9"/>
        <v>18.585587822207987</v>
      </c>
    </row>
    <row r="31" spans="1:23">
      <c r="A31" s="784">
        <v>4</v>
      </c>
      <c r="B31" t="str">
        <f t="shared" si="5"/>
        <v>Commercial and Services</v>
      </c>
      <c r="C31" s="777">
        <f t="shared" si="6"/>
        <v>4</v>
      </c>
      <c r="D31" s="196">
        <f t="shared" si="7"/>
        <v>2462.9890090043127</v>
      </c>
      <c r="E31" s="196">
        <f t="shared" si="7"/>
        <v>20890.1403873079</v>
      </c>
      <c r="F31" s="196">
        <f t="shared" si="7"/>
        <v>2101.5824197366019</v>
      </c>
      <c r="G31" s="196">
        <f t="shared" si="7"/>
        <v>582.73647146476128</v>
      </c>
      <c r="H31" s="196">
        <f t="shared" si="7"/>
        <v>1306.2564368426545</v>
      </c>
      <c r="I31" s="196">
        <f t="shared" si="7"/>
        <v>27343.70472435623</v>
      </c>
      <c r="K31" s="198">
        <f t="shared" si="8"/>
        <v>4.1340505122194013</v>
      </c>
      <c r="L31" s="198">
        <f t="shared" si="8"/>
        <v>35.063451461928224</v>
      </c>
      <c r="M31" s="198">
        <f t="shared" si="8"/>
        <v>3.5274407831383776</v>
      </c>
      <c r="N31" s="198">
        <f t="shared" si="8"/>
        <v>0.9781050583419818</v>
      </c>
      <c r="O31" s="198">
        <f t="shared" si="8"/>
        <v>2.1925108362551406</v>
      </c>
      <c r="P31" s="198">
        <f t="shared" si="8"/>
        <v>45.895558651883135</v>
      </c>
      <c r="R31" s="198">
        <f t="shared" si="9"/>
        <v>0.60523025206243453</v>
      </c>
      <c r="S31" s="198">
        <f t="shared" si="9"/>
        <v>5.1333338825337274</v>
      </c>
      <c r="T31" s="198">
        <f t="shared" si="9"/>
        <v>0.51642181632851025</v>
      </c>
      <c r="U31" s="198">
        <f t="shared" si="9"/>
        <v>0.14319582435049902</v>
      </c>
      <c r="V31" s="198">
        <f t="shared" si="9"/>
        <v>0.32098637453849604</v>
      </c>
      <c r="W31" s="198">
        <f t="shared" si="9"/>
        <v>6.7191681498136671</v>
      </c>
    </row>
    <row r="32" spans="1:23">
      <c r="A32" s="784">
        <v>5</v>
      </c>
      <c r="B32" t="str">
        <f t="shared" si="5"/>
        <v>Industrial</v>
      </c>
      <c r="C32" s="777">
        <f t="shared" si="6"/>
        <v>4</v>
      </c>
      <c r="D32" s="196">
        <f t="shared" si="7"/>
        <v>93.03700320330347</v>
      </c>
      <c r="E32" s="196">
        <f t="shared" si="7"/>
        <v>2237.8864940668468</v>
      </c>
      <c r="F32" s="196">
        <f t="shared" si="7"/>
        <v>1443.9681124232213</v>
      </c>
      <c r="G32" s="196">
        <f t="shared" si="7"/>
        <v>766.64076730154648</v>
      </c>
      <c r="H32" s="196">
        <f t="shared" si="7"/>
        <v>4098.492826123208</v>
      </c>
      <c r="I32" s="196">
        <f t="shared" si="7"/>
        <v>8640.0252031181262</v>
      </c>
      <c r="K32" s="198">
        <f t="shared" si="8"/>
        <v>0.13361259351949623</v>
      </c>
      <c r="L32" s="198">
        <f t="shared" si="8"/>
        <v>3.21388058707277</v>
      </c>
      <c r="M32" s="198">
        <f t="shared" si="8"/>
        <v>2.0737160249962527</v>
      </c>
      <c r="N32" s="198">
        <f t="shared" si="8"/>
        <v>1.1009905488153033</v>
      </c>
      <c r="O32" s="198">
        <f t="shared" si="8"/>
        <v>5.8859404018285009</v>
      </c>
      <c r="P32" s="198">
        <f t="shared" si="8"/>
        <v>12.408140156232324</v>
      </c>
      <c r="R32" s="198">
        <f t="shared" si="9"/>
        <v>3.6886558217092295E-2</v>
      </c>
      <c r="S32" s="198">
        <f t="shared" si="9"/>
        <v>0.88725912921183026</v>
      </c>
      <c r="T32" s="198">
        <f t="shared" si="9"/>
        <v>0.57249279328284308</v>
      </c>
      <c r="U32" s="198">
        <f t="shared" si="9"/>
        <v>0.30395152811264131</v>
      </c>
      <c r="V32" s="198">
        <f t="shared" si="9"/>
        <v>1.6249372725685656</v>
      </c>
      <c r="W32" s="198">
        <f t="shared" si="9"/>
        <v>3.4255272813929727</v>
      </c>
    </row>
    <row r="33" spans="1:23">
      <c r="A33" s="784">
        <v>6</v>
      </c>
      <c r="B33" t="str">
        <f t="shared" si="5"/>
        <v>Extractive</v>
      </c>
      <c r="C33" s="777">
        <f t="shared" si="6"/>
        <v>4</v>
      </c>
      <c r="D33" s="196">
        <f t="shared" si="7"/>
        <v>981.05007262800655</v>
      </c>
      <c r="E33" s="196">
        <f t="shared" si="7"/>
        <v>3696.2867406885566</v>
      </c>
      <c r="F33" s="196">
        <f t="shared" si="7"/>
        <v>62.847030990224226</v>
      </c>
      <c r="G33" s="196">
        <f t="shared" si="7"/>
        <v>1582.6731801316644</v>
      </c>
      <c r="H33" s="196">
        <f t="shared" si="7"/>
        <v>194.55966441558917</v>
      </c>
      <c r="I33" s="196">
        <f t="shared" si="7"/>
        <v>6517.4166888540421</v>
      </c>
      <c r="K33" s="198">
        <f t="shared" si="8"/>
        <v>1.1177342467703211</v>
      </c>
      <c r="L33" s="198">
        <f t="shared" si="8"/>
        <v>4.2112695276433803</v>
      </c>
      <c r="M33" s="198">
        <f t="shared" si="8"/>
        <v>7.160315340218644E-2</v>
      </c>
      <c r="N33" s="198">
        <f t="shared" si="8"/>
        <v>1.803178109083964</v>
      </c>
      <c r="O33" s="198">
        <f t="shared" si="8"/>
        <v>0.22166656527011291</v>
      </c>
      <c r="P33" s="198">
        <f t="shared" si="8"/>
        <v>7.4254516021699661</v>
      </c>
      <c r="R33" s="198">
        <f t="shared" si="9"/>
        <v>0.12122549097938656</v>
      </c>
      <c r="S33" s="198">
        <f t="shared" si="9"/>
        <v>0.45673935249834174</v>
      </c>
      <c r="T33" s="198">
        <f t="shared" si="9"/>
        <v>7.765823988961155E-3</v>
      </c>
      <c r="U33" s="198">
        <f t="shared" si="9"/>
        <v>0.19556630051248924</v>
      </c>
      <c r="V33" s="198">
        <f t="shared" si="9"/>
        <v>2.4041169254882307E-2</v>
      </c>
      <c r="W33" s="198">
        <f t="shared" si="9"/>
        <v>0.80533813723406111</v>
      </c>
    </row>
    <row r="34" spans="1:23">
      <c r="A34" s="784">
        <v>7</v>
      </c>
      <c r="B34" t="str">
        <f t="shared" si="5"/>
        <v>Institutional</v>
      </c>
      <c r="C34" s="777">
        <f t="shared" si="6"/>
        <v>4</v>
      </c>
      <c r="D34" s="196">
        <f t="shared" si="7"/>
        <v>1616.8937633544781</v>
      </c>
      <c r="E34" s="196">
        <f t="shared" si="7"/>
        <v>7289.3739494164702</v>
      </c>
      <c r="F34" s="196">
        <f t="shared" si="7"/>
        <v>701.98780204898549</v>
      </c>
      <c r="G34" s="196">
        <f t="shared" si="7"/>
        <v>348.99698075915961</v>
      </c>
      <c r="H34" s="196">
        <f t="shared" si="7"/>
        <v>610.45462869607957</v>
      </c>
      <c r="I34" s="196">
        <f t="shared" si="7"/>
        <v>10567.707124275172</v>
      </c>
      <c r="K34" s="198">
        <f t="shared" si="8"/>
        <v>1.8421664531856379</v>
      </c>
      <c r="L34" s="198">
        <f t="shared" si="8"/>
        <v>8.3049613145155039</v>
      </c>
      <c r="M34" s="198">
        <f t="shared" si="8"/>
        <v>0.79979180375912717</v>
      </c>
      <c r="N34" s="198">
        <f t="shared" si="8"/>
        <v>0.39762076197497803</v>
      </c>
      <c r="O34" s="198">
        <f t="shared" si="8"/>
        <v>0.69550582954983597</v>
      </c>
      <c r="P34" s="198">
        <f t="shared" si="8"/>
        <v>12.040046162985082</v>
      </c>
      <c r="R34" s="198">
        <f t="shared" si="9"/>
        <v>0.7265266836124703</v>
      </c>
      <c r="S34" s="198">
        <f t="shared" si="9"/>
        <v>3.2753696013357909</v>
      </c>
      <c r="T34" s="198">
        <f t="shared" si="9"/>
        <v>0.31542756940379435</v>
      </c>
      <c r="U34" s="198">
        <f t="shared" si="9"/>
        <v>0.15681649887478066</v>
      </c>
      <c r="V34" s="198">
        <f t="shared" si="9"/>
        <v>0.27429852655397491</v>
      </c>
      <c r="W34" s="198">
        <f t="shared" si="9"/>
        <v>4.748438879780811</v>
      </c>
    </row>
    <row r="35" spans="1:23">
      <c r="A35" s="784">
        <v>8</v>
      </c>
      <c r="B35" t="str">
        <f t="shared" si="5"/>
        <v>Recreational</v>
      </c>
      <c r="C35" s="777">
        <f t="shared" si="6"/>
        <v>4</v>
      </c>
      <c r="D35" s="196">
        <f t="shared" si="7"/>
        <v>4686.0759149761952</v>
      </c>
      <c r="E35" s="196">
        <f t="shared" si="7"/>
        <v>6400.7004506150042</v>
      </c>
      <c r="F35" s="196">
        <f t="shared" si="7"/>
        <v>985.9959961561932</v>
      </c>
      <c r="G35" s="196">
        <f t="shared" si="7"/>
        <v>152.09900029619521</v>
      </c>
      <c r="H35" s="196">
        <f t="shared" si="7"/>
        <v>539.02456131096551</v>
      </c>
      <c r="I35" s="196">
        <f t="shared" si="7"/>
        <v>12763.895923354554</v>
      </c>
      <c r="K35" s="198">
        <f t="shared" si="8"/>
        <v>7.2804006079428909</v>
      </c>
      <c r="L35" s="198">
        <f t="shared" si="8"/>
        <v>9.9442826572634644</v>
      </c>
      <c r="M35" s="198">
        <f t="shared" si="8"/>
        <v>1.5318671699071846</v>
      </c>
      <c r="N35" s="198">
        <f t="shared" si="8"/>
        <v>0.23630467673069069</v>
      </c>
      <c r="O35" s="198">
        <f t="shared" si="8"/>
        <v>0.83744156412891524</v>
      </c>
      <c r="P35" s="198">
        <f t="shared" si="8"/>
        <v>19.830296675973148</v>
      </c>
      <c r="R35" s="198">
        <f t="shared" si="9"/>
        <v>1.1485184305494329</v>
      </c>
      <c r="S35" s="198">
        <f t="shared" si="9"/>
        <v>1.5687587161068721</v>
      </c>
      <c r="T35" s="198">
        <f t="shared" si="9"/>
        <v>0.2416594597655144</v>
      </c>
      <c r="U35" s="198">
        <f t="shared" si="9"/>
        <v>3.7278206388001132E-2</v>
      </c>
      <c r="V35" s="198">
        <f t="shared" si="9"/>
        <v>0.13211045967180229</v>
      </c>
      <c r="W35" s="198">
        <f t="shared" si="9"/>
        <v>3.1283252724816233</v>
      </c>
    </row>
    <row r="36" spans="1:23">
      <c r="A36" s="784">
        <v>9</v>
      </c>
      <c r="B36" t="str">
        <f t="shared" si="5"/>
        <v>Improved Pastures</v>
      </c>
      <c r="C36" s="777">
        <f t="shared" si="6"/>
        <v>5</v>
      </c>
      <c r="D36" s="196">
        <f t="shared" si="7"/>
        <v>6049.6692768543153</v>
      </c>
      <c r="E36" s="196">
        <f t="shared" si="7"/>
        <v>50054.578465258463</v>
      </c>
      <c r="F36" s="196">
        <f t="shared" si="7"/>
        <v>127140.5701838243</v>
      </c>
      <c r="G36" s="196">
        <f t="shared" si="7"/>
        <v>84230.341712564943</v>
      </c>
      <c r="H36" s="196">
        <f t="shared" si="7"/>
        <v>1823.1243118702221</v>
      </c>
      <c r="I36" s="196">
        <f t="shared" si="7"/>
        <v>269298.28395037225</v>
      </c>
      <c r="K36" s="198">
        <f t="shared" si="8"/>
        <v>13.661990169569309</v>
      </c>
      <c r="L36" s="198">
        <f t="shared" si="8"/>
        <v>113.03843691929553</v>
      </c>
      <c r="M36" s="198">
        <f t="shared" si="8"/>
        <v>287.12201287605592</v>
      </c>
      <c r="N36" s="198">
        <f t="shared" si="8"/>
        <v>190.21768757826888</v>
      </c>
      <c r="O36" s="198">
        <f t="shared" si="8"/>
        <v>4.1171682759532766</v>
      </c>
      <c r="P36" s="198">
        <f t="shared" si="8"/>
        <v>608.15729581914297</v>
      </c>
      <c r="R36" s="198">
        <f t="shared" si="9"/>
        <v>1.9821135203008629</v>
      </c>
      <c r="S36" s="198">
        <f t="shared" si="9"/>
        <v>16.399881082513996</v>
      </c>
      <c r="T36" s="198">
        <f t="shared" si="9"/>
        <v>41.656333860147242</v>
      </c>
      <c r="U36" s="198">
        <f t="shared" si="9"/>
        <v>27.597227466101895</v>
      </c>
      <c r="V36" s="198">
        <f t="shared" si="9"/>
        <v>0.59732841290560268</v>
      </c>
      <c r="W36" s="198">
        <f t="shared" si="9"/>
        <v>88.232884341969608</v>
      </c>
    </row>
    <row r="37" spans="1:23">
      <c r="A37" s="784">
        <v>10</v>
      </c>
      <c r="B37" t="str">
        <f t="shared" si="5"/>
        <v>Unimproved Pastures</v>
      </c>
      <c r="C37" s="777">
        <f t="shared" si="6"/>
        <v>6</v>
      </c>
      <c r="D37" s="196">
        <f t="shared" si="7"/>
        <v>905.68889983308156</v>
      </c>
      <c r="E37" s="196">
        <f t="shared" si="7"/>
        <v>9311.6147202079064</v>
      </c>
      <c r="F37" s="196">
        <f t="shared" si="7"/>
        <v>24268.159353385559</v>
      </c>
      <c r="G37" s="196">
        <f t="shared" si="7"/>
        <v>10972.834198371302</v>
      </c>
      <c r="H37" s="196">
        <f t="shared" si="7"/>
        <v>0</v>
      </c>
      <c r="I37" s="196">
        <f t="shared" si="7"/>
        <v>45458.297171797858</v>
      </c>
      <c r="K37" s="198">
        <f t="shared" si="8"/>
        <v>1.2161365386782599</v>
      </c>
      <c r="L37" s="198">
        <f t="shared" si="8"/>
        <v>12.503404753471337</v>
      </c>
      <c r="M37" s="198">
        <f t="shared" si="8"/>
        <v>32.586681057433807</v>
      </c>
      <c r="N37" s="198">
        <f t="shared" si="8"/>
        <v>14.734048969747887</v>
      </c>
      <c r="O37" s="198">
        <f t="shared" si="8"/>
        <v>0</v>
      </c>
      <c r="P37" s="198">
        <f t="shared" si="8"/>
        <v>61.040271319331303</v>
      </c>
      <c r="R37" s="198">
        <f t="shared" si="9"/>
        <v>0.18313090535821688</v>
      </c>
      <c r="S37" s="198">
        <f t="shared" si="9"/>
        <v>1.8828147660558168</v>
      </c>
      <c r="T37" s="198">
        <f t="shared" si="9"/>
        <v>4.9070381613179217</v>
      </c>
      <c r="U37" s="198">
        <f t="shared" si="9"/>
        <v>2.2187144630608642</v>
      </c>
      <c r="V37" s="198">
        <f t="shared" si="9"/>
        <v>0</v>
      </c>
      <c r="W37" s="198">
        <f t="shared" si="9"/>
        <v>9.1916982957928219</v>
      </c>
    </row>
    <row r="38" spans="1:23">
      <c r="A38" s="784">
        <v>11</v>
      </c>
      <c r="B38" t="str">
        <f t="shared" si="5"/>
        <v>Woodland Pastures</v>
      </c>
      <c r="C38" s="777">
        <f t="shared" si="6"/>
        <v>7</v>
      </c>
      <c r="D38" s="196">
        <f t="shared" si="7"/>
        <v>284.48527556879958</v>
      </c>
      <c r="E38" s="196">
        <f t="shared" si="7"/>
        <v>8035.3039995386707</v>
      </c>
      <c r="F38" s="196">
        <f t="shared" si="7"/>
        <v>19064.274539772156</v>
      </c>
      <c r="G38" s="196">
        <f t="shared" si="7"/>
        <v>11329.132414552842</v>
      </c>
      <c r="H38" s="196">
        <f t="shared" si="7"/>
        <v>0</v>
      </c>
      <c r="I38" s="196">
        <f t="shared" si="7"/>
        <v>38713.196229432469</v>
      </c>
      <c r="K38" s="198">
        <f t="shared" ref="K38:P47" si="10">VLOOKUP($A38,bottb_Loadings,$G$616,FALSE)*VLOOKUP($A38,bottb_luacres,K$25+2,FALSE)/lb_mton</f>
        <v>0.28476345413281595</v>
      </c>
      <c r="L38" s="198">
        <f t="shared" si="10"/>
        <v>8.0431611700848702</v>
      </c>
      <c r="M38" s="198">
        <f t="shared" si="10"/>
        <v>19.082916181259169</v>
      </c>
      <c r="N38" s="198">
        <f t="shared" si="10"/>
        <v>11.340210393124245</v>
      </c>
      <c r="O38" s="198">
        <f t="shared" si="10"/>
        <v>0</v>
      </c>
      <c r="P38" s="198">
        <f t="shared" si="10"/>
        <v>38.751051198601097</v>
      </c>
      <c r="R38" s="198">
        <f t="shared" ref="R38:W47" si="11">VLOOKUP($A38,bottb_Loadings,$G$617,FALSE)*VLOOKUP($A38,bottb_luacres,R$25+2,FALSE)/lb_mton</f>
        <v>4.7935928556334079E-2</v>
      </c>
      <c r="S38" s="198">
        <f t="shared" si="11"/>
        <v>1.3539532324834147</v>
      </c>
      <c r="T38" s="198">
        <f t="shared" si="11"/>
        <v>3.2123409568023464</v>
      </c>
      <c r="U38" s="198">
        <f t="shared" si="11"/>
        <v>1.9089651685607802</v>
      </c>
      <c r="V38" s="198">
        <f t="shared" si="11"/>
        <v>0</v>
      </c>
      <c r="W38" s="198">
        <f t="shared" si="11"/>
        <v>6.523195286402875</v>
      </c>
    </row>
    <row r="39" spans="1:23">
      <c r="A39" s="784">
        <v>12</v>
      </c>
      <c r="B39" t="str">
        <f t="shared" si="5"/>
        <v>Rangeland</v>
      </c>
      <c r="C39" s="777">
        <f t="shared" si="6"/>
        <v>7</v>
      </c>
      <c r="D39" s="196">
        <f t="shared" si="7"/>
        <v>18169.747911197792</v>
      </c>
      <c r="E39" s="196">
        <f t="shared" si="7"/>
        <v>29667.211702727731</v>
      </c>
      <c r="F39" s="196">
        <f t="shared" si="7"/>
        <v>32780.157261468841</v>
      </c>
      <c r="G39" s="196">
        <f t="shared" si="7"/>
        <v>7726.1290871943238</v>
      </c>
      <c r="H39" s="196">
        <f t="shared" si="7"/>
        <v>423.46830319747392</v>
      </c>
      <c r="I39" s="196">
        <f t="shared" si="7"/>
        <v>88766.714265786155</v>
      </c>
      <c r="K39" s="198">
        <f t="shared" si="10"/>
        <v>22.734393570854188</v>
      </c>
      <c r="L39" s="198">
        <f t="shared" si="10"/>
        <v>37.120276533060668</v>
      </c>
      <c r="M39" s="198">
        <f t="shared" si="10"/>
        <v>41.015263400404471</v>
      </c>
      <c r="N39" s="198">
        <f t="shared" si="10"/>
        <v>9.667104921100746</v>
      </c>
      <c r="O39" s="198">
        <f t="shared" si="10"/>
        <v>0.52985297961894118</v>
      </c>
      <c r="P39" s="198">
        <f t="shared" si="10"/>
        <v>111.066891405039</v>
      </c>
      <c r="R39" s="198">
        <f t="shared" si="11"/>
        <v>1.1481047692402533</v>
      </c>
      <c r="S39" s="198">
        <f t="shared" si="11"/>
        <v>1.8746031817519357</v>
      </c>
      <c r="T39" s="198">
        <f t="shared" si="11"/>
        <v>2.0713030842405842</v>
      </c>
      <c r="U39" s="198">
        <f t="shared" si="11"/>
        <v>0.4881964073539472</v>
      </c>
      <c r="V39" s="198">
        <f t="shared" si="11"/>
        <v>2.6757992510367579E-2</v>
      </c>
      <c r="W39" s="198">
        <f t="shared" si="11"/>
        <v>5.6089654350970877</v>
      </c>
    </row>
    <row r="40" spans="1:23">
      <c r="A40" s="784">
        <v>13</v>
      </c>
      <c r="B40" t="str">
        <f t="shared" si="5"/>
        <v>Row Crops</v>
      </c>
      <c r="C40" s="777">
        <f t="shared" si="6"/>
        <v>8</v>
      </c>
      <c r="D40" s="196">
        <f t="shared" si="7"/>
        <v>1577.5828224669083</v>
      </c>
      <c r="E40" s="196">
        <f t="shared" si="7"/>
        <v>5014.3055730719216</v>
      </c>
      <c r="F40" s="196">
        <f t="shared" si="7"/>
        <v>17073.446289555224</v>
      </c>
      <c r="G40" s="196">
        <f t="shared" si="7"/>
        <v>2884.8622495284594</v>
      </c>
      <c r="H40" s="196">
        <f t="shared" si="7"/>
        <v>0</v>
      </c>
      <c r="I40" s="196">
        <f t="shared" si="7"/>
        <v>26550.196934622509</v>
      </c>
      <c r="K40" s="198">
        <f t="shared" si="10"/>
        <v>4.1266344044205132</v>
      </c>
      <c r="L40" s="198">
        <f t="shared" si="10"/>
        <v>13.116399086901287</v>
      </c>
      <c r="M40" s="198">
        <f t="shared" si="10"/>
        <v>44.660647832315149</v>
      </c>
      <c r="N40" s="198">
        <f t="shared" si="10"/>
        <v>7.5462103424163116</v>
      </c>
      <c r="O40" s="198">
        <f t="shared" si="10"/>
        <v>0</v>
      </c>
      <c r="P40" s="198">
        <f t="shared" si="10"/>
        <v>69.449891666053247</v>
      </c>
      <c r="R40" s="198">
        <f t="shared" si="11"/>
        <v>0.79114163916067382</v>
      </c>
      <c r="S40" s="198">
        <f t="shared" si="11"/>
        <v>2.51462292428443</v>
      </c>
      <c r="T40" s="198">
        <f t="shared" si="11"/>
        <v>8.5621585702349279</v>
      </c>
      <c r="U40" s="198">
        <f t="shared" si="11"/>
        <v>1.4467288920373429</v>
      </c>
      <c r="V40" s="198">
        <f t="shared" si="11"/>
        <v>0</v>
      </c>
      <c r="W40" s="198">
        <f t="shared" si="11"/>
        <v>13.314652025717374</v>
      </c>
    </row>
    <row r="41" spans="1:23">
      <c r="A41" s="784">
        <v>14</v>
      </c>
      <c r="B41" t="str">
        <f t="shared" si="5"/>
        <v>Sugar Cane</v>
      </c>
      <c r="C41" s="777">
        <f t="shared" si="6"/>
        <v>9</v>
      </c>
      <c r="D41" s="196">
        <f t="shared" si="7"/>
        <v>0</v>
      </c>
      <c r="E41" s="196">
        <f t="shared" si="7"/>
        <v>0</v>
      </c>
      <c r="F41" s="196">
        <f t="shared" si="7"/>
        <v>4711.0517035181447</v>
      </c>
      <c r="G41" s="196">
        <f t="shared" si="7"/>
        <v>132523.06747302506</v>
      </c>
      <c r="H41" s="196">
        <f t="shared" si="7"/>
        <v>75680.425137383558</v>
      </c>
      <c r="I41" s="196">
        <f t="shared" si="7"/>
        <v>212914.54431392674</v>
      </c>
      <c r="K41" s="198">
        <f t="shared" si="10"/>
        <v>0</v>
      </c>
      <c r="L41" s="198">
        <f t="shared" si="10"/>
        <v>0</v>
      </c>
      <c r="M41" s="198">
        <f t="shared" si="10"/>
        <v>7.667737100196101</v>
      </c>
      <c r="N41" s="198">
        <f t="shared" si="10"/>
        <v>215.69537017304606</v>
      </c>
      <c r="O41" s="198">
        <f t="shared" si="10"/>
        <v>123.17793140567143</v>
      </c>
      <c r="P41" s="198">
        <f t="shared" si="10"/>
        <v>346.54103867891359</v>
      </c>
      <c r="R41" s="198">
        <f t="shared" si="11"/>
        <v>0</v>
      </c>
      <c r="S41" s="198">
        <f t="shared" si="11"/>
        <v>0</v>
      </c>
      <c r="T41" s="198">
        <f t="shared" si="11"/>
        <v>0.44100825299212204</v>
      </c>
      <c r="U41" s="198">
        <f t="shared" si="11"/>
        <v>12.405672903948592</v>
      </c>
      <c r="V41" s="198">
        <f t="shared" si="11"/>
        <v>7.0845522774912713</v>
      </c>
      <c r="W41" s="198">
        <f t="shared" si="11"/>
        <v>19.931233434431984</v>
      </c>
    </row>
    <row r="42" spans="1:23">
      <c r="A42" s="784">
        <v>15</v>
      </c>
      <c r="B42" t="str">
        <f t="shared" si="5"/>
        <v>Citrus</v>
      </c>
      <c r="C42" s="777">
        <f t="shared" si="6"/>
        <v>10</v>
      </c>
      <c r="D42" s="196">
        <f t="shared" si="7"/>
        <v>442.41596134648785</v>
      </c>
      <c r="E42" s="196">
        <f t="shared" si="7"/>
        <v>1921.8172493416425</v>
      </c>
      <c r="F42" s="196">
        <f t="shared" si="7"/>
        <v>157954.44038095439</v>
      </c>
      <c r="G42" s="196">
        <f t="shared" si="7"/>
        <v>60869.840604038509</v>
      </c>
      <c r="H42" s="196">
        <f t="shared" si="7"/>
        <v>150.29978161353264</v>
      </c>
      <c r="I42" s="196">
        <f t="shared" si="7"/>
        <v>221338.81397729457</v>
      </c>
      <c r="K42" s="198">
        <f t="shared" si="10"/>
        <v>0.76508391064296233</v>
      </c>
      <c r="L42" s="198">
        <f t="shared" si="10"/>
        <v>3.3234593349489634</v>
      </c>
      <c r="M42" s="198">
        <f t="shared" si="10"/>
        <v>273.15560808945617</v>
      </c>
      <c r="N42" s="198">
        <f t="shared" si="10"/>
        <v>105.26413999127578</v>
      </c>
      <c r="O42" s="198">
        <f t="shared" si="10"/>
        <v>0.25991816465140205</v>
      </c>
      <c r="P42" s="198">
        <f t="shared" si="10"/>
        <v>382.76820949097527</v>
      </c>
      <c r="R42" s="198">
        <f t="shared" si="11"/>
        <v>6.7299679889578135E-2</v>
      </c>
      <c r="S42" s="198">
        <f t="shared" si="11"/>
        <v>0.29234407658648737</v>
      </c>
      <c r="T42" s="198">
        <f t="shared" si="11"/>
        <v>24.027802347868597</v>
      </c>
      <c r="U42" s="198">
        <f t="shared" si="11"/>
        <v>9.2594326278684047</v>
      </c>
      <c r="V42" s="198">
        <f t="shared" si="11"/>
        <v>2.2863386662811565E-2</v>
      </c>
      <c r="W42" s="198">
        <f t="shared" si="11"/>
        <v>33.669742118875881</v>
      </c>
    </row>
    <row r="43" spans="1:23">
      <c r="A43" s="784">
        <v>16</v>
      </c>
      <c r="B43" t="str">
        <f t="shared" si="5"/>
        <v>Sod</v>
      </c>
      <c r="C43" s="777">
        <f t="shared" si="6"/>
        <v>11</v>
      </c>
      <c r="D43" s="196">
        <f t="shared" si="7"/>
        <v>0</v>
      </c>
      <c r="E43" s="196">
        <f t="shared" si="7"/>
        <v>3286.0942409815229</v>
      </c>
      <c r="F43" s="196">
        <f t="shared" si="7"/>
        <v>7656.5011929223801</v>
      </c>
      <c r="G43" s="196">
        <f t="shared" si="7"/>
        <v>661.94679836816499</v>
      </c>
      <c r="H43" s="196">
        <f t="shared" si="7"/>
        <v>0</v>
      </c>
      <c r="I43" s="196">
        <f t="shared" si="7"/>
        <v>11604.542232272068</v>
      </c>
      <c r="K43" s="198">
        <f t="shared" si="10"/>
        <v>0</v>
      </c>
      <c r="L43" s="198">
        <f t="shared" si="10"/>
        <v>6.0170258895556907</v>
      </c>
      <c r="M43" s="198">
        <f t="shared" si="10"/>
        <v>14.019490167594078</v>
      </c>
      <c r="N43" s="198">
        <f t="shared" si="10"/>
        <v>1.2120623242077446</v>
      </c>
      <c r="O43" s="198">
        <f t="shared" si="10"/>
        <v>0</v>
      </c>
      <c r="P43" s="198">
        <f t="shared" si="10"/>
        <v>21.248578381357511</v>
      </c>
      <c r="R43" s="198">
        <f t="shared" si="11"/>
        <v>0</v>
      </c>
      <c r="S43" s="198">
        <f t="shared" si="11"/>
        <v>1.5534605851316625</v>
      </c>
      <c r="T43" s="198">
        <f t="shared" si="11"/>
        <v>3.6195166513745001</v>
      </c>
      <c r="U43" s="198">
        <f t="shared" si="11"/>
        <v>0.31292719724675178</v>
      </c>
      <c r="V43" s="198">
        <f t="shared" si="11"/>
        <v>0</v>
      </c>
      <c r="W43" s="198">
        <f t="shared" si="11"/>
        <v>5.4859044337529141</v>
      </c>
    </row>
    <row r="44" spans="1:23">
      <c r="A44" s="784">
        <v>17</v>
      </c>
      <c r="B44" t="str">
        <f t="shared" si="5"/>
        <v>Ornamentals</v>
      </c>
      <c r="C44" s="777">
        <f t="shared" si="6"/>
        <v>12</v>
      </c>
      <c r="D44" s="196">
        <f t="shared" ref="D44:I59" si="12">VLOOKUP($A44,bottb_Loadings,5,FALSE)*VLOOKUP($A44,bottb_luacres,D$25+2,FALSE)/12</f>
        <v>401.54981349673136</v>
      </c>
      <c r="E44" s="196">
        <f t="shared" si="12"/>
        <v>687.28362129613026</v>
      </c>
      <c r="F44" s="196">
        <f t="shared" si="12"/>
        <v>844.65345553260579</v>
      </c>
      <c r="G44" s="196">
        <f t="shared" si="12"/>
        <v>36.701761057141049</v>
      </c>
      <c r="H44" s="196">
        <f t="shared" si="12"/>
        <v>0</v>
      </c>
      <c r="I44" s="196">
        <f t="shared" si="12"/>
        <v>1970.1886513826084</v>
      </c>
      <c r="K44" s="198">
        <f t="shared" si="10"/>
        <v>0.98034746685958984</v>
      </c>
      <c r="L44" s="198">
        <f t="shared" si="10"/>
        <v>1.6779406551940323</v>
      </c>
      <c r="M44" s="198">
        <f t="shared" si="10"/>
        <v>2.0621448390047119</v>
      </c>
      <c r="N44" s="198">
        <f t="shared" si="10"/>
        <v>8.9604022395958716E-2</v>
      </c>
      <c r="O44" s="198">
        <f t="shared" si="10"/>
        <v>0</v>
      </c>
      <c r="P44" s="198">
        <f t="shared" si="10"/>
        <v>4.8100369834542924</v>
      </c>
      <c r="R44" s="198">
        <f t="shared" si="11"/>
        <v>0.27252495799454629</v>
      </c>
      <c r="S44" s="198">
        <f t="shared" si="11"/>
        <v>0.46644758316041962</v>
      </c>
      <c r="T44" s="198">
        <f t="shared" si="11"/>
        <v>0.57325178533757559</v>
      </c>
      <c r="U44" s="198">
        <f t="shared" si="11"/>
        <v>2.4908854528716287E-2</v>
      </c>
      <c r="V44" s="198">
        <f t="shared" si="11"/>
        <v>0</v>
      </c>
      <c r="W44" s="198">
        <f t="shared" si="11"/>
        <v>1.3371331810212577</v>
      </c>
    </row>
    <row r="45" spans="1:23">
      <c r="A45" s="784">
        <v>18</v>
      </c>
      <c r="B45" t="str">
        <f t="shared" si="5"/>
        <v>Horse Farms</v>
      </c>
      <c r="C45" s="777">
        <f t="shared" si="6"/>
        <v>13</v>
      </c>
      <c r="D45" s="196">
        <f t="shared" si="12"/>
        <v>0</v>
      </c>
      <c r="E45" s="196">
        <f t="shared" si="12"/>
        <v>46.321213495863951</v>
      </c>
      <c r="F45" s="196">
        <f t="shared" si="12"/>
        <v>73.122292302858611</v>
      </c>
      <c r="G45" s="196">
        <f t="shared" si="12"/>
        <v>266.60543846268064</v>
      </c>
      <c r="H45" s="196">
        <f t="shared" si="12"/>
        <v>0</v>
      </c>
      <c r="I45" s="196">
        <f t="shared" si="12"/>
        <v>386.04894426140322</v>
      </c>
      <c r="K45" s="198">
        <f t="shared" si="10"/>
        <v>0</v>
      </c>
      <c r="L45" s="198">
        <f t="shared" si="10"/>
        <v>0.180942469546542</v>
      </c>
      <c r="M45" s="198">
        <f t="shared" si="10"/>
        <v>0.28563431632387476</v>
      </c>
      <c r="N45" s="198">
        <f t="shared" si="10"/>
        <v>1.0414288139123016</v>
      </c>
      <c r="O45" s="198">
        <f t="shared" si="10"/>
        <v>0</v>
      </c>
      <c r="P45" s="198">
        <f t="shared" si="10"/>
        <v>1.5080055997827184</v>
      </c>
      <c r="R45" s="198">
        <f t="shared" si="11"/>
        <v>0</v>
      </c>
      <c r="S45" s="198">
        <f t="shared" si="11"/>
        <v>2.3675623075982727E-2</v>
      </c>
      <c r="T45" s="198">
        <f t="shared" si="11"/>
        <v>3.7374146753925072E-2</v>
      </c>
      <c r="U45" s="198">
        <f t="shared" si="11"/>
        <v>0.13626693678077201</v>
      </c>
      <c r="V45" s="198">
        <f t="shared" si="11"/>
        <v>0</v>
      </c>
      <c r="W45" s="198">
        <f t="shared" si="11"/>
        <v>0.19731670661067982</v>
      </c>
    </row>
    <row r="46" spans="1:23">
      <c r="A46" s="784">
        <v>19</v>
      </c>
      <c r="B46" t="str">
        <f t="shared" si="5"/>
        <v>Dairies</v>
      </c>
      <c r="C46" s="777">
        <f t="shared" si="6"/>
        <v>14</v>
      </c>
      <c r="D46" s="196">
        <f t="shared" si="12"/>
        <v>0</v>
      </c>
      <c r="E46" s="196">
        <f t="shared" si="12"/>
        <v>72.288919252781128</v>
      </c>
      <c r="F46" s="196">
        <f t="shared" si="12"/>
        <v>0</v>
      </c>
      <c r="G46" s="196">
        <f t="shared" si="12"/>
        <v>34.448897276430124</v>
      </c>
      <c r="H46" s="196">
        <f t="shared" si="12"/>
        <v>0</v>
      </c>
      <c r="I46" s="196">
        <f t="shared" si="12"/>
        <v>106.73781652921126</v>
      </c>
      <c r="K46" s="198">
        <f t="shared" si="10"/>
        <v>0</v>
      </c>
      <c r="L46" s="198">
        <f t="shared" si="10"/>
        <v>0.35297368590140454</v>
      </c>
      <c r="M46" s="198">
        <f t="shared" si="10"/>
        <v>0</v>
      </c>
      <c r="N46" s="198">
        <f t="shared" si="10"/>
        <v>0.16820771942074084</v>
      </c>
      <c r="O46" s="198">
        <f t="shared" si="10"/>
        <v>0</v>
      </c>
      <c r="P46" s="198">
        <f t="shared" si="10"/>
        <v>0.52118140532214541</v>
      </c>
      <c r="R46" s="198">
        <f t="shared" si="11"/>
        <v>0</v>
      </c>
      <c r="S46" s="198">
        <f t="shared" si="11"/>
        <v>0.19042531001277668</v>
      </c>
      <c r="T46" s="198">
        <f t="shared" si="11"/>
        <v>0</v>
      </c>
      <c r="U46" s="198">
        <f t="shared" si="11"/>
        <v>9.0746161531666952E-2</v>
      </c>
      <c r="V46" s="198">
        <f t="shared" si="11"/>
        <v>0</v>
      </c>
      <c r="W46" s="198">
        <f t="shared" si="11"/>
        <v>0.28117147154444366</v>
      </c>
    </row>
    <row r="47" spans="1:23">
      <c r="A47" s="784">
        <v>20</v>
      </c>
      <c r="B47" t="str">
        <f t="shared" si="5"/>
        <v>Field Crops</v>
      </c>
      <c r="C47" s="777">
        <f t="shared" si="6"/>
        <v>15</v>
      </c>
      <c r="D47" s="196">
        <f t="shared" si="12"/>
        <v>122.85267923862507</v>
      </c>
      <c r="E47" s="196">
        <f t="shared" si="12"/>
        <v>6664.0891057519902</v>
      </c>
      <c r="F47" s="196">
        <f t="shared" si="12"/>
        <v>2495.0252687192988</v>
      </c>
      <c r="G47" s="196">
        <f t="shared" si="12"/>
        <v>958.36198322468715</v>
      </c>
      <c r="H47" s="196">
        <f t="shared" si="12"/>
        <v>73.110859318263394</v>
      </c>
      <c r="I47" s="196">
        <f t="shared" si="12"/>
        <v>10313.439896252867</v>
      </c>
      <c r="K47" s="198">
        <f t="shared" si="10"/>
        <v>0.19861998141229703</v>
      </c>
      <c r="L47" s="198">
        <f t="shared" si="10"/>
        <v>10.774052812827893</v>
      </c>
      <c r="M47" s="198">
        <f t="shared" si="10"/>
        <v>4.0337897029797389</v>
      </c>
      <c r="N47" s="198">
        <f t="shared" si="10"/>
        <v>1.5494154500660917</v>
      </c>
      <c r="O47" s="198">
        <f t="shared" si="10"/>
        <v>0.11820073936381054</v>
      </c>
      <c r="P47" s="198">
        <f t="shared" si="10"/>
        <v>16.674078686649835</v>
      </c>
      <c r="R47" s="198">
        <f t="shared" si="11"/>
        <v>0.10228203792801324</v>
      </c>
      <c r="S47" s="198">
        <f t="shared" si="11"/>
        <v>5.5482437899969188</v>
      </c>
      <c r="T47" s="198">
        <f t="shared" si="11"/>
        <v>2.0772544054233752</v>
      </c>
      <c r="U47" s="198">
        <f t="shared" si="11"/>
        <v>0.79789238073152891</v>
      </c>
      <c r="V47" s="198">
        <f t="shared" si="11"/>
        <v>6.0869064737410994E-2</v>
      </c>
      <c r="W47" s="198">
        <f t="shared" si="11"/>
        <v>8.5865416788172482</v>
      </c>
    </row>
    <row r="48" spans="1:23">
      <c r="A48" s="784">
        <v>21</v>
      </c>
      <c r="B48" t="str">
        <f t="shared" si="5"/>
        <v>Mixed Crops</v>
      </c>
      <c r="C48" s="777">
        <f t="shared" si="6"/>
        <v>15</v>
      </c>
      <c r="D48" s="196">
        <f t="shared" si="12"/>
        <v>0</v>
      </c>
      <c r="E48" s="196">
        <f t="shared" si="12"/>
        <v>0</v>
      </c>
      <c r="F48" s="196">
        <f t="shared" si="12"/>
        <v>40.041298752886014</v>
      </c>
      <c r="G48" s="196">
        <f t="shared" si="12"/>
        <v>0</v>
      </c>
      <c r="H48" s="196">
        <f t="shared" si="12"/>
        <v>0</v>
      </c>
      <c r="I48" s="196">
        <f t="shared" si="12"/>
        <v>40.041298752886014</v>
      </c>
      <c r="K48" s="198">
        <f t="shared" ref="K48:P57" si="13">VLOOKUP($A48,bottb_Loadings,$G$616,FALSE)*VLOOKUP($A48,bottb_luacres,K$25+2,FALSE)/lb_mton</f>
        <v>0</v>
      </c>
      <c r="L48" s="198">
        <f t="shared" si="13"/>
        <v>0</v>
      </c>
      <c r="M48" s="198">
        <f t="shared" si="13"/>
        <v>8.9610767520892157E-2</v>
      </c>
      <c r="N48" s="198">
        <f t="shared" si="13"/>
        <v>0</v>
      </c>
      <c r="O48" s="198">
        <f t="shared" si="13"/>
        <v>0</v>
      </c>
      <c r="P48" s="198">
        <f t="shared" si="13"/>
        <v>8.9610767520892157E-2</v>
      </c>
      <c r="R48" s="198">
        <f t="shared" ref="R48:W57" si="14">VLOOKUP($A48,bottb_Loadings,$G$617,FALSE)*VLOOKUP($A48,bottb_luacres,R$25+2,FALSE)/lb_mton</f>
        <v>0</v>
      </c>
      <c r="S48" s="198">
        <f t="shared" si="14"/>
        <v>0</v>
      </c>
      <c r="T48" s="198">
        <f t="shared" si="14"/>
        <v>3.2797825796921122E-2</v>
      </c>
      <c r="U48" s="198">
        <f t="shared" si="14"/>
        <v>0</v>
      </c>
      <c r="V48" s="198">
        <f t="shared" si="14"/>
        <v>0</v>
      </c>
      <c r="W48" s="198">
        <f t="shared" si="14"/>
        <v>3.2797825796921122E-2</v>
      </c>
    </row>
    <row r="49" spans="1:23">
      <c r="A49" s="784">
        <v>22</v>
      </c>
      <c r="B49" t="str">
        <f t="shared" si="5"/>
        <v>Fruit Orchards</v>
      </c>
      <c r="C49" s="777">
        <f t="shared" si="6"/>
        <v>15</v>
      </c>
      <c r="D49" s="196">
        <f t="shared" si="12"/>
        <v>0</v>
      </c>
      <c r="E49" s="196">
        <f t="shared" si="12"/>
        <v>0</v>
      </c>
      <c r="F49" s="196">
        <f t="shared" si="12"/>
        <v>0</v>
      </c>
      <c r="G49" s="196">
        <f t="shared" si="12"/>
        <v>0</v>
      </c>
      <c r="H49" s="196">
        <f t="shared" si="12"/>
        <v>0</v>
      </c>
      <c r="I49" s="196">
        <f t="shared" si="12"/>
        <v>0</v>
      </c>
      <c r="K49" s="198">
        <f t="shared" si="13"/>
        <v>0</v>
      </c>
      <c r="L49" s="198">
        <f t="shared" si="13"/>
        <v>0</v>
      </c>
      <c r="M49" s="198">
        <f t="shared" si="13"/>
        <v>0</v>
      </c>
      <c r="N49" s="198">
        <f t="shared" si="13"/>
        <v>0</v>
      </c>
      <c r="O49" s="198">
        <f t="shared" si="13"/>
        <v>0</v>
      </c>
      <c r="P49" s="198">
        <f t="shared" si="13"/>
        <v>0</v>
      </c>
      <c r="R49" s="198">
        <f t="shared" si="14"/>
        <v>0</v>
      </c>
      <c r="S49" s="198">
        <f t="shared" si="14"/>
        <v>0</v>
      </c>
      <c r="T49" s="198">
        <f t="shared" si="14"/>
        <v>0</v>
      </c>
      <c r="U49" s="198">
        <f t="shared" si="14"/>
        <v>0</v>
      </c>
      <c r="V49" s="198">
        <f t="shared" si="14"/>
        <v>0</v>
      </c>
      <c r="W49" s="198">
        <f t="shared" si="14"/>
        <v>0</v>
      </c>
    </row>
    <row r="50" spans="1:23">
      <c r="A50" s="784">
        <v>23</v>
      </c>
      <c r="B50" t="str">
        <f t="shared" si="5"/>
        <v>Other Groves</v>
      </c>
      <c r="C50" s="777">
        <f t="shared" si="6"/>
        <v>15</v>
      </c>
      <c r="D50" s="196">
        <f t="shared" si="12"/>
        <v>4116.6420281636993</v>
      </c>
      <c r="E50" s="196">
        <f t="shared" si="12"/>
        <v>326.45042327976404</v>
      </c>
      <c r="F50" s="196">
        <f t="shared" si="12"/>
        <v>122.43850913229373</v>
      </c>
      <c r="G50" s="196">
        <f t="shared" si="12"/>
        <v>0</v>
      </c>
      <c r="H50" s="196">
        <f t="shared" si="12"/>
        <v>0</v>
      </c>
      <c r="I50" s="196">
        <f t="shared" si="12"/>
        <v>4565.5309605757575</v>
      </c>
      <c r="K50" s="198">
        <f t="shared" si="13"/>
        <v>7.5378062359208222</v>
      </c>
      <c r="L50" s="198">
        <f t="shared" si="13"/>
        <v>0.59774933537634911</v>
      </c>
      <c r="M50" s="198">
        <f t="shared" si="13"/>
        <v>0.22419189022027641</v>
      </c>
      <c r="N50" s="198">
        <f t="shared" si="13"/>
        <v>0</v>
      </c>
      <c r="O50" s="198">
        <f t="shared" si="13"/>
        <v>0</v>
      </c>
      <c r="P50" s="198">
        <f t="shared" si="13"/>
        <v>8.3597474615174487</v>
      </c>
      <c r="R50" s="198">
        <f t="shared" si="14"/>
        <v>2.2158471258450083</v>
      </c>
      <c r="S50" s="198">
        <f t="shared" si="14"/>
        <v>0.17571705948841532</v>
      </c>
      <c r="T50" s="198">
        <f t="shared" si="14"/>
        <v>6.5904447532097218E-2</v>
      </c>
      <c r="U50" s="198">
        <f t="shared" si="14"/>
        <v>0</v>
      </c>
      <c r="V50" s="198">
        <f t="shared" si="14"/>
        <v>0</v>
      </c>
      <c r="W50" s="198">
        <f t="shared" si="14"/>
        <v>2.4574686328655204</v>
      </c>
    </row>
    <row r="51" spans="1:23">
      <c r="A51" s="784">
        <v>24</v>
      </c>
      <c r="B51" t="str">
        <f t="shared" si="5"/>
        <v>Cattle Feeding Operations</v>
      </c>
      <c r="C51" s="777">
        <f t="shared" si="6"/>
        <v>15</v>
      </c>
      <c r="D51" s="196">
        <f t="shared" si="12"/>
        <v>0</v>
      </c>
      <c r="E51" s="196">
        <f t="shared" si="12"/>
        <v>0</v>
      </c>
      <c r="F51" s="196">
        <f t="shared" si="12"/>
        <v>0</v>
      </c>
      <c r="G51" s="196">
        <f t="shared" si="12"/>
        <v>0</v>
      </c>
      <c r="H51" s="196">
        <f t="shared" si="12"/>
        <v>0</v>
      </c>
      <c r="I51" s="196">
        <f t="shared" si="12"/>
        <v>0</v>
      </c>
      <c r="K51" s="198">
        <f t="shared" si="13"/>
        <v>0</v>
      </c>
      <c r="L51" s="198">
        <f t="shared" si="13"/>
        <v>0</v>
      </c>
      <c r="M51" s="198">
        <f t="shared" si="13"/>
        <v>0</v>
      </c>
      <c r="N51" s="198">
        <f t="shared" si="13"/>
        <v>0</v>
      </c>
      <c r="O51" s="198">
        <f t="shared" si="13"/>
        <v>0</v>
      </c>
      <c r="P51" s="198">
        <f t="shared" si="13"/>
        <v>0</v>
      </c>
      <c r="R51" s="198">
        <f t="shared" si="14"/>
        <v>0</v>
      </c>
      <c r="S51" s="198">
        <f t="shared" si="14"/>
        <v>0</v>
      </c>
      <c r="T51" s="198">
        <f t="shared" si="14"/>
        <v>0</v>
      </c>
      <c r="U51" s="198">
        <f t="shared" si="14"/>
        <v>0</v>
      </c>
      <c r="V51" s="198">
        <f t="shared" si="14"/>
        <v>0</v>
      </c>
      <c r="W51" s="198">
        <f t="shared" si="14"/>
        <v>0</v>
      </c>
    </row>
    <row r="52" spans="1:23">
      <c r="A52" s="784">
        <v>25</v>
      </c>
      <c r="B52" t="str">
        <f t="shared" si="5"/>
        <v>Poultry Feeding Operations</v>
      </c>
      <c r="C52" s="777">
        <f t="shared" si="6"/>
        <v>15</v>
      </c>
      <c r="D52" s="196">
        <f t="shared" si="12"/>
        <v>0</v>
      </c>
      <c r="E52" s="196">
        <f t="shared" si="12"/>
        <v>0</v>
      </c>
      <c r="F52" s="196">
        <f t="shared" si="12"/>
        <v>0</v>
      </c>
      <c r="G52" s="196">
        <f t="shared" si="12"/>
        <v>0</v>
      </c>
      <c r="H52" s="196">
        <f t="shared" si="12"/>
        <v>0</v>
      </c>
      <c r="I52" s="196">
        <f t="shared" si="12"/>
        <v>0</v>
      </c>
      <c r="K52" s="198">
        <f t="shared" si="13"/>
        <v>0</v>
      </c>
      <c r="L52" s="198">
        <f t="shared" si="13"/>
        <v>0</v>
      </c>
      <c r="M52" s="198">
        <f t="shared" si="13"/>
        <v>0</v>
      </c>
      <c r="N52" s="198">
        <f t="shared" si="13"/>
        <v>0</v>
      </c>
      <c r="O52" s="198">
        <f t="shared" si="13"/>
        <v>0</v>
      </c>
      <c r="P52" s="198">
        <f t="shared" si="13"/>
        <v>0</v>
      </c>
      <c r="R52" s="198">
        <f t="shared" si="14"/>
        <v>0</v>
      </c>
      <c r="S52" s="198">
        <f t="shared" si="14"/>
        <v>0</v>
      </c>
      <c r="T52" s="198">
        <f t="shared" si="14"/>
        <v>0</v>
      </c>
      <c r="U52" s="198">
        <f t="shared" si="14"/>
        <v>0</v>
      </c>
      <c r="V52" s="198">
        <f t="shared" si="14"/>
        <v>0</v>
      </c>
      <c r="W52" s="198">
        <f t="shared" si="14"/>
        <v>0</v>
      </c>
    </row>
    <row r="53" spans="1:23">
      <c r="A53" s="784">
        <v>26</v>
      </c>
      <c r="B53" t="str">
        <f t="shared" si="5"/>
        <v>Tree Nurseries</v>
      </c>
      <c r="C53" s="777">
        <f t="shared" si="6"/>
        <v>15</v>
      </c>
      <c r="D53" s="196">
        <f t="shared" si="12"/>
        <v>353.64001708231763</v>
      </c>
      <c r="E53" s="196">
        <f t="shared" si="12"/>
        <v>439.82465507421688</v>
      </c>
      <c r="F53" s="196">
        <f t="shared" si="12"/>
        <v>212.18438914378166</v>
      </c>
      <c r="G53" s="196">
        <f t="shared" si="12"/>
        <v>332.07145967238932</v>
      </c>
      <c r="H53" s="196">
        <f t="shared" si="12"/>
        <v>514.46817270431814</v>
      </c>
      <c r="I53" s="196">
        <f t="shared" si="12"/>
        <v>1852.1886936770234</v>
      </c>
      <c r="K53" s="198">
        <f t="shared" si="13"/>
        <v>1.0360560506538128</v>
      </c>
      <c r="L53" s="198">
        <f t="shared" si="13"/>
        <v>1.288550427284642</v>
      </c>
      <c r="M53" s="198">
        <f t="shared" si="13"/>
        <v>0.62163474043585587</v>
      </c>
      <c r="N53" s="198">
        <f t="shared" si="13"/>
        <v>0.97286683753026293</v>
      </c>
      <c r="O53" s="198">
        <f t="shared" si="13"/>
        <v>1.5072328850019472</v>
      </c>
      <c r="P53" s="198">
        <f t="shared" si="13"/>
        <v>5.4263409409065204</v>
      </c>
      <c r="R53" s="198">
        <f t="shared" si="14"/>
        <v>0.28801128296776185</v>
      </c>
      <c r="S53" s="198">
        <f t="shared" si="14"/>
        <v>0.35820172228781505</v>
      </c>
      <c r="T53" s="198">
        <f t="shared" si="14"/>
        <v>0.17280707835959166</v>
      </c>
      <c r="U53" s="198">
        <f t="shared" si="14"/>
        <v>0.27044543184421294</v>
      </c>
      <c r="V53" s="198">
        <f t="shared" si="14"/>
        <v>0.41899284953422067</v>
      </c>
      <c r="W53" s="198">
        <f t="shared" si="14"/>
        <v>1.5084583649936021</v>
      </c>
    </row>
    <row r="54" spans="1:23">
      <c r="A54" s="784">
        <v>27</v>
      </c>
      <c r="B54" t="str">
        <f t="shared" si="5"/>
        <v>Specialty Farms</v>
      </c>
      <c r="C54" s="777">
        <f t="shared" si="6"/>
        <v>15</v>
      </c>
      <c r="D54" s="196">
        <f t="shared" si="12"/>
        <v>0</v>
      </c>
      <c r="E54" s="196">
        <f t="shared" si="12"/>
        <v>130.18282281978171</v>
      </c>
      <c r="F54" s="196">
        <f t="shared" si="12"/>
        <v>151.47535906093989</v>
      </c>
      <c r="G54" s="196">
        <f t="shared" si="12"/>
        <v>0</v>
      </c>
      <c r="H54" s="196">
        <f t="shared" si="12"/>
        <v>32.201050665970783</v>
      </c>
      <c r="I54" s="196">
        <f t="shared" si="12"/>
        <v>313.8592325466924</v>
      </c>
      <c r="K54" s="198">
        <f t="shared" si="13"/>
        <v>0</v>
      </c>
      <c r="L54" s="198">
        <f t="shared" si="13"/>
        <v>0.25426364807621593</v>
      </c>
      <c r="M54" s="198">
        <f t="shared" si="13"/>
        <v>0.29585068563006178</v>
      </c>
      <c r="N54" s="198">
        <f t="shared" si="13"/>
        <v>0</v>
      </c>
      <c r="O54" s="198">
        <f t="shared" si="13"/>
        <v>6.2892756792892857E-2</v>
      </c>
      <c r="P54" s="198">
        <f t="shared" si="13"/>
        <v>0.61300709049917057</v>
      </c>
      <c r="R54" s="198">
        <f t="shared" si="14"/>
        <v>0</v>
      </c>
      <c r="S54" s="198">
        <f t="shared" si="14"/>
        <v>6.6538832026147215E-2</v>
      </c>
      <c r="T54" s="198">
        <f t="shared" si="14"/>
        <v>7.742183841418962E-2</v>
      </c>
      <c r="U54" s="198">
        <f t="shared" si="14"/>
        <v>0</v>
      </c>
      <c r="V54" s="198">
        <f t="shared" si="14"/>
        <v>1.6458548485268423E-2</v>
      </c>
      <c r="W54" s="198">
        <f t="shared" si="14"/>
        <v>0.16041921892560526</v>
      </c>
    </row>
    <row r="55" spans="1:23">
      <c r="A55" s="784">
        <v>28</v>
      </c>
      <c r="B55" t="str">
        <f t="shared" si="5"/>
        <v>Aquaculture</v>
      </c>
      <c r="C55" s="777">
        <f t="shared" si="6"/>
        <v>15</v>
      </c>
      <c r="D55" s="196">
        <f t="shared" si="12"/>
        <v>0</v>
      </c>
      <c r="E55" s="196">
        <f t="shared" si="12"/>
        <v>92.85923872912808</v>
      </c>
      <c r="F55" s="196">
        <f t="shared" si="12"/>
        <v>86.760612929061537</v>
      </c>
      <c r="G55" s="196">
        <f t="shared" si="12"/>
        <v>25.318130091166225</v>
      </c>
      <c r="H55" s="196">
        <f t="shared" si="12"/>
        <v>0</v>
      </c>
      <c r="I55" s="196">
        <f t="shared" si="12"/>
        <v>204.93798174935583</v>
      </c>
      <c r="K55" s="198">
        <f t="shared" si="13"/>
        <v>0</v>
      </c>
      <c r="L55" s="198">
        <f t="shared" si="13"/>
        <v>0.4534148262696262</v>
      </c>
      <c r="M55" s="198">
        <f t="shared" si="13"/>
        <v>0.42363634223868574</v>
      </c>
      <c r="N55" s="198">
        <f t="shared" si="13"/>
        <v>0.12362383876788131</v>
      </c>
      <c r="O55" s="198">
        <f t="shared" si="13"/>
        <v>0</v>
      </c>
      <c r="P55" s="198">
        <f t="shared" si="13"/>
        <v>1.0006750072761932</v>
      </c>
      <c r="R55" s="198">
        <f t="shared" si="14"/>
        <v>0</v>
      </c>
      <c r="S55" s="198">
        <f t="shared" si="14"/>
        <v>3.6509278933453869E-2</v>
      </c>
      <c r="T55" s="198">
        <f t="shared" si="14"/>
        <v>3.4111494571955066E-2</v>
      </c>
      <c r="U55" s="198">
        <f t="shared" si="14"/>
        <v>9.9542779611643591E-3</v>
      </c>
      <c r="V55" s="198">
        <f t="shared" si="14"/>
        <v>0</v>
      </c>
      <c r="W55" s="198">
        <f t="shared" si="14"/>
        <v>8.0575051466573275E-2</v>
      </c>
    </row>
    <row r="56" spans="1:23">
      <c r="A56" s="784">
        <v>29</v>
      </c>
      <c r="B56" t="str">
        <f t="shared" si="5"/>
        <v>Fallow Crop Land</v>
      </c>
      <c r="C56" s="777">
        <f t="shared" si="6"/>
        <v>15</v>
      </c>
      <c r="D56" s="196">
        <f t="shared" si="12"/>
        <v>340.37766551971305</v>
      </c>
      <c r="E56" s="196">
        <f t="shared" si="12"/>
        <v>1837.68108392728</v>
      </c>
      <c r="F56" s="196">
        <f t="shared" si="12"/>
        <v>2573.8189191913698</v>
      </c>
      <c r="G56" s="196">
        <f t="shared" si="12"/>
        <v>303.91686516773331</v>
      </c>
      <c r="H56" s="196">
        <f t="shared" si="12"/>
        <v>0</v>
      </c>
      <c r="I56" s="196">
        <f t="shared" si="12"/>
        <v>5055.7945338060963</v>
      </c>
      <c r="K56" s="198">
        <f t="shared" si="13"/>
        <v>0.48475070768810802</v>
      </c>
      <c r="L56" s="198">
        <f t="shared" si="13"/>
        <v>2.6171435325482792</v>
      </c>
      <c r="M56" s="198">
        <f t="shared" si="13"/>
        <v>3.6655182431962459</v>
      </c>
      <c r="N56" s="198">
        <f t="shared" si="13"/>
        <v>0.43282486012548832</v>
      </c>
      <c r="O56" s="198">
        <f t="shared" si="13"/>
        <v>0</v>
      </c>
      <c r="P56" s="198">
        <f t="shared" si="13"/>
        <v>7.2002373435581211</v>
      </c>
      <c r="R56" s="198">
        <f t="shared" si="14"/>
        <v>5.5760665745506581E-2</v>
      </c>
      <c r="S56" s="198">
        <f t="shared" si="14"/>
        <v>0.30104889670492996</v>
      </c>
      <c r="T56" s="198">
        <f t="shared" si="14"/>
        <v>0.4216429894815738</v>
      </c>
      <c r="U56" s="198">
        <f t="shared" si="14"/>
        <v>4.97876577981839E-2</v>
      </c>
      <c r="V56" s="198">
        <f t="shared" si="14"/>
        <v>0</v>
      </c>
      <c r="W56" s="198">
        <f t="shared" si="14"/>
        <v>0.82824020973019419</v>
      </c>
    </row>
    <row r="57" spans="1:23">
      <c r="A57" s="784">
        <v>30</v>
      </c>
      <c r="B57" t="str">
        <f t="shared" si="5"/>
        <v>Tree Plantations</v>
      </c>
      <c r="C57" s="777">
        <f t="shared" si="6"/>
        <v>16</v>
      </c>
      <c r="D57" s="196">
        <f t="shared" si="12"/>
        <v>0</v>
      </c>
      <c r="E57" s="196">
        <f t="shared" si="12"/>
        <v>0</v>
      </c>
      <c r="F57" s="196">
        <f t="shared" si="12"/>
        <v>24.639848785416504</v>
      </c>
      <c r="G57" s="196">
        <f t="shared" si="12"/>
        <v>0</v>
      </c>
      <c r="H57" s="196">
        <f t="shared" si="12"/>
        <v>0</v>
      </c>
      <c r="I57" s="196">
        <f t="shared" si="12"/>
        <v>24.639848785416504</v>
      </c>
      <c r="K57" s="198">
        <f t="shared" si="13"/>
        <v>0</v>
      </c>
      <c r="L57" s="198">
        <f t="shared" si="13"/>
        <v>0</v>
      </c>
      <c r="M57" s="198">
        <f t="shared" si="13"/>
        <v>3.1080577817454866E-2</v>
      </c>
      <c r="N57" s="198">
        <f t="shared" si="13"/>
        <v>0</v>
      </c>
      <c r="O57" s="198">
        <f t="shared" si="13"/>
        <v>0</v>
      </c>
      <c r="P57" s="198">
        <f t="shared" si="13"/>
        <v>3.1080577817454866E-2</v>
      </c>
      <c r="R57" s="198">
        <f t="shared" si="14"/>
        <v>0</v>
      </c>
      <c r="S57" s="198">
        <f t="shared" si="14"/>
        <v>0</v>
      </c>
      <c r="T57" s="198">
        <f t="shared" si="14"/>
        <v>1.7299284773395305E-3</v>
      </c>
      <c r="U57" s="198">
        <f t="shared" si="14"/>
        <v>0</v>
      </c>
      <c r="V57" s="198">
        <f t="shared" si="14"/>
        <v>0</v>
      </c>
      <c r="W57" s="198">
        <f t="shared" si="14"/>
        <v>1.7299284773395305E-3</v>
      </c>
    </row>
    <row r="58" spans="1:23">
      <c r="A58" s="784">
        <v>31</v>
      </c>
      <c r="B58" t="str">
        <f t="shared" si="5"/>
        <v>Water</v>
      </c>
      <c r="C58" s="777">
        <f t="shared" si="6"/>
        <v>17</v>
      </c>
      <c r="D58" s="196">
        <f t="shared" si="12"/>
        <v>38629.236139075205</v>
      </c>
      <c r="E58" s="196">
        <f t="shared" si="12"/>
        <v>8675.5679997369734</v>
      </c>
      <c r="F58" s="196">
        <f t="shared" si="12"/>
        <v>1393.9248331133228</v>
      </c>
      <c r="G58" s="196">
        <f t="shared" si="12"/>
        <v>810.52541386511314</v>
      </c>
      <c r="H58" s="196">
        <f t="shared" si="12"/>
        <v>250.99810235306242</v>
      </c>
      <c r="I58" s="196">
        <f t="shared" si="12"/>
        <v>49760.252488143677</v>
      </c>
      <c r="K58" s="198">
        <f t="shared" ref="K58:P65" si="15">VLOOKUP($A58,bottb_Loadings,$G$616,FALSE)*VLOOKUP($A58,bottb_luacres,K$25+2,FALSE)/lb_mton</f>
        <v>42.439400132325552</v>
      </c>
      <c r="L58" s="198">
        <f t="shared" si="15"/>
        <v>9.5312757516217133</v>
      </c>
      <c r="M58" s="198">
        <f t="shared" si="15"/>
        <v>1.531413500745906</v>
      </c>
      <c r="N58" s="198">
        <f t="shared" si="15"/>
        <v>0.89047094362927282</v>
      </c>
      <c r="O58" s="198">
        <f t="shared" si="15"/>
        <v>0.27575510061512276</v>
      </c>
      <c r="P58" s="198">
        <f t="shared" si="15"/>
        <v>54.668315428937561</v>
      </c>
      <c r="R58" s="198">
        <f t="shared" ref="R58:W65" si="16">VLOOKUP($A58,bottb_Loadings,$G$617,FALSE)*VLOOKUP($A58,bottb_luacres,R$25+2,FALSE)/lb_mton</f>
        <v>2.7121033183617373</v>
      </c>
      <c r="S58" s="198">
        <f t="shared" si="16"/>
        <v>0.60909919823547509</v>
      </c>
      <c r="T58" s="198">
        <f t="shared" si="16"/>
        <v>9.7865465209377014E-2</v>
      </c>
      <c r="U58" s="198">
        <f t="shared" si="16"/>
        <v>5.6905827923852917E-2</v>
      </c>
      <c r="V58" s="198">
        <f t="shared" si="16"/>
        <v>1.7622217116678829E-2</v>
      </c>
      <c r="W58" s="198">
        <f t="shared" si="16"/>
        <v>3.4935960268471211</v>
      </c>
    </row>
    <row r="59" spans="1:23">
      <c r="A59" s="784">
        <v>32</v>
      </c>
      <c r="B59" t="str">
        <f t="shared" si="5"/>
        <v>Upland Forests</v>
      </c>
      <c r="C59" s="777">
        <f t="shared" si="6"/>
        <v>18</v>
      </c>
      <c r="D59" s="196">
        <f t="shared" si="12"/>
        <v>17229.491714164305</v>
      </c>
      <c r="E59" s="196">
        <f t="shared" si="12"/>
        <v>46397.796402774249</v>
      </c>
      <c r="F59" s="196">
        <f t="shared" si="12"/>
        <v>59696.452804900131</v>
      </c>
      <c r="G59" s="196">
        <f t="shared" si="12"/>
        <v>23709.797305457363</v>
      </c>
      <c r="H59" s="196">
        <f t="shared" si="12"/>
        <v>359.29871305276748</v>
      </c>
      <c r="I59" s="196">
        <f t="shared" si="12"/>
        <v>147392.83694034882</v>
      </c>
      <c r="K59" s="198">
        <f t="shared" si="15"/>
        <v>17.526767528304809</v>
      </c>
      <c r="L59" s="198">
        <f t="shared" si="15"/>
        <v>47.198339037971124</v>
      </c>
      <c r="M59" s="198">
        <f t="shared" si="15"/>
        <v>60.7264490406154</v>
      </c>
      <c r="N59" s="198">
        <f t="shared" si="15"/>
        <v>24.118883621758364</v>
      </c>
      <c r="O59" s="198">
        <f t="shared" si="15"/>
        <v>0.36549801476255539</v>
      </c>
      <c r="P59" s="198">
        <f t="shared" si="15"/>
        <v>149.93593724341227</v>
      </c>
      <c r="R59" s="198">
        <f t="shared" si="16"/>
        <v>0.56450703190033513</v>
      </c>
      <c r="S59" s="198">
        <f t="shared" si="16"/>
        <v>1.520177308104445</v>
      </c>
      <c r="T59" s="198">
        <f t="shared" si="16"/>
        <v>1.9558944597401395</v>
      </c>
      <c r="U59" s="198">
        <f t="shared" si="16"/>
        <v>0.77682775127133163</v>
      </c>
      <c r="V59" s="198">
        <f t="shared" si="16"/>
        <v>1.1772062312452598E-2</v>
      </c>
      <c r="W59" s="198">
        <f t="shared" si="16"/>
        <v>4.829178613328704</v>
      </c>
    </row>
    <row r="60" spans="1:23">
      <c r="A60" s="784">
        <v>33</v>
      </c>
      <c r="B60" t="str">
        <f t="shared" si="5"/>
        <v>Wetlands</v>
      </c>
      <c r="C60" s="777">
        <f t="shared" si="6"/>
        <v>18</v>
      </c>
      <c r="D60" s="196">
        <f t="shared" ref="D60:I65" si="17">VLOOKUP($A60,bottb_Loadings,5,FALSE)*VLOOKUP($A60,bottb_luacres,D$25+2,FALSE)/12</f>
        <v>27037.32924199308</v>
      </c>
      <c r="E60" s="196">
        <f t="shared" si="17"/>
        <v>25369.042762778769</v>
      </c>
      <c r="F60" s="196">
        <f t="shared" si="17"/>
        <v>36369.050349085606</v>
      </c>
      <c r="G60" s="196">
        <f t="shared" si="17"/>
        <v>17515.79826148077</v>
      </c>
      <c r="H60" s="196">
        <f t="shared" si="17"/>
        <v>691.44057310216351</v>
      </c>
      <c r="I60" s="196">
        <f t="shared" si="17"/>
        <v>106982.66118844038</v>
      </c>
      <c r="K60" s="198">
        <f t="shared" si="15"/>
        <v>33.004594127712608</v>
      </c>
      <c r="L60" s="198">
        <f t="shared" si="15"/>
        <v>30.968109028078551</v>
      </c>
      <c r="M60" s="198">
        <f t="shared" si="15"/>
        <v>44.395869682187232</v>
      </c>
      <c r="N60" s="198">
        <f t="shared" si="15"/>
        <v>21.381616773937385</v>
      </c>
      <c r="O60" s="198">
        <f t="shared" si="15"/>
        <v>0.84404473808847469</v>
      </c>
      <c r="P60" s="198">
        <f t="shared" si="15"/>
        <v>130.59423435000426</v>
      </c>
      <c r="R60" s="198">
        <f t="shared" si="16"/>
        <v>0.25310028598666728</v>
      </c>
      <c r="S60" s="198">
        <f t="shared" si="16"/>
        <v>0.23748321888593363</v>
      </c>
      <c r="T60" s="198">
        <f t="shared" si="16"/>
        <v>0.34045585501545311</v>
      </c>
      <c r="U60" s="198">
        <f t="shared" si="16"/>
        <v>0.16396787972608018</v>
      </c>
      <c r="V60" s="198">
        <f t="shared" si="16"/>
        <v>6.4726735850497838E-3</v>
      </c>
      <c r="W60" s="198">
        <f t="shared" si="16"/>
        <v>1.0014799131991841</v>
      </c>
    </row>
    <row r="61" spans="1:23">
      <c r="A61" s="784">
        <v>34</v>
      </c>
      <c r="B61" t="str">
        <f t="shared" si="5"/>
        <v>Barren Land</v>
      </c>
      <c r="C61" s="777">
        <f t="shared" si="6"/>
        <v>18</v>
      </c>
      <c r="D61" s="196">
        <f t="shared" si="17"/>
        <v>1513.6261146710178</v>
      </c>
      <c r="E61" s="196">
        <f t="shared" si="17"/>
        <v>1440.4213991015097</v>
      </c>
      <c r="F61" s="196">
        <f t="shared" si="17"/>
        <v>6431.4215579202291</v>
      </c>
      <c r="G61" s="196">
        <f t="shared" si="17"/>
        <v>5685.3461291374088</v>
      </c>
      <c r="H61" s="196">
        <f t="shared" si="17"/>
        <v>1181.5930178928372</v>
      </c>
      <c r="I61" s="196">
        <f t="shared" si="17"/>
        <v>16252.408218723007</v>
      </c>
      <c r="K61" s="198">
        <f t="shared" si="15"/>
        <v>1.7245111053727069</v>
      </c>
      <c r="L61" s="198">
        <f t="shared" si="15"/>
        <v>1.641107189609331</v>
      </c>
      <c r="M61" s="198">
        <f t="shared" si="15"/>
        <v>7.3274752545991051</v>
      </c>
      <c r="N61" s="198">
        <f t="shared" si="15"/>
        <v>6.4774533436985262</v>
      </c>
      <c r="O61" s="198">
        <f t="shared" si="15"/>
        <v>1.3462177096686332</v>
      </c>
      <c r="P61" s="198">
        <f t="shared" si="15"/>
        <v>18.516764602948307</v>
      </c>
      <c r="R61" s="198">
        <f t="shared" si="16"/>
        <v>0.21253904134054302</v>
      </c>
      <c r="S61" s="198">
        <f t="shared" si="16"/>
        <v>0.20225984496705018</v>
      </c>
      <c r="T61" s="198">
        <f t="shared" si="16"/>
        <v>0.90308178428486297</v>
      </c>
      <c r="U61" s="198">
        <f t="shared" si="16"/>
        <v>0.79832001064454761</v>
      </c>
      <c r="V61" s="198">
        <f t="shared" si="16"/>
        <v>0.16591590541644832</v>
      </c>
      <c r="W61" s="198">
        <f t="shared" si="16"/>
        <v>2.2821165866534523</v>
      </c>
    </row>
    <row r="62" spans="1:23">
      <c r="A62" s="784">
        <v>35</v>
      </c>
      <c r="B62" t="str">
        <f t="shared" si="5"/>
        <v>Open Land</v>
      </c>
      <c r="C62" s="777">
        <f t="shared" si="6"/>
        <v>18</v>
      </c>
      <c r="D62" s="196">
        <f t="shared" si="17"/>
        <v>14172.750048192445</v>
      </c>
      <c r="E62" s="196">
        <f t="shared" si="17"/>
        <v>27335.674398805673</v>
      </c>
      <c r="F62" s="196">
        <f t="shared" si="17"/>
        <v>47750.695578280174</v>
      </c>
      <c r="G62" s="196">
        <f t="shared" si="17"/>
        <v>4646.3238691355682</v>
      </c>
      <c r="H62" s="196">
        <f t="shared" si="17"/>
        <v>382.75110826211147</v>
      </c>
      <c r="I62" s="196">
        <f t="shared" si="17"/>
        <v>94288.195002675988</v>
      </c>
      <c r="K62" s="198">
        <f t="shared" si="15"/>
        <v>13.840593760647026</v>
      </c>
      <c r="L62" s="198">
        <f t="shared" si="15"/>
        <v>26.695028363633718</v>
      </c>
      <c r="M62" s="198">
        <f t="shared" si="15"/>
        <v>46.631597752024796</v>
      </c>
      <c r="N62" s="198">
        <f t="shared" si="15"/>
        <v>4.5374314042393449</v>
      </c>
      <c r="O62" s="198">
        <f t="shared" si="15"/>
        <v>0.37378085289586716</v>
      </c>
      <c r="P62" s="198">
        <f t="shared" si="15"/>
        <v>92.078432133440771</v>
      </c>
      <c r="R62" s="198">
        <f t="shared" si="16"/>
        <v>1.1144542898374423</v>
      </c>
      <c r="S62" s="198">
        <f t="shared" si="16"/>
        <v>2.1495023545718901</v>
      </c>
      <c r="T62" s="198">
        <f t="shared" si="16"/>
        <v>3.7548088655329916</v>
      </c>
      <c r="U62" s="198">
        <f t="shared" si="16"/>
        <v>0.36535715018784509</v>
      </c>
      <c r="V62" s="198">
        <f t="shared" si="16"/>
        <v>3.0097095700713887E-2</v>
      </c>
      <c r="W62" s="198">
        <f t="shared" si="16"/>
        <v>7.4142197558308833</v>
      </c>
    </row>
    <row r="63" spans="1:23">
      <c r="A63" s="784">
        <v>36</v>
      </c>
      <c r="B63" t="str">
        <f t="shared" si="5"/>
        <v>Transportation</v>
      </c>
      <c r="C63" s="777">
        <f t="shared" si="6"/>
        <v>19</v>
      </c>
      <c r="D63" s="196">
        <f t="shared" si="17"/>
        <v>1934.3314771466994</v>
      </c>
      <c r="E63" s="196">
        <f t="shared" si="17"/>
        <v>10373.236417589951</v>
      </c>
      <c r="F63" s="196">
        <f t="shared" si="17"/>
        <v>2454.0837637841751</v>
      </c>
      <c r="G63" s="196">
        <f t="shared" si="17"/>
        <v>2828.3585756170178</v>
      </c>
      <c r="H63" s="196">
        <f t="shared" si="17"/>
        <v>1257.9893804210367</v>
      </c>
      <c r="I63" s="196">
        <f t="shared" si="17"/>
        <v>18847.999614558878</v>
      </c>
      <c r="K63" s="198">
        <f t="shared" si="15"/>
        <v>2.1723476738792376</v>
      </c>
      <c r="L63" s="198">
        <f t="shared" si="15"/>
        <v>11.649645507289613</v>
      </c>
      <c r="M63" s="198">
        <f t="shared" si="15"/>
        <v>2.7560545949576385</v>
      </c>
      <c r="N63" s="198">
        <f t="shared" si="15"/>
        <v>3.176383285506577</v>
      </c>
      <c r="O63" s="198">
        <f t="shared" si="15"/>
        <v>1.4127828330403416</v>
      </c>
      <c r="P63" s="198">
        <f t="shared" si="15"/>
        <v>21.167213894673406</v>
      </c>
      <c r="R63" s="198">
        <f t="shared" si="16"/>
        <v>0.44816191645647618</v>
      </c>
      <c r="S63" s="198">
        <f t="shared" si="16"/>
        <v>2.4033572154968623</v>
      </c>
      <c r="T63" s="198">
        <f t="shared" si="16"/>
        <v>0.56858242535791992</v>
      </c>
      <c r="U63" s="198">
        <f t="shared" si="16"/>
        <v>0.65529750957906796</v>
      </c>
      <c r="V63" s="198">
        <f t="shared" si="16"/>
        <v>0.291461385120514</v>
      </c>
      <c r="W63" s="198">
        <f t="shared" si="16"/>
        <v>4.3668604520108403</v>
      </c>
    </row>
    <row r="64" spans="1:23">
      <c r="A64" s="784">
        <v>37</v>
      </c>
      <c r="B64" t="str">
        <f t="shared" si="5"/>
        <v>Communications</v>
      </c>
      <c r="C64" s="777">
        <f t="shared" si="6"/>
        <v>20</v>
      </c>
      <c r="D64" s="196">
        <f t="shared" si="17"/>
        <v>21.021457507732666</v>
      </c>
      <c r="E64" s="196">
        <f t="shared" si="17"/>
        <v>88.561428534306415</v>
      </c>
      <c r="F64" s="196">
        <f t="shared" si="17"/>
        <v>49.573974045325144</v>
      </c>
      <c r="G64" s="196">
        <f t="shared" si="17"/>
        <v>41.705608392544235</v>
      </c>
      <c r="H64" s="196">
        <f t="shared" si="17"/>
        <v>0</v>
      </c>
      <c r="I64" s="196">
        <f t="shared" si="17"/>
        <v>200.86246847990847</v>
      </c>
      <c r="K64" s="198">
        <f t="shared" si="15"/>
        <v>2.7993808794267348E-2</v>
      </c>
      <c r="L64" s="198">
        <f t="shared" si="15"/>
        <v>0.11793529045379428</v>
      </c>
      <c r="M64" s="198">
        <f t="shared" si="15"/>
        <v>6.6016561890930733E-2</v>
      </c>
      <c r="N64" s="198">
        <f t="shared" si="15"/>
        <v>5.5538433838853214E-2</v>
      </c>
      <c r="O64" s="198">
        <f t="shared" si="15"/>
        <v>0</v>
      </c>
      <c r="P64" s="198">
        <f t="shared" si="15"/>
        <v>0.26748409497784559</v>
      </c>
      <c r="R64" s="198">
        <f t="shared" si="16"/>
        <v>2.5760926436853683E-3</v>
      </c>
      <c r="S64" s="198">
        <f t="shared" si="16"/>
        <v>1.0852836654050886E-2</v>
      </c>
      <c r="T64" s="198">
        <f t="shared" si="16"/>
        <v>6.0750854125806867E-3</v>
      </c>
      <c r="U64" s="198">
        <f t="shared" si="16"/>
        <v>5.110849756299508E-3</v>
      </c>
      <c r="V64" s="198">
        <f t="shared" si="16"/>
        <v>0</v>
      </c>
      <c r="W64" s="198">
        <f t="shared" si="16"/>
        <v>2.4614864466616447E-2</v>
      </c>
    </row>
    <row r="65" spans="1:23">
      <c r="A65" s="785">
        <v>38</v>
      </c>
      <c r="B65" t="str">
        <f t="shared" si="5"/>
        <v>Utilities</v>
      </c>
      <c r="C65" s="777">
        <f t="shared" si="6"/>
        <v>20</v>
      </c>
      <c r="D65" s="196">
        <f t="shared" si="17"/>
        <v>963.93124078749622</v>
      </c>
      <c r="E65" s="196">
        <f t="shared" si="17"/>
        <v>1507.0408945705187</v>
      </c>
      <c r="F65" s="196">
        <f t="shared" si="17"/>
        <v>326.96106276576126</v>
      </c>
      <c r="G65" s="196">
        <f t="shared" si="17"/>
        <v>807.23537952396009</v>
      </c>
      <c r="H65" s="196">
        <f t="shared" si="17"/>
        <v>255.5083348237564</v>
      </c>
      <c r="I65" s="196">
        <f t="shared" si="17"/>
        <v>3860.6769124714924</v>
      </c>
      <c r="K65" s="198">
        <f t="shared" si="15"/>
        <v>1.4120104430936842</v>
      </c>
      <c r="L65" s="198">
        <f t="shared" si="15"/>
        <v>2.2075822333181749</v>
      </c>
      <c r="M65" s="198">
        <f t="shared" si="15"/>
        <v>0.47894747630867857</v>
      </c>
      <c r="N65" s="198">
        <f t="shared" si="15"/>
        <v>1.182475199155627</v>
      </c>
      <c r="O65" s="198">
        <f t="shared" si="15"/>
        <v>0.37428026170609158</v>
      </c>
      <c r="P65" s="198">
        <f t="shared" si="15"/>
        <v>5.6552956135822567</v>
      </c>
      <c r="R65" s="198">
        <f t="shared" si="16"/>
        <v>0.12993836394301048</v>
      </c>
      <c r="S65" s="198">
        <f t="shared" si="16"/>
        <v>0.20314978906143183</v>
      </c>
      <c r="T65" s="198">
        <f t="shared" si="16"/>
        <v>4.4074498025546381E-2</v>
      </c>
      <c r="U65" s="198">
        <f t="shared" si="16"/>
        <v>0.10881569150779527</v>
      </c>
      <c r="V65" s="198">
        <f t="shared" si="16"/>
        <v>3.444263822560454E-2</v>
      </c>
      <c r="W65" s="198">
        <f t="shared" si="16"/>
        <v>0.52042098076338839</v>
      </c>
    </row>
    <row r="66" spans="1:23" s="38" customFormat="1">
      <c r="A66" s="205"/>
      <c r="B66" s="209" t="s">
        <v>156</v>
      </c>
      <c r="D66" s="206">
        <f>SUM(D28:D65)</f>
        <v>220186.07470845763</v>
      </c>
      <c r="E66" s="206">
        <f t="shared" ref="E66:I66" si="18">SUM(E28:E65)</f>
        <v>432717.0536133268</v>
      </c>
      <c r="F66" s="207">
        <f t="shared" si="18"/>
        <v>593758.63318014727</v>
      </c>
      <c r="G66" s="207">
        <f t="shared" si="18"/>
        <v>380060.55320967815</v>
      </c>
      <c r="H66" s="206">
        <f t="shared" si="18"/>
        <v>94946.376246117099</v>
      </c>
      <c r="I66" s="206">
        <f t="shared" si="18"/>
        <v>1721668.6909577269</v>
      </c>
      <c r="K66" s="208">
        <f>SUM(K28:K65)</f>
        <v>279.68152923262539</v>
      </c>
      <c r="L66" s="208">
        <f t="shared" ref="L66:P66" si="19">SUM(L28:L65)</f>
        <v>623.40347657127018</v>
      </c>
      <c r="M66" s="208">
        <f t="shared" si="19"/>
        <v>949.74770250341794</v>
      </c>
      <c r="N66" s="208">
        <f t="shared" si="19"/>
        <v>635.83440832001418</v>
      </c>
      <c r="O66" s="208">
        <f t="shared" si="19"/>
        <v>152.04595550062496</v>
      </c>
      <c r="P66" s="208">
        <f t="shared" si="19"/>
        <v>2640.7130721279532</v>
      </c>
      <c r="R66" s="208">
        <f>SUM(R28:R65)</f>
        <v>29.362276028594881</v>
      </c>
      <c r="S66" s="208">
        <f t="shared" ref="S66:W66" si="20">SUM(S28:S65)</f>
        <v>92.750882907777395</v>
      </c>
      <c r="T66" s="208">
        <f t="shared" si="20"/>
        <v>107.16751154242986</v>
      </c>
      <c r="U66" s="208">
        <f t="shared" si="20"/>
        <v>61.954980968473031</v>
      </c>
      <c r="V66" s="208">
        <f t="shared" si="20"/>
        <v>12.559720048664271</v>
      </c>
      <c r="W66" s="208">
        <f t="shared" si="20"/>
        <v>303.79537149593949</v>
      </c>
    </row>
    <row r="67" spans="1:23" s="38" customFormat="1">
      <c r="A67" s="205"/>
      <c r="B67" s="209"/>
      <c r="D67" s="206"/>
      <c r="E67" s="206"/>
      <c r="F67" s="207"/>
      <c r="G67" s="207"/>
      <c r="H67" s="206"/>
      <c r="I67" s="206"/>
      <c r="K67" s="208"/>
      <c r="L67" s="208"/>
      <c r="M67" s="208"/>
      <c r="N67" s="208"/>
      <c r="O67" s="208"/>
      <c r="P67" s="208"/>
    </row>
    <row r="68" spans="1:23" s="38" customFormat="1">
      <c r="A68" s="205"/>
      <c r="B68" s="209"/>
      <c r="D68" s="206"/>
      <c r="E68" s="206"/>
      <c r="F68" s="207"/>
      <c r="G68" s="207"/>
      <c r="H68" s="206"/>
      <c r="I68" s="206"/>
      <c r="K68" s="208"/>
      <c r="L68" s="208"/>
      <c r="M68" s="208"/>
      <c r="N68" s="208"/>
      <c r="O68" s="208"/>
      <c r="P68" s="208"/>
    </row>
    <row r="69" spans="1:23" s="38" customFormat="1">
      <c r="A69" s="205"/>
      <c r="B69" s="209"/>
      <c r="D69" s="206"/>
      <c r="E69" s="206"/>
      <c r="F69" s="207"/>
      <c r="G69" s="207"/>
      <c r="H69" s="206"/>
      <c r="I69" s="206"/>
      <c r="K69" s="208"/>
      <c r="L69" s="208"/>
      <c r="M69" s="208"/>
      <c r="N69" s="208"/>
      <c r="O69" s="208"/>
      <c r="P69" s="208"/>
    </row>
    <row r="70" spans="1:23" s="38" customFormat="1">
      <c r="A70" s="781" t="s">
        <v>903</v>
      </c>
      <c r="B70" s="838" t="s">
        <v>1023</v>
      </c>
      <c r="D70" s="206"/>
      <c r="E70" s="206"/>
      <c r="F70" s="207"/>
      <c r="G70" s="207"/>
      <c r="H70" s="206"/>
      <c r="I70" s="206"/>
      <c r="K70" s="208"/>
      <c r="L70" s="208"/>
      <c r="M70" s="208"/>
      <c r="N70" s="208"/>
      <c r="O70" s="208"/>
      <c r="P70" s="208"/>
    </row>
    <row r="71" spans="1:23" s="38" customFormat="1">
      <c r="A71" s="567" t="s">
        <v>906</v>
      </c>
      <c r="B71" s="568"/>
      <c r="C71" s="569"/>
      <c r="D71" s="570"/>
      <c r="E71" s="570"/>
      <c r="F71" s="570"/>
      <c r="G71" s="570"/>
      <c r="H71" s="570"/>
      <c r="I71" s="570"/>
      <c r="J71" s="569"/>
      <c r="K71" s="571"/>
      <c r="L71" s="571"/>
      <c r="M71" s="571"/>
      <c r="N71" s="571"/>
      <c r="O71" s="571"/>
      <c r="P71" s="571"/>
      <c r="Q71" s="569"/>
      <c r="R71" s="569"/>
      <c r="S71" s="569"/>
      <c r="T71" s="569"/>
      <c r="U71" s="569"/>
      <c r="V71" s="569"/>
      <c r="W71" s="780"/>
    </row>
    <row r="72" spans="1:23" s="38" customFormat="1">
      <c r="A72" s="205"/>
      <c r="B72" s="209"/>
      <c r="D72" s="206"/>
      <c r="E72" s="206"/>
      <c r="F72" s="207"/>
      <c r="G72" s="207"/>
      <c r="H72" s="206"/>
      <c r="I72" s="206"/>
      <c r="K72" s="208"/>
      <c r="L72" s="208"/>
      <c r="M72" s="208"/>
      <c r="N72" s="208"/>
      <c r="O72" s="208"/>
      <c r="P72" s="208"/>
    </row>
    <row r="73" spans="1:23" s="38" customFormat="1">
      <c r="A73" s="353" t="s">
        <v>518</v>
      </c>
      <c r="B73" s="229"/>
      <c r="C73" s="230"/>
      <c r="D73" s="231"/>
      <c r="E73" s="231"/>
      <c r="F73" s="231"/>
      <c r="G73" s="231"/>
      <c r="H73" s="231"/>
      <c r="I73" s="231"/>
      <c r="J73" s="230"/>
      <c r="K73" s="232"/>
      <c r="L73" s="232"/>
      <c r="M73" s="232"/>
      <c r="N73" s="232"/>
      <c r="O73" s="232"/>
      <c r="P73" s="232"/>
      <c r="Q73" s="230"/>
      <c r="R73" s="230"/>
      <c r="S73" s="230"/>
      <c r="T73" s="230"/>
      <c r="U73" s="230"/>
      <c r="V73" s="230"/>
      <c r="W73" s="233"/>
    </row>
    <row r="74" spans="1:23" s="38" customFormat="1">
      <c r="A74" s="417" t="s">
        <v>519</v>
      </c>
      <c r="B74" s="209"/>
      <c r="D74" s="206"/>
      <c r="E74" s="206"/>
      <c r="F74" s="207"/>
      <c r="G74" s="207"/>
      <c r="H74" s="206"/>
      <c r="I74" s="206"/>
      <c r="K74" s="208"/>
      <c r="L74" s="208"/>
      <c r="M74" s="208"/>
      <c r="N74" s="208"/>
      <c r="O74" s="208"/>
      <c r="P74" s="208"/>
    </row>
    <row r="75" spans="1:23" s="38" customFormat="1">
      <c r="A75" s="417" t="s">
        <v>532</v>
      </c>
      <c r="B75" s="209"/>
      <c r="D75" s="206"/>
      <c r="E75" s="206"/>
      <c r="F75" s="207"/>
      <c r="G75" s="207"/>
      <c r="H75" s="206"/>
      <c r="I75" s="206"/>
      <c r="K75" s="208"/>
      <c r="L75" s="208"/>
      <c r="M75" s="208"/>
      <c r="N75" s="208"/>
      <c r="O75" s="208"/>
      <c r="P75" s="208"/>
    </row>
    <row r="76" spans="1:23" s="38" customFormat="1">
      <c r="A76" s="205"/>
      <c r="B76" s="209"/>
      <c r="D76" s="206"/>
      <c r="E76" s="206"/>
      <c r="F76" s="207"/>
      <c r="G76" s="207"/>
      <c r="H76" s="206"/>
      <c r="I76" s="206"/>
      <c r="K76" s="208"/>
      <c r="L76" s="208"/>
      <c r="M76" s="208"/>
      <c r="N76" s="208"/>
      <c r="O76" s="208"/>
      <c r="P76" s="208"/>
    </row>
    <row r="77" spans="1:23" s="38" customFormat="1">
      <c r="A77" s="205"/>
      <c r="B77" s="209"/>
      <c r="D77" s="362" t="s">
        <v>39</v>
      </c>
      <c r="F77" s="357" t="s">
        <v>355</v>
      </c>
      <c r="G77" s="589" t="s">
        <v>357</v>
      </c>
      <c r="I77" s="359" t="s">
        <v>354</v>
      </c>
      <c r="J77" s="587" t="s">
        <v>356</v>
      </c>
      <c r="K77" s="208"/>
      <c r="L77" s="208"/>
      <c r="M77" s="208"/>
      <c r="N77" s="208"/>
      <c r="O77" s="208"/>
      <c r="P77" s="208"/>
    </row>
    <row r="78" spans="1:23" s="38" customFormat="1">
      <c r="A78" s="749" t="s">
        <v>231</v>
      </c>
      <c r="B78" s="228" t="s">
        <v>232</v>
      </c>
      <c r="D78" s="361" t="s">
        <v>229</v>
      </c>
      <c r="F78" s="358" t="s">
        <v>230</v>
      </c>
      <c r="G78" s="590" t="s">
        <v>189</v>
      </c>
      <c r="I78" s="360" t="s">
        <v>230</v>
      </c>
      <c r="J78" s="588" t="s">
        <v>189</v>
      </c>
      <c r="K78" s="208"/>
      <c r="L78" s="208"/>
      <c r="M78" s="208"/>
      <c r="N78" s="208"/>
      <c r="O78" s="208"/>
      <c r="P78" s="208"/>
    </row>
    <row r="79" spans="1:23" s="38" customFormat="1">
      <c r="A79" s="205" t="s">
        <v>515</v>
      </c>
      <c r="B79" s="252" t="s">
        <v>236</v>
      </c>
      <c r="C79" s="107"/>
      <c r="D79" s="240">
        <f>VLOOKUP($A79,flow_9605,5,FALSE)</f>
        <v>63034.099834710745</v>
      </c>
      <c r="F79" s="245">
        <f>VLOOKUP($A79,flow_9605,$I$616,FALSE)</f>
        <v>157.62772899999999</v>
      </c>
      <c r="G79" s="557">
        <f>F79/D79*mtonacft_mgl</f>
        <v>2.0273293335279883</v>
      </c>
      <c r="H79" s="246"/>
      <c r="I79" s="245">
        <f>VLOOKUP($A79,flow_9605,$I$617,FALSE)</f>
        <v>9.774497199999999</v>
      </c>
      <c r="J79" s="557">
        <f>I79/D79*mtonacft_mgl</f>
        <v>0.12571471415443145</v>
      </c>
      <c r="K79" s="208"/>
      <c r="L79" s="208"/>
      <c r="M79" s="208"/>
      <c r="N79" s="208"/>
      <c r="O79" s="208"/>
      <c r="P79" s="208"/>
    </row>
    <row r="80" spans="1:23" s="38" customFormat="1">
      <c r="A80" s="205" t="s">
        <v>516</v>
      </c>
      <c r="B80" s="244" t="s">
        <v>228</v>
      </c>
      <c r="C80" s="107"/>
      <c r="D80" s="240">
        <f>VLOOKUP($A80,flow_9605,5,FALSE)</f>
        <v>861534.32528925652</v>
      </c>
      <c r="F80" s="245">
        <f>VLOOKUP($A80,flow_9605,$I$616,FALSE)</f>
        <v>1727.0932900000003</v>
      </c>
      <c r="G80" s="557">
        <f>F80/D80*mtonacft_mgl</f>
        <v>1.6252136171578822</v>
      </c>
      <c r="H80" s="246"/>
      <c r="I80" s="245">
        <f>VLOOKUP($A80,flow_9605,$I$617,FALSE)</f>
        <v>103.5593231</v>
      </c>
      <c r="J80" s="557">
        <f>I80/D80*mtonacft_mgl</f>
        <v>9.7450452190554676E-2</v>
      </c>
      <c r="K80" s="208"/>
      <c r="L80" s="208"/>
      <c r="M80" s="208"/>
      <c r="N80" s="208"/>
      <c r="O80" s="208"/>
      <c r="P80" s="208"/>
    </row>
    <row r="81" spans="1:23" s="38" customFormat="1">
      <c r="A81" s="205" t="s">
        <v>517</v>
      </c>
      <c r="B81" s="252" t="s">
        <v>237</v>
      </c>
      <c r="C81" s="107"/>
      <c r="D81" s="240">
        <f>VLOOKUP($A81,flow_9605,5,FALSE)</f>
        <v>1124917.6323966945</v>
      </c>
      <c r="F81" s="245">
        <f>VLOOKUP($A81,flow_9605,$I$616,FALSE)</f>
        <v>2100.3858549999991</v>
      </c>
      <c r="G81" s="557">
        <f>F81/D81*mtonacft_mgl</f>
        <v>1.5137201832904694</v>
      </c>
      <c r="H81" s="246"/>
      <c r="I81" s="245">
        <f>VLOOKUP($A81,flow_9605,$I$617,FALSE)</f>
        <v>155.60995379999994</v>
      </c>
      <c r="J81" s="557">
        <f>I81/D81*mtonacft_mgl</f>
        <v>0.11214602651566492</v>
      </c>
      <c r="K81" s="208"/>
      <c r="L81" s="208"/>
      <c r="M81" s="208"/>
      <c r="N81" s="208"/>
      <c r="O81" s="208"/>
      <c r="P81" s="208"/>
    </row>
    <row r="82" spans="1:23" s="38" customFormat="1">
      <c r="A82" s="205" t="s">
        <v>514</v>
      </c>
      <c r="B82" s="252" t="s">
        <v>238</v>
      </c>
      <c r="C82" s="107"/>
      <c r="D82" s="240">
        <f>VLOOKUP($A82,flow_9605,5,FALSE)</f>
        <v>1717800.8846280985</v>
      </c>
      <c r="F82" s="245">
        <f>VLOOKUP($A82,flow_9605,$I$616,FALSE)</f>
        <v>3058.2533540000004</v>
      </c>
      <c r="G82" s="557">
        <f>F82/D82*mtonacft_mgl</f>
        <v>1.4433374474462632</v>
      </c>
      <c r="H82" s="246"/>
      <c r="I82" s="245">
        <f>VLOOKUP($A82,flow_9605,$I$617,FALSE)</f>
        <v>263.66340889999998</v>
      </c>
      <c r="J82" s="557">
        <f>I82/D82*mtonacft_mgl</f>
        <v>0.12443549553831577</v>
      </c>
      <c r="K82" s="208"/>
      <c r="L82" s="365"/>
      <c r="M82" s="208"/>
      <c r="N82" s="208"/>
      <c r="O82" s="208"/>
      <c r="P82" s="208"/>
    </row>
    <row r="83" spans="1:23" s="38" customFormat="1">
      <c r="A83" s="205" t="s">
        <v>513</v>
      </c>
      <c r="B83" s="252" t="s">
        <v>540</v>
      </c>
      <c r="C83" s="107"/>
      <c r="D83" s="240">
        <f>VLOOKUP($A83,flow_9605,5,FALSE)</f>
        <v>436972.92238569196</v>
      </c>
      <c r="F83" s="245"/>
      <c r="G83" s="557"/>
      <c r="H83" s="246"/>
      <c r="I83" s="245"/>
      <c r="J83" s="557"/>
      <c r="K83" s="208"/>
      <c r="L83" s="365"/>
      <c r="M83" s="208"/>
      <c r="N83" s="208"/>
      <c r="O83" s="208"/>
      <c r="P83" s="208"/>
    </row>
    <row r="84" spans="1:23" s="38" customFormat="1">
      <c r="B84" s="209"/>
      <c r="D84" s="206"/>
      <c r="E84" s="206"/>
      <c r="F84" s="207"/>
      <c r="G84" s="207"/>
      <c r="H84" s="206"/>
      <c r="K84" s="208"/>
      <c r="L84" s="208"/>
      <c r="M84" s="208"/>
      <c r="N84" s="208"/>
      <c r="O84" s="208"/>
      <c r="P84" s="208"/>
    </row>
    <row r="85" spans="1:23" s="38" customFormat="1">
      <c r="A85" s="205"/>
      <c r="B85" s="209"/>
      <c r="D85" s="206"/>
      <c r="E85" s="206"/>
      <c r="F85" s="207"/>
      <c r="G85" s="207"/>
      <c r="H85" s="206"/>
      <c r="K85" s="208"/>
      <c r="L85" s="208"/>
      <c r="M85" s="208"/>
      <c r="N85" s="208"/>
      <c r="O85" s="208"/>
      <c r="P85" s="208"/>
    </row>
    <row r="86" spans="1:23" s="38" customFormat="1">
      <c r="A86" s="353" t="s">
        <v>251</v>
      </c>
      <c r="B86" s="229"/>
      <c r="C86" s="230"/>
      <c r="D86" s="231"/>
      <c r="E86" s="231"/>
      <c r="F86" s="231"/>
      <c r="G86" s="231"/>
      <c r="H86" s="231"/>
      <c r="I86" s="231"/>
      <c r="J86" s="230"/>
      <c r="K86" s="232"/>
      <c r="L86" s="232"/>
      <c r="M86" s="232"/>
      <c r="N86" s="232"/>
      <c r="O86" s="232"/>
      <c r="P86" s="232"/>
      <c r="Q86" s="230"/>
      <c r="R86" s="230"/>
      <c r="S86" s="230"/>
      <c r="T86" s="230"/>
      <c r="U86" s="230"/>
      <c r="V86" s="230"/>
      <c r="W86" s="233"/>
    </row>
    <row r="87" spans="1:23" s="38" customFormat="1">
      <c r="A87" s="205"/>
      <c r="B87" s="209"/>
      <c r="D87" s="206"/>
      <c r="E87" s="206"/>
      <c r="F87" s="207"/>
      <c r="G87" s="207"/>
      <c r="H87" s="206"/>
      <c r="K87" s="208"/>
      <c r="L87" s="208"/>
      <c r="M87" s="208"/>
      <c r="N87" s="208"/>
      <c r="O87" s="208"/>
      <c r="P87" s="208"/>
    </row>
    <row r="88" spans="1:23" s="38" customFormat="1">
      <c r="A88" s="251" t="s">
        <v>248</v>
      </c>
      <c r="B88" s="209"/>
      <c r="D88" s="206"/>
      <c r="E88" s="206"/>
      <c r="F88" s="207"/>
      <c r="G88" s="207"/>
      <c r="H88" s="206"/>
      <c r="K88" s="208"/>
      <c r="L88" s="208"/>
      <c r="M88" s="208"/>
      <c r="N88" s="208"/>
      <c r="O88" s="208"/>
      <c r="P88" s="208"/>
    </row>
    <row r="89" spans="1:23" s="38" customFormat="1">
      <c r="A89" s="248" t="s">
        <v>249</v>
      </c>
      <c r="B89" s="209"/>
      <c r="C89" s="107" t="s">
        <v>256</v>
      </c>
      <c r="D89" s="206"/>
      <c r="E89" s="206"/>
      <c r="F89" s="207"/>
      <c r="G89" s="207"/>
      <c r="H89" s="206"/>
      <c r="I89" s="206"/>
      <c r="K89" s="208"/>
      <c r="L89" s="208"/>
      <c r="M89" s="208"/>
      <c r="N89" s="208"/>
      <c r="O89" s="208"/>
      <c r="P89" s="208"/>
    </row>
    <row r="90" spans="1:23" s="38" customFormat="1">
      <c r="A90" s="248" t="s">
        <v>250</v>
      </c>
      <c r="B90" s="209"/>
      <c r="C90" t="s">
        <v>257</v>
      </c>
      <c r="D90" s="206"/>
      <c r="E90" s="206"/>
      <c r="F90" s="207"/>
      <c r="G90" s="207"/>
      <c r="H90" s="206"/>
      <c r="I90" s="246"/>
      <c r="K90" s="208"/>
      <c r="L90" s="208"/>
      <c r="M90" s="208"/>
      <c r="N90" s="208"/>
      <c r="O90" s="208"/>
      <c r="P90" s="208"/>
    </row>
    <row r="91" spans="1:23" s="38" customFormat="1">
      <c r="A91" s="247" t="s">
        <v>234</v>
      </c>
      <c r="B91" s="209"/>
      <c r="C91" t="s">
        <v>422</v>
      </c>
      <c r="D91" s="206"/>
      <c r="E91" s="206"/>
      <c r="F91" s="207"/>
      <c r="G91" s="207"/>
      <c r="H91" s="206"/>
      <c r="I91" s="248"/>
      <c r="K91" s="208"/>
      <c r="L91" s="208"/>
      <c r="M91" s="208"/>
      <c r="N91" s="208"/>
      <c r="O91" s="208"/>
      <c r="P91" s="208"/>
    </row>
    <row r="92" spans="1:23" s="38" customFormat="1">
      <c r="A92" s="248" t="s">
        <v>531</v>
      </c>
      <c r="B92" s="209"/>
      <c r="D92" s="206"/>
      <c r="E92" s="206"/>
      <c r="F92" s="207"/>
      <c r="G92" s="207"/>
      <c r="H92" s="206"/>
      <c r="I92" s="247"/>
      <c r="K92" s="208"/>
      <c r="L92" s="208"/>
      <c r="M92" s="208"/>
      <c r="N92" s="208"/>
      <c r="O92" s="208"/>
      <c r="P92" s="208"/>
    </row>
    <row r="93" spans="1:23" s="38" customFormat="1">
      <c r="A93" s="247" t="s">
        <v>235</v>
      </c>
      <c r="B93" s="209"/>
      <c r="D93" s="206"/>
      <c r="E93" s="206"/>
      <c r="F93" s="207"/>
      <c r="G93" s="207"/>
      <c r="H93" s="206"/>
      <c r="I93" s="206"/>
      <c r="K93" s="208"/>
      <c r="L93" s="208"/>
      <c r="M93" s="208"/>
      <c r="N93" s="208"/>
      <c r="O93" s="208"/>
      <c r="P93" s="208"/>
    </row>
    <row r="94" spans="1:23" s="38" customFormat="1">
      <c r="A94" s="205"/>
      <c r="B94" s="209"/>
      <c r="D94" s="206"/>
      <c r="E94" s="206"/>
      <c r="F94" s="207"/>
      <c r="G94" s="207"/>
      <c r="H94" s="206"/>
      <c r="I94" s="206"/>
      <c r="K94" s="208"/>
      <c r="L94" s="208"/>
      <c r="M94" s="208"/>
      <c r="N94" s="208"/>
      <c r="O94" s="208"/>
      <c r="P94" s="208"/>
    </row>
    <row r="95" spans="1:23" s="38" customFormat="1">
      <c r="A95" s="209" t="s">
        <v>530</v>
      </c>
      <c r="B95" s="209"/>
      <c r="D95" s="206"/>
      <c r="E95" s="206"/>
      <c r="F95" s="207"/>
      <c r="G95" s="207"/>
      <c r="H95" s="206"/>
      <c r="I95" s="206"/>
      <c r="K95" s="208"/>
      <c r="L95" s="208"/>
      <c r="M95" s="208"/>
      <c r="N95" s="208"/>
      <c r="O95" s="208"/>
      <c r="P95" s="208"/>
    </row>
    <row r="96" spans="1:23" s="38" customFormat="1" ht="15.75" thickBot="1">
      <c r="A96" s="39" t="s">
        <v>255</v>
      </c>
      <c r="B96" s="85"/>
      <c r="C96" s="39"/>
      <c r="D96" s="258"/>
      <c r="E96" s="258"/>
      <c r="F96" s="235"/>
      <c r="G96" s="235"/>
      <c r="H96" s="258"/>
      <c r="I96" s="258"/>
      <c r="J96" s="39"/>
      <c r="K96" s="259"/>
      <c r="L96" s="259"/>
      <c r="M96" s="259"/>
      <c r="N96" s="208"/>
      <c r="O96" s="208"/>
      <c r="P96" s="208"/>
    </row>
    <row r="97" spans="1:23" s="38" customFormat="1" ht="15.75" thickBot="1">
      <c r="A97" s="420">
        <v>0</v>
      </c>
      <c r="B97" s="253" t="s">
        <v>152</v>
      </c>
      <c r="E97" s="206"/>
      <c r="F97" s="257" t="s">
        <v>253</v>
      </c>
      <c r="G97" s="256">
        <v>0</v>
      </c>
      <c r="I97" s="206"/>
      <c r="K97" s="208"/>
      <c r="L97" s="208"/>
      <c r="M97" s="208"/>
      <c r="N97" s="208"/>
      <c r="O97" s="208"/>
      <c r="P97" s="208"/>
    </row>
    <row r="98" spans="1:23" s="38" customFormat="1" ht="15.75" thickBot="1">
      <c r="A98" s="420">
        <v>0.8</v>
      </c>
      <c r="B98" s="253" t="s">
        <v>202</v>
      </c>
      <c r="E98" s="206"/>
      <c r="F98" s="257" t="s">
        <v>253</v>
      </c>
      <c r="G98" s="256">
        <v>0.8</v>
      </c>
      <c r="I98" s="206"/>
      <c r="K98" s="208"/>
      <c r="L98" s="208"/>
      <c r="M98" s="208"/>
      <c r="N98" s="208"/>
      <c r="O98" s="208"/>
      <c r="P98" s="208"/>
    </row>
    <row r="99" spans="1:23" s="38" customFormat="1" ht="15.75" thickBot="1">
      <c r="A99" s="420">
        <v>0</v>
      </c>
      <c r="B99" s="419" t="s">
        <v>204</v>
      </c>
      <c r="E99" s="206"/>
      <c r="F99" s="257" t="s">
        <v>253</v>
      </c>
      <c r="G99" s="256">
        <v>0</v>
      </c>
      <c r="I99" s="206"/>
      <c r="K99" s="208"/>
      <c r="L99" s="208"/>
      <c r="M99" s="208"/>
      <c r="N99" s="208"/>
      <c r="O99" s="208"/>
      <c r="P99" s="208"/>
    </row>
    <row r="100" spans="1:23" s="38" customFormat="1" ht="15.75" thickBot="1">
      <c r="A100" s="420">
        <v>0</v>
      </c>
      <c r="B100" s="254" t="s">
        <v>529</v>
      </c>
      <c r="F100" s="257" t="s">
        <v>253</v>
      </c>
      <c r="G100" s="250" t="s">
        <v>254</v>
      </c>
      <c r="I100" s="206"/>
      <c r="K100" s="208"/>
      <c r="L100" s="208"/>
      <c r="M100" s="208"/>
      <c r="N100" s="208"/>
      <c r="O100" s="208"/>
      <c r="P100" s="208"/>
    </row>
    <row r="101" spans="1:23" s="38" customFormat="1">
      <c r="A101" s="205"/>
      <c r="B101" s="209"/>
      <c r="D101" s="206"/>
      <c r="E101" s="206"/>
      <c r="F101" s="207"/>
      <c r="G101" s="207"/>
      <c r="H101" s="206"/>
      <c r="I101" s="206"/>
      <c r="K101" s="208"/>
      <c r="L101" s="208"/>
      <c r="M101" s="208"/>
      <c r="N101" s="208"/>
      <c r="O101" s="208"/>
      <c r="P101" s="208"/>
    </row>
    <row r="102" spans="1:23" s="38" customFormat="1">
      <c r="A102" s="205"/>
      <c r="B102" s="209"/>
      <c r="D102" s="1440" t="s">
        <v>233</v>
      </c>
      <c r="E102" s="1440"/>
      <c r="F102" s="1440"/>
      <c r="G102" s="1440"/>
      <c r="H102" s="1440"/>
      <c r="I102" s="1440"/>
      <c r="J102"/>
      <c r="K102" s="1441" t="s">
        <v>423</v>
      </c>
      <c r="L102" s="1441"/>
      <c r="M102" s="1441"/>
      <c r="N102" s="1441"/>
      <c r="O102" s="1441"/>
      <c r="P102" s="1441"/>
      <c r="R102" s="1442" t="s">
        <v>424</v>
      </c>
      <c r="S102" s="1442"/>
      <c r="T102" s="1442"/>
      <c r="U102" s="1442"/>
      <c r="V102" s="1442"/>
      <c r="W102" s="1442"/>
    </row>
    <row r="103" spans="1:23" s="38" customFormat="1" ht="30">
      <c r="A103" s="205"/>
      <c r="B103" s="255" t="s">
        <v>252</v>
      </c>
      <c r="D103" s="363" t="str">
        <f t="shared" ref="D103:I103" si="21">VLOOKUP(D$24,subwatgeog,2,FALSE)</f>
        <v>Coastal</v>
      </c>
      <c r="E103" s="363" t="str">
        <f t="shared" si="21"/>
        <v>Tidal Cal.</v>
      </c>
      <c r="F103" s="363" t="str">
        <f t="shared" si="21"/>
        <v>West Cal.</v>
      </c>
      <c r="G103" s="363" t="str">
        <f t="shared" si="21"/>
        <v>East Cal.</v>
      </c>
      <c r="H103" s="363" t="str">
        <f t="shared" si="21"/>
        <v>S-4</v>
      </c>
      <c r="I103" s="363" t="str">
        <f t="shared" si="21"/>
        <v>Total CRWPP</v>
      </c>
      <c r="J103"/>
      <c r="K103" s="351" t="str">
        <f t="shared" ref="K103:W103" si="22">VLOOKUP(K$24,subwatgeog,2,FALSE)</f>
        <v>Coastal</v>
      </c>
      <c r="L103" s="351" t="str">
        <f t="shared" si="22"/>
        <v>Tidal Cal.</v>
      </c>
      <c r="M103" s="351" t="str">
        <f t="shared" si="22"/>
        <v>West Cal.</v>
      </c>
      <c r="N103" s="351" t="str">
        <f t="shared" si="22"/>
        <v>East Cal.</v>
      </c>
      <c r="O103" s="351" t="str">
        <f t="shared" si="22"/>
        <v>S-4</v>
      </c>
      <c r="P103" s="351" t="str">
        <f t="shared" si="22"/>
        <v>Total CRWPP</v>
      </c>
      <c r="R103" s="352" t="str">
        <f t="shared" si="22"/>
        <v>Coastal</v>
      </c>
      <c r="S103" s="352" t="str">
        <f t="shared" si="22"/>
        <v>Tidal Cal.</v>
      </c>
      <c r="T103" s="352" t="str">
        <f t="shared" si="22"/>
        <v>West Cal.</v>
      </c>
      <c r="U103" s="352" t="str">
        <f t="shared" si="22"/>
        <v>East Cal.</v>
      </c>
      <c r="V103" s="352" t="str">
        <f t="shared" si="22"/>
        <v>S-4</v>
      </c>
      <c r="W103" s="352" t="str">
        <f t="shared" si="22"/>
        <v>Total CRWPP</v>
      </c>
    </row>
    <row r="104" spans="1:23">
      <c r="B104" t="s">
        <v>246</v>
      </c>
      <c r="D104" s="197">
        <f>D$66</f>
        <v>220186.07470845763</v>
      </c>
      <c r="E104" s="197">
        <f t="shared" ref="E104:I104" si="23">E$66</f>
        <v>432717.0536133268</v>
      </c>
      <c r="F104" s="197">
        <f t="shared" si="23"/>
        <v>593758.63318014727</v>
      </c>
      <c r="G104" s="197">
        <f t="shared" si="23"/>
        <v>380060.55320967815</v>
      </c>
      <c r="H104" s="197">
        <f t="shared" si="23"/>
        <v>94946.376246117099</v>
      </c>
      <c r="I104" s="197">
        <f t="shared" si="23"/>
        <v>1721668.6909577269</v>
      </c>
      <c r="K104" s="199">
        <f>K$66</f>
        <v>279.68152923262539</v>
      </c>
      <c r="L104" s="199">
        <f t="shared" ref="L104:P104" si="24">L$66</f>
        <v>623.40347657127018</v>
      </c>
      <c r="M104" s="199">
        <f t="shared" si="24"/>
        <v>949.74770250341794</v>
      </c>
      <c r="N104" s="199">
        <f t="shared" si="24"/>
        <v>635.83440832001418</v>
      </c>
      <c r="O104" s="199">
        <f t="shared" si="24"/>
        <v>152.04595550062496</v>
      </c>
      <c r="P104" s="199">
        <f t="shared" si="24"/>
        <v>2640.7130721279532</v>
      </c>
      <c r="R104" s="199">
        <f>R$66</f>
        <v>29.362276028594881</v>
      </c>
      <c r="S104" s="199">
        <f t="shared" ref="S104:W104" si="25">S$66</f>
        <v>92.750882907777395</v>
      </c>
      <c r="T104" s="199">
        <f t="shared" si="25"/>
        <v>107.16751154242986</v>
      </c>
      <c r="U104" s="199">
        <f t="shared" si="25"/>
        <v>61.954980968473031</v>
      </c>
      <c r="V104" s="199">
        <f t="shared" si="25"/>
        <v>12.559720048664271</v>
      </c>
      <c r="W104" s="199">
        <f t="shared" si="25"/>
        <v>303.79537149593949</v>
      </c>
    </row>
    <row r="105" spans="1:23">
      <c r="B105" t="s">
        <v>247</v>
      </c>
      <c r="D105" s="418"/>
      <c r="E105" s="197">
        <f>$D$83</f>
        <v>436972.92238569196</v>
      </c>
      <c r="F105" s="204">
        <f>$D$82-$D$81</f>
        <v>592883.25223140395</v>
      </c>
      <c r="G105" s="204">
        <f>$D$81-$D$80-$D$79</f>
        <v>200349.20727272725</v>
      </c>
      <c r="H105" s="196">
        <f>$D$79</f>
        <v>63034.099834710745</v>
      </c>
      <c r="I105" s="196"/>
      <c r="M105" s="51">
        <f>$F$82-$F$81</f>
        <v>957.86749900000132</v>
      </c>
      <c r="N105" s="51">
        <f>$F$81-$F$80-$F$79</f>
        <v>215.66483599999884</v>
      </c>
      <c r="O105" s="198">
        <f>$F$79</f>
        <v>157.62772899999999</v>
      </c>
      <c r="T105" s="51">
        <f>$I$82-$I$81</f>
        <v>108.05345510000004</v>
      </c>
      <c r="U105" s="51">
        <f>$I$81-$I$80-$I$79</f>
        <v>42.276133499999943</v>
      </c>
      <c r="V105" s="198">
        <f>$I$79</f>
        <v>9.774497199999999</v>
      </c>
    </row>
    <row r="106" spans="1:23">
      <c r="B106" s="369" t="s">
        <v>244</v>
      </c>
      <c r="D106" s="831"/>
      <c r="E106" s="832">
        <f>E105/E104</f>
        <v>1.0098352231251977</v>
      </c>
      <c r="F106" s="832">
        <f>F105/F104</f>
        <v>0.99852569562811266</v>
      </c>
      <c r="G106" s="832">
        <f>G105/G104</f>
        <v>0.52715075421730295</v>
      </c>
      <c r="H106" s="832">
        <f>H105/H104</f>
        <v>0.66389158098372991</v>
      </c>
      <c r="I106" s="833"/>
      <c r="J106" s="834"/>
      <c r="K106" s="831"/>
      <c r="L106" s="831"/>
      <c r="M106" s="832">
        <f>M105/M104</f>
        <v>1.0085494247316213</v>
      </c>
      <c r="N106" s="832">
        <f>N105/N104</f>
        <v>0.3391839654758903</v>
      </c>
      <c r="O106" s="832">
        <f>O105/O104</f>
        <v>1.0367110948857308</v>
      </c>
      <c r="P106" s="833"/>
      <c r="Q106" s="269"/>
      <c r="R106" s="831"/>
      <c r="S106" s="831"/>
      <c r="T106" s="832">
        <f>T105/T104</f>
        <v>1.008266904258754</v>
      </c>
      <c r="U106" s="832">
        <f>U105/U104</f>
        <v>0.68236859795845883</v>
      </c>
      <c r="V106" s="832">
        <f>V105/V104</f>
        <v>0.77824164568377607</v>
      </c>
      <c r="W106" s="833"/>
    </row>
    <row r="107" spans="1:23">
      <c r="B107" s="369" t="s">
        <v>245</v>
      </c>
      <c r="D107" s="835">
        <f>IF($A$100=0,$E106,$A$100)</f>
        <v>1.0098352231251977</v>
      </c>
      <c r="E107" s="835">
        <f>IF($A$100=0,$E106,$A$100)</f>
        <v>1.0098352231251977</v>
      </c>
      <c r="F107" s="835">
        <f>IF($A$99=0,F106,$A$99)</f>
        <v>0.99852569562811266</v>
      </c>
      <c r="G107" s="835">
        <f>IF($A$98=0,G106,$A$98)</f>
        <v>0.8</v>
      </c>
      <c r="H107" s="835">
        <f>IF($A$97=0,H106,$A$97)</f>
        <v>0.66389158098372991</v>
      </c>
      <c r="I107" s="836">
        <f>I108/I104</f>
        <v>0.94053541160758969</v>
      </c>
      <c r="J107" s="834"/>
      <c r="K107" s="835">
        <f>IF($A$100=0,$E106,$A$100)</f>
        <v>1.0098352231251977</v>
      </c>
      <c r="L107" s="835">
        <f>IF($A$100=0,$E106,$A$100)</f>
        <v>1.0098352231251977</v>
      </c>
      <c r="M107" s="835">
        <f>IF($A$99=0,M106,$A$99)</f>
        <v>1.0085494247316213</v>
      </c>
      <c r="N107" s="835">
        <f>IF($A$98=0,N106,$A$98)</f>
        <v>0.8</v>
      </c>
      <c r="O107" s="835">
        <f>IF($A$97=0,O106,$A$97)</f>
        <v>1.0367110948857308</v>
      </c>
      <c r="P107" s="836">
        <f>P108/P104</f>
        <v>0.96039582253793765</v>
      </c>
      <c r="Q107" s="269"/>
      <c r="R107" s="835">
        <f>IF($A$100=0,$E106,$A$100)</f>
        <v>1.0098352231251977</v>
      </c>
      <c r="S107" s="835">
        <f>IF($A$100=0,$E106,$A$100)</f>
        <v>1.0098352231251977</v>
      </c>
      <c r="T107" s="835">
        <f>IF($A$99=0,T106,$A$99)</f>
        <v>1.008266904258754</v>
      </c>
      <c r="U107" s="835">
        <f>IF($A$98=0,U106,$A$98)</f>
        <v>0.8</v>
      </c>
      <c r="V107" s="835">
        <f>IF($A$97=0,V106,$A$97)</f>
        <v>0.77824164568377607</v>
      </c>
      <c r="W107" s="836">
        <f>W108/W104</f>
        <v>0.95691420426956131</v>
      </c>
    </row>
    <row r="108" spans="1:23" s="38" customFormat="1">
      <c r="B108" s="370" t="s">
        <v>916</v>
      </c>
      <c r="C108" s="107"/>
      <c r="D108" s="829">
        <f>D$104*D$107</f>
        <v>222351.65388227676</v>
      </c>
      <c r="E108" s="829">
        <f t="shared" ref="E108:H108" si="26">E$104*E$107</f>
        <v>436972.92238569201</v>
      </c>
      <c r="F108" s="829">
        <f t="shared" si="26"/>
        <v>592883.25223140395</v>
      </c>
      <c r="G108" s="829">
        <f t="shared" si="26"/>
        <v>304048.44256774255</v>
      </c>
      <c r="H108" s="829">
        <f t="shared" si="26"/>
        <v>63034.099834710738</v>
      </c>
      <c r="I108" s="829">
        <f>SUM(D108:H108)</f>
        <v>1619290.3709018258</v>
      </c>
      <c r="K108" s="830">
        <f>K$104*K$107</f>
        <v>282.43225947662478</v>
      </c>
      <c r="L108" s="830">
        <f t="shared" ref="L108:O108" si="27">L$104*L$107</f>
        <v>629.5347888603726</v>
      </c>
      <c r="M108" s="830">
        <f t="shared" si="27"/>
        <v>957.8674990000012</v>
      </c>
      <c r="N108" s="830">
        <f t="shared" si="27"/>
        <v>508.66752665601138</v>
      </c>
      <c r="O108" s="830">
        <f t="shared" si="27"/>
        <v>157.62772899999999</v>
      </c>
      <c r="P108" s="830">
        <f>SUM(K108:O108)</f>
        <v>2536.1298029930099</v>
      </c>
      <c r="R108" s="830">
        <f>R$104*R$107</f>
        <v>29.651060564799756</v>
      </c>
      <c r="S108" s="830">
        <f t="shared" ref="S108:V108" si="28">S$104*S$107</f>
        <v>93.663108536234475</v>
      </c>
      <c r="T108" s="830">
        <f t="shared" si="28"/>
        <v>108.05345510000005</v>
      </c>
      <c r="U108" s="830">
        <f t="shared" si="28"/>
        <v>49.563984774778426</v>
      </c>
      <c r="V108" s="830">
        <f t="shared" si="28"/>
        <v>9.774497199999999</v>
      </c>
      <c r="W108" s="830">
        <f>SUM(R108:V108)</f>
        <v>290.70610617581269</v>
      </c>
    </row>
    <row r="112" spans="1:23">
      <c r="A112" s="779" t="s">
        <v>907</v>
      </c>
      <c r="B112" s="838" t="s">
        <v>1024</v>
      </c>
      <c r="L112" s="27"/>
    </row>
    <row r="113" spans="1:23">
      <c r="A113" s="567" t="s">
        <v>920</v>
      </c>
      <c r="B113" s="568"/>
      <c r="C113" s="569"/>
      <c r="D113" s="570"/>
      <c r="E113" s="570"/>
      <c r="F113" s="570"/>
      <c r="G113" s="570"/>
      <c r="H113" s="570"/>
      <c r="I113" s="570"/>
      <c r="J113" s="569"/>
      <c r="K113" s="571"/>
      <c r="L113" s="571"/>
      <c r="M113" s="571"/>
      <c r="N113" s="571"/>
      <c r="O113" s="571"/>
      <c r="P113" s="571"/>
      <c r="Q113" s="569"/>
      <c r="R113" s="569"/>
      <c r="S113" s="572"/>
      <c r="T113" s="572"/>
      <c r="U113" s="572"/>
      <c r="V113" s="572"/>
      <c r="W113" s="606" t="s">
        <v>745</v>
      </c>
    </row>
    <row r="115" spans="1:23">
      <c r="C115" s="99"/>
      <c r="D115" s="1440" t="s">
        <v>660</v>
      </c>
      <c r="E115" s="1440"/>
      <c r="F115" s="1440"/>
      <c r="G115" s="1440"/>
      <c r="H115" s="1440"/>
      <c r="I115" s="1440"/>
      <c r="K115" s="1441" t="s">
        <v>661</v>
      </c>
      <c r="L115" s="1441"/>
      <c r="M115" s="1441"/>
      <c r="N115" s="1441"/>
      <c r="O115" s="1441"/>
      <c r="P115" s="1441"/>
      <c r="R115" s="1442" t="s">
        <v>662</v>
      </c>
      <c r="S115" s="1442"/>
      <c r="T115" s="1442"/>
      <c r="U115" s="1442"/>
      <c r="V115" s="1442"/>
      <c r="W115" s="1442"/>
    </row>
    <row r="116" spans="1:23" ht="30">
      <c r="A116" s="521" t="s">
        <v>630</v>
      </c>
      <c r="B116" s="544" t="s">
        <v>214</v>
      </c>
      <c r="D116" s="363" t="str">
        <f t="shared" ref="D116:I116" si="29">VLOOKUP(D$24,subwatgeog,2,FALSE)</f>
        <v>Coastal</v>
      </c>
      <c r="E116" s="363" t="str">
        <f t="shared" si="29"/>
        <v>Tidal Cal.</v>
      </c>
      <c r="F116" s="363" t="str">
        <f t="shared" si="29"/>
        <v>West Cal.</v>
      </c>
      <c r="G116" s="363" t="str">
        <f t="shared" si="29"/>
        <v>East Cal.</v>
      </c>
      <c r="H116" s="363" t="str">
        <f t="shared" si="29"/>
        <v>S-4</v>
      </c>
      <c r="I116" s="364" t="str">
        <f t="shared" si="29"/>
        <v>Total CRWPP</v>
      </c>
      <c r="K116" s="351" t="str">
        <f t="shared" ref="K116:W116" si="30">VLOOKUP(K$24,subwatgeog,2,FALSE)</f>
        <v>Coastal</v>
      </c>
      <c r="L116" s="351" t="str">
        <f t="shared" si="30"/>
        <v>Tidal Cal.</v>
      </c>
      <c r="M116" s="351" t="str">
        <f t="shared" si="30"/>
        <v>West Cal.</v>
      </c>
      <c r="N116" s="351" t="str">
        <f t="shared" si="30"/>
        <v>East Cal.</v>
      </c>
      <c r="O116" s="351" t="str">
        <f t="shared" si="30"/>
        <v>S-4</v>
      </c>
      <c r="P116" s="355" t="str">
        <f t="shared" si="30"/>
        <v>Total CRWPP</v>
      </c>
      <c r="R116" s="352" t="str">
        <f t="shared" si="30"/>
        <v>Coastal</v>
      </c>
      <c r="S116" s="352" t="str">
        <f t="shared" si="30"/>
        <v>Tidal Cal.</v>
      </c>
      <c r="T116" s="352" t="str">
        <f t="shared" si="30"/>
        <v>West Cal.</v>
      </c>
      <c r="U116" s="352" t="str">
        <f t="shared" si="30"/>
        <v>East Cal.</v>
      </c>
      <c r="V116" s="352" t="str">
        <f t="shared" si="30"/>
        <v>S-4</v>
      </c>
      <c r="W116" s="356" t="str">
        <f t="shared" si="30"/>
        <v>Total CRWPP</v>
      </c>
    </row>
    <row r="117" spans="1:23">
      <c r="A117" s="777">
        <v>1</v>
      </c>
      <c r="B117" t="str">
        <f t="shared" ref="B117:B136" si="31">VLOOKUP($A117,bott_bmpeff,2,FALSE)</f>
        <v>Residential Low Density</v>
      </c>
      <c r="D117" s="196">
        <f t="shared" ref="D117:I126" si="32">SUMIF($C$28:$C$65,$A117,D$28:D$65)*D$107</f>
        <v>60001.656823433979</v>
      </c>
      <c r="E117" s="196">
        <f t="shared" si="32"/>
        <v>63971.077524917171</v>
      </c>
      <c r="F117" s="196">
        <f t="shared" si="32"/>
        <v>31103.681301788289</v>
      </c>
      <c r="G117" s="196">
        <f t="shared" si="32"/>
        <v>5038.2515501283542</v>
      </c>
      <c r="H117" s="196">
        <f t="shared" si="32"/>
        <v>763.6316676954043</v>
      </c>
      <c r="I117" s="196">
        <f t="shared" si="32"/>
        <v>151767.58305679075</v>
      </c>
      <c r="K117" s="198">
        <f t="shared" ref="K117:P126" si="33">SUMIF($C$28:$C$65,$A117,K$28:K$65)*K$107</f>
        <v>73.244302820116658</v>
      </c>
      <c r="L117" s="198">
        <f t="shared" si="33"/>
        <v>78.089793216080622</v>
      </c>
      <c r="M117" s="198">
        <f t="shared" si="33"/>
        <v>38.349556059459822</v>
      </c>
      <c r="N117" s="198">
        <f t="shared" si="33"/>
        <v>6.1502172066255207</v>
      </c>
      <c r="O117" s="198">
        <f t="shared" si="33"/>
        <v>1.4556438241669132</v>
      </c>
      <c r="P117" s="198">
        <f t="shared" si="33"/>
        <v>189.17543246070261</v>
      </c>
      <c r="R117" s="198">
        <f t="shared" ref="R117:W126" si="34">SUMIF($C$28:$C$65,$A117,R$28:R$65)*R$107</f>
        <v>7.5061413518893856</v>
      </c>
      <c r="S117" s="198">
        <f t="shared" si="34"/>
        <v>8.0027115209119888</v>
      </c>
      <c r="T117" s="198">
        <f t="shared" si="34"/>
        <v>3.928995721551062</v>
      </c>
      <c r="U117" s="198">
        <f t="shared" si="34"/>
        <v>0.63027973399009996</v>
      </c>
      <c r="V117" s="198">
        <f t="shared" si="34"/>
        <v>0.11198367921878605</v>
      </c>
      <c r="W117" s="198">
        <f t="shared" si="34"/>
        <v>19.316585620044041</v>
      </c>
    </row>
    <row r="118" spans="1:23">
      <c r="A118" s="777">
        <v>2</v>
      </c>
      <c r="B118" t="str">
        <f t="shared" si="31"/>
        <v>Residential Medium Density</v>
      </c>
      <c r="D118" s="196">
        <f t="shared" si="32"/>
        <v>9346.9146838462784</v>
      </c>
      <c r="E118" s="196">
        <f t="shared" si="32"/>
        <v>64440.889141198568</v>
      </c>
      <c r="F118" s="196">
        <f t="shared" si="32"/>
        <v>4354.648332018176</v>
      </c>
      <c r="G118" s="196">
        <f t="shared" si="32"/>
        <v>758.84330900061536</v>
      </c>
      <c r="H118" s="196">
        <f t="shared" si="32"/>
        <v>2479.2018154123989</v>
      </c>
      <c r="I118" s="196">
        <f t="shared" si="32"/>
        <v>77230.308268796929</v>
      </c>
      <c r="K118" s="198">
        <f t="shared" si="33"/>
        <v>14.042858368743818</v>
      </c>
      <c r="L118" s="198">
        <f t="shared" si="33"/>
        <v>96.81636240135127</v>
      </c>
      <c r="M118" s="198">
        <f t="shared" si="33"/>
        <v>6.6081252552665726</v>
      </c>
      <c r="N118" s="198">
        <f t="shared" si="33"/>
        <v>1.1400905510329786</v>
      </c>
      <c r="O118" s="198">
        <f t="shared" si="33"/>
        <v>5.8164728268654358</v>
      </c>
      <c r="P118" s="198">
        <f t="shared" si="33"/>
        <v>118.48138335296959</v>
      </c>
      <c r="R118" s="198">
        <f t="shared" si="34"/>
        <v>2.8268519438674997</v>
      </c>
      <c r="S118" s="198">
        <f t="shared" si="34"/>
        <v>19.489303036880393</v>
      </c>
      <c r="T118" s="198">
        <f t="shared" si="34"/>
        <v>1.3298545377029658</v>
      </c>
      <c r="U118" s="198">
        <f t="shared" si="34"/>
        <v>0.22950222139574572</v>
      </c>
      <c r="V118" s="198">
        <f t="shared" si="34"/>
        <v>0.87894959758906976</v>
      </c>
      <c r="W118" s="198">
        <f t="shared" si="34"/>
        <v>23.764046983911083</v>
      </c>
    </row>
    <row r="119" spans="1:23">
      <c r="A119" s="777">
        <v>3</v>
      </c>
      <c r="B119" t="str">
        <f t="shared" si="31"/>
        <v>Residential High Density</v>
      </c>
      <c r="D119" s="196">
        <f t="shared" si="32"/>
        <v>7479.3480768418422</v>
      </c>
      <c r="E119" s="196">
        <f t="shared" si="32"/>
        <v>26524.443064737421</v>
      </c>
      <c r="F119" s="196">
        <f t="shared" si="32"/>
        <v>1204.8648863661513</v>
      </c>
      <c r="G119" s="196">
        <f t="shared" si="32"/>
        <v>144.29489648643565</v>
      </c>
      <c r="H119" s="196">
        <f t="shared" si="32"/>
        <v>156.89640402144028</v>
      </c>
      <c r="I119" s="196">
        <f t="shared" si="32"/>
        <v>33197.094901207463</v>
      </c>
      <c r="K119" s="198">
        <f t="shared" si="33"/>
        <v>13.695112712870296</v>
      </c>
      <c r="L119" s="198">
        <f t="shared" si="33"/>
        <v>48.567767362295896</v>
      </c>
      <c r="M119" s="198">
        <f t="shared" si="33"/>
        <v>2.2283230587137997</v>
      </c>
      <c r="N119" s="198">
        <f t="shared" si="33"/>
        <v>0.2642121814590172</v>
      </c>
      <c r="O119" s="198">
        <f t="shared" si="33"/>
        <v>0.44861670464189846</v>
      </c>
      <c r="P119" s="198">
        <f t="shared" si="33"/>
        <v>62.069329871566836</v>
      </c>
      <c r="R119" s="198">
        <f t="shared" si="34"/>
        <v>3.9383573361420208</v>
      </c>
      <c r="S119" s="198">
        <f t="shared" si="34"/>
        <v>13.966823559734552</v>
      </c>
      <c r="T119" s="198">
        <f t="shared" si="34"/>
        <v>0.64062810482269739</v>
      </c>
      <c r="U119" s="198">
        <f t="shared" si="34"/>
        <v>7.5980534440531863E-2</v>
      </c>
      <c r="V119" s="198">
        <f t="shared" si="34"/>
        <v>9.6845995786180736E-2</v>
      </c>
      <c r="W119" s="198">
        <f t="shared" si="34"/>
        <v>17.784812981770205</v>
      </c>
    </row>
    <row r="120" spans="1:23">
      <c r="A120" s="777">
        <v>4</v>
      </c>
      <c r="B120" t="str">
        <f t="shared" si="31"/>
        <v>Other Urban</v>
      </c>
      <c r="D120" s="196">
        <f t="shared" si="32"/>
        <v>9936.8248088091932</v>
      </c>
      <c r="E120" s="196">
        <f t="shared" si="32"/>
        <v>40912.856068072913</v>
      </c>
      <c r="F120" s="196">
        <f t="shared" si="32"/>
        <v>5288.5728831589968</v>
      </c>
      <c r="G120" s="196">
        <f t="shared" si="32"/>
        <v>2746.517119962662</v>
      </c>
      <c r="H120" s="196">
        <f t="shared" si="32"/>
        <v>4480.4636129772598</v>
      </c>
      <c r="I120" s="196">
        <f t="shared" si="32"/>
        <v>61918.032302450265</v>
      </c>
      <c r="K120" s="198">
        <f t="shared" si="33"/>
        <v>14.650653480738303</v>
      </c>
      <c r="L120" s="198">
        <f t="shared" si="33"/>
        <v>61.335215811535882</v>
      </c>
      <c r="M120" s="198">
        <f t="shared" si="33"/>
        <v>8.0728521124100148</v>
      </c>
      <c r="N120" s="198">
        <f t="shared" si="33"/>
        <v>3.6129593239575346</v>
      </c>
      <c r="O120" s="198">
        <f t="shared" si="33"/>
        <v>10.194047786498341</v>
      </c>
      <c r="P120" s="198">
        <f t="shared" si="33"/>
        <v>93.734145598393255</v>
      </c>
      <c r="R120" s="198">
        <f t="shared" si="34"/>
        <v>2.664336544342194</v>
      </c>
      <c r="S120" s="198">
        <f t="shared" si="34"/>
        <v>11.432809773594101</v>
      </c>
      <c r="T120" s="198">
        <f t="shared" si="34"/>
        <v>1.6674390000505823</v>
      </c>
      <c r="U120" s="198">
        <f t="shared" si="34"/>
        <v>0.66944668659072915</v>
      </c>
      <c r="V120" s="198">
        <f t="shared" si="34"/>
        <v>1.8493930588856811</v>
      </c>
      <c r="W120" s="198">
        <f t="shared" si="34"/>
        <v>18.01563015985063</v>
      </c>
    </row>
    <row r="121" spans="1:23">
      <c r="A121" s="777">
        <v>5</v>
      </c>
      <c r="B121" t="str">
        <f t="shared" si="31"/>
        <v>Improved Pasture</v>
      </c>
      <c r="D121" s="196">
        <f t="shared" si="32"/>
        <v>6109.1691240258306</v>
      </c>
      <c r="E121" s="196">
        <f t="shared" si="32"/>
        <v>50546.876412901998</v>
      </c>
      <c r="F121" s="196">
        <f t="shared" si="32"/>
        <v>126953.12628535804</v>
      </c>
      <c r="G121" s="196">
        <f t="shared" si="32"/>
        <v>67384.27337005196</v>
      </c>
      <c r="H121" s="196">
        <f t="shared" si="32"/>
        <v>1210.3568817373964</v>
      </c>
      <c r="I121" s="196">
        <f t="shared" si="32"/>
        <v>253284.57234048093</v>
      </c>
      <c r="K121" s="198">
        <f t="shared" si="33"/>
        <v>13.796358891221281</v>
      </c>
      <c r="L121" s="198">
        <f t="shared" si="33"/>
        <v>114.15019516812039</v>
      </c>
      <c r="M121" s="198">
        <f t="shared" si="33"/>
        <v>289.57674091393136</v>
      </c>
      <c r="N121" s="198">
        <f t="shared" si="33"/>
        <v>152.1741500626151</v>
      </c>
      <c r="O121" s="198">
        <f t="shared" si="33"/>
        <v>4.2683140311923182</v>
      </c>
      <c r="P121" s="198">
        <f t="shared" si="33"/>
        <v>584.07172635067366</v>
      </c>
      <c r="R121" s="198">
        <f t="shared" si="34"/>
        <v>2.0016080490324928</v>
      </c>
      <c r="S121" s="198">
        <f t="shared" si="34"/>
        <v>16.56117757218723</v>
      </c>
      <c r="T121" s="198">
        <f t="shared" si="34"/>
        <v>42.000702783939772</v>
      </c>
      <c r="U121" s="198">
        <f t="shared" si="34"/>
        <v>22.077781972881517</v>
      </c>
      <c r="V121" s="198">
        <f t="shared" si="34"/>
        <v>0.46486584707333434</v>
      </c>
      <c r="W121" s="198">
        <f t="shared" si="34"/>
        <v>84.431300310504085</v>
      </c>
    </row>
    <row r="122" spans="1:23">
      <c r="A122" s="777">
        <v>6</v>
      </c>
      <c r="B122" t="str">
        <f t="shared" si="31"/>
        <v>Unimproved Pasture</v>
      </c>
      <c r="D122" s="196">
        <f t="shared" si="32"/>
        <v>914.59655224495475</v>
      </c>
      <c r="E122" s="196">
        <f t="shared" si="32"/>
        <v>9403.1965286370269</v>
      </c>
      <c r="F122" s="196">
        <f t="shared" si="32"/>
        <v>24232.380699953206</v>
      </c>
      <c r="G122" s="196">
        <f t="shared" si="32"/>
        <v>8778.2673586970413</v>
      </c>
      <c r="H122" s="196">
        <f t="shared" si="32"/>
        <v>0</v>
      </c>
      <c r="I122" s="196">
        <f t="shared" si="32"/>
        <v>42755.138241457025</v>
      </c>
      <c r="K122" s="198">
        <f t="shared" si="33"/>
        <v>1.2280975128868661</v>
      </c>
      <c r="L122" s="198">
        <f t="shared" si="33"/>
        <v>12.626378529046384</v>
      </c>
      <c r="M122" s="198">
        <f t="shared" si="33"/>
        <v>32.86527843438769</v>
      </c>
      <c r="N122" s="198">
        <f t="shared" si="33"/>
        <v>11.787239175798311</v>
      </c>
      <c r="O122" s="198">
        <f t="shared" si="33"/>
        <v>0</v>
      </c>
      <c r="P122" s="198">
        <f t="shared" si="33"/>
        <v>58.62282158166807</v>
      </c>
      <c r="R122" s="198">
        <f t="shared" si="34"/>
        <v>0.18493203867353442</v>
      </c>
      <c r="S122" s="198">
        <f t="shared" si="34"/>
        <v>1.9013326693833925</v>
      </c>
      <c r="T122" s="198">
        <f t="shared" si="34"/>
        <v>4.9476041759915894</v>
      </c>
      <c r="U122" s="198">
        <f t="shared" si="34"/>
        <v>1.7749715704486915</v>
      </c>
      <c r="V122" s="198">
        <f t="shared" si="34"/>
        <v>0</v>
      </c>
      <c r="W122" s="198">
        <f t="shared" si="34"/>
        <v>8.7956666606044713</v>
      </c>
    </row>
    <row r="123" spans="1:23">
      <c r="A123" s="777">
        <v>7</v>
      </c>
      <c r="B123" t="str">
        <f t="shared" si="31"/>
        <v>Rangeland, Woodland Pasture</v>
      </c>
      <c r="D123" s="196">
        <f t="shared" si="32"/>
        <v>18635.73468776287</v>
      </c>
      <c r="E123" s="196">
        <f t="shared" si="32"/>
        <v>38073.328356579455</v>
      </c>
      <c r="F123" s="196">
        <f t="shared" si="32"/>
        <v>51767.997328778409</v>
      </c>
      <c r="G123" s="196">
        <f t="shared" si="32"/>
        <v>15244.209201397733</v>
      </c>
      <c r="H123" s="196">
        <f t="shared" si="32"/>
        <v>281.13704130626843</v>
      </c>
      <c r="I123" s="196">
        <f t="shared" si="32"/>
        <v>119899.37008931914</v>
      </c>
      <c r="K123" s="198">
        <f t="shared" si="33"/>
        <v>23.245555570481713</v>
      </c>
      <c r="L123" s="198">
        <f t="shared" si="33"/>
        <v>45.607630190056945</v>
      </c>
      <c r="M123" s="198">
        <f t="shared" si="33"/>
        <v>60.611984444504543</v>
      </c>
      <c r="N123" s="198">
        <f t="shared" si="33"/>
        <v>16.805852251379992</v>
      </c>
      <c r="O123" s="198">
        <f t="shared" si="33"/>
        <v>0.54930446262921928</v>
      </c>
      <c r="P123" s="198">
        <f t="shared" si="33"/>
        <v>143.88452621776446</v>
      </c>
      <c r="R123" s="198">
        <f t="shared" si="34"/>
        <v>1.2078040249262341</v>
      </c>
      <c r="S123" s="198">
        <f t="shared" si="34"/>
        <v>3.260309986941643</v>
      </c>
      <c r="T123" s="198">
        <f t="shared" si="34"/>
        <v>5.3273234204675681</v>
      </c>
      <c r="U123" s="198">
        <f t="shared" si="34"/>
        <v>1.9177292607317822</v>
      </c>
      <c r="V123" s="198">
        <f t="shared" si="34"/>
        <v>2.0824184126462621E-2</v>
      </c>
      <c r="W123" s="198">
        <f t="shared" si="34"/>
        <v>11.609436922884564</v>
      </c>
    </row>
    <row r="124" spans="1:23">
      <c r="A124" s="777">
        <v>8</v>
      </c>
      <c r="B124" t="str">
        <f t="shared" si="31"/>
        <v>Row Crops</v>
      </c>
      <c r="D124" s="196">
        <f t="shared" si="32"/>
        <v>1593.0987015243495</v>
      </c>
      <c r="E124" s="196">
        <f t="shared" si="32"/>
        <v>5063.6223872010059</v>
      </c>
      <c r="F124" s="196">
        <f t="shared" si="32"/>
        <v>17048.274833047348</v>
      </c>
      <c r="G124" s="196">
        <f t="shared" si="32"/>
        <v>2307.8897996227674</v>
      </c>
      <c r="H124" s="196">
        <f t="shared" si="32"/>
        <v>0</v>
      </c>
      <c r="I124" s="196">
        <f t="shared" si="32"/>
        <v>24971.400402167747</v>
      </c>
      <c r="K124" s="198">
        <f t="shared" si="33"/>
        <v>4.1672207745441066</v>
      </c>
      <c r="L124" s="198">
        <f t="shared" si="33"/>
        <v>13.245401798520101</v>
      </c>
      <c r="M124" s="198">
        <f t="shared" si="33"/>
        <v>45.042470679422976</v>
      </c>
      <c r="N124" s="198">
        <f t="shared" si="33"/>
        <v>6.0369682739330495</v>
      </c>
      <c r="O124" s="198">
        <f t="shared" si="33"/>
        <v>0</v>
      </c>
      <c r="P124" s="198">
        <f t="shared" si="33"/>
        <v>66.699385831789868</v>
      </c>
      <c r="R124" s="198">
        <f t="shared" si="34"/>
        <v>0.79892269370545366</v>
      </c>
      <c r="S124" s="198">
        <f t="shared" si="34"/>
        <v>2.5393548018205045</v>
      </c>
      <c r="T124" s="198">
        <f t="shared" si="34"/>
        <v>8.6329411153833302</v>
      </c>
      <c r="U124" s="198">
        <f t="shared" si="34"/>
        <v>1.1573831136298744</v>
      </c>
      <c r="V124" s="198">
        <f t="shared" si="34"/>
        <v>0</v>
      </c>
      <c r="W124" s="198">
        <f t="shared" si="34"/>
        <v>12.740979648315443</v>
      </c>
    </row>
    <row r="125" spans="1:23">
      <c r="A125" s="777">
        <v>9</v>
      </c>
      <c r="B125" t="str">
        <f t="shared" si="31"/>
        <v>Sugar Cane</v>
      </c>
      <c r="D125" s="196">
        <f t="shared" si="32"/>
        <v>0</v>
      </c>
      <c r="E125" s="196">
        <f t="shared" si="32"/>
        <v>0</v>
      </c>
      <c r="F125" s="196">
        <f t="shared" si="32"/>
        <v>4704.1061793954605</v>
      </c>
      <c r="G125" s="196">
        <f t="shared" si="32"/>
        <v>106018.45397842006</v>
      </c>
      <c r="H125" s="196">
        <f t="shared" si="32"/>
        <v>50243.597093978387</v>
      </c>
      <c r="I125" s="196">
        <f t="shared" si="32"/>
        <v>200253.66857354148</v>
      </c>
      <c r="K125" s="198">
        <f t="shared" si="33"/>
        <v>0</v>
      </c>
      <c r="L125" s="198">
        <f t="shared" si="33"/>
        <v>0</v>
      </c>
      <c r="M125" s="198">
        <f t="shared" si="33"/>
        <v>7.7332918413960883</v>
      </c>
      <c r="N125" s="198">
        <f t="shared" si="33"/>
        <v>172.55629613843686</v>
      </c>
      <c r="O125" s="198">
        <f t="shared" si="33"/>
        <v>127.69992813333307</v>
      </c>
      <c r="P125" s="198">
        <f t="shared" si="33"/>
        <v>332.81656588518649</v>
      </c>
      <c r="R125" s="198">
        <f t="shared" si="34"/>
        <v>0</v>
      </c>
      <c r="S125" s="198">
        <f t="shared" si="34"/>
        <v>0</v>
      </c>
      <c r="T125" s="198">
        <f t="shared" si="34"/>
        <v>0.44465402599692827</v>
      </c>
      <c r="U125" s="198">
        <f t="shared" si="34"/>
        <v>9.924538323158874</v>
      </c>
      <c r="V125" s="198">
        <f t="shared" si="34"/>
        <v>5.5134936233675509</v>
      </c>
      <c r="W125" s="198">
        <f t="shared" si="34"/>
        <v>19.072480382020359</v>
      </c>
    </row>
    <row r="126" spans="1:23">
      <c r="A126" s="777">
        <v>10</v>
      </c>
      <c r="B126" t="str">
        <f t="shared" si="31"/>
        <v>Citrus</v>
      </c>
      <c r="D126" s="196">
        <f t="shared" si="32"/>
        <v>446.7672210404794</v>
      </c>
      <c r="E126" s="196">
        <f t="shared" si="32"/>
        <v>1940.7187507947713</v>
      </c>
      <c r="F126" s="196">
        <f t="shared" si="32"/>
        <v>157721.56745894172</v>
      </c>
      <c r="G126" s="196">
        <f t="shared" si="32"/>
        <v>48695.872483230807</v>
      </c>
      <c r="H126" s="196">
        <f t="shared" si="32"/>
        <v>99.782759636917532</v>
      </c>
      <c r="I126" s="196">
        <f t="shared" si="32"/>
        <v>208176.99250887046</v>
      </c>
      <c r="K126" s="198">
        <f t="shared" si="33"/>
        <v>0.77260868161363472</v>
      </c>
      <c r="L126" s="198">
        <f t="shared" si="33"/>
        <v>3.3561462990557076</v>
      </c>
      <c r="M126" s="198">
        <f t="shared" si="33"/>
        <v>275.49093140083721</v>
      </c>
      <c r="N126" s="198">
        <f t="shared" si="33"/>
        <v>84.21131199302063</v>
      </c>
      <c r="O126" s="198">
        <f t="shared" si="33"/>
        <v>0.26946004505644466</v>
      </c>
      <c r="P126" s="198">
        <f t="shared" si="33"/>
        <v>367.60898939545882</v>
      </c>
      <c r="R126" s="198">
        <f t="shared" si="34"/>
        <v>6.7961587257546516E-2</v>
      </c>
      <c r="S126" s="198">
        <f t="shared" si="34"/>
        <v>0.29521934580904535</v>
      </c>
      <c r="T126" s="198">
        <f t="shared" si="34"/>
        <v>24.226437889426691</v>
      </c>
      <c r="U126" s="198">
        <f t="shared" si="34"/>
        <v>7.4075461022947238</v>
      </c>
      <c r="V126" s="198">
        <f t="shared" si="34"/>
        <v>1.7793239662370969E-2</v>
      </c>
      <c r="W126" s="198">
        <f t="shared" si="34"/>
        <v>32.219054487645444</v>
      </c>
    </row>
    <row r="127" spans="1:23">
      <c r="A127" s="777">
        <v>11</v>
      </c>
      <c r="B127" t="str">
        <f t="shared" si="31"/>
        <v>Sod</v>
      </c>
      <c r="D127" s="196">
        <f t="shared" ref="D127:I136" si="35">SUMIF($C$28:$C$65,$A127,D$28:D$65)*D$107</f>
        <v>0</v>
      </c>
      <c r="E127" s="196">
        <f t="shared" si="35"/>
        <v>3318.4137110520032</v>
      </c>
      <c r="F127" s="196">
        <f t="shared" si="35"/>
        <v>7645.2131797402944</v>
      </c>
      <c r="G127" s="196">
        <f t="shared" si="35"/>
        <v>529.55743869453204</v>
      </c>
      <c r="H127" s="196">
        <f t="shared" si="35"/>
        <v>0</v>
      </c>
      <c r="I127" s="196">
        <f t="shared" si="35"/>
        <v>10914.482904947667</v>
      </c>
      <c r="K127" s="198">
        <f t="shared" ref="K127:P136" si="36">SUMIF($C$28:$C$65,$A127,K$28:K$65)*K$107</f>
        <v>0</v>
      </c>
      <c r="L127" s="198">
        <f t="shared" si="36"/>
        <v>6.0762046817295623</v>
      </c>
      <c r="M127" s="198">
        <f t="shared" si="36"/>
        <v>14.13934874355763</v>
      </c>
      <c r="N127" s="198">
        <f t="shared" si="36"/>
        <v>0.96964985936619574</v>
      </c>
      <c r="O127" s="198">
        <f t="shared" si="36"/>
        <v>0</v>
      </c>
      <c r="P127" s="198">
        <f t="shared" si="36"/>
        <v>20.407045912325685</v>
      </c>
      <c r="R127" s="198">
        <f t="shared" ref="R127:W136" si="37">SUMIF($C$28:$C$65,$A127,R$28:R$65)*R$107</f>
        <v>0</v>
      </c>
      <c r="S127" s="198">
        <f t="shared" si="37"/>
        <v>1.5687392166026326</v>
      </c>
      <c r="T127" s="198">
        <f t="shared" si="37"/>
        <v>3.6494388489943788</v>
      </c>
      <c r="U127" s="198">
        <f t="shared" si="37"/>
        <v>0.25034175779740142</v>
      </c>
      <c r="V127" s="198">
        <f t="shared" si="37"/>
        <v>0</v>
      </c>
      <c r="W127" s="198">
        <f t="shared" si="37"/>
        <v>5.2495398759235279</v>
      </c>
    </row>
    <row r="128" spans="1:23">
      <c r="A128" s="777">
        <v>12</v>
      </c>
      <c r="B128" t="str">
        <f t="shared" si="31"/>
        <v>Ornamentals</v>
      </c>
      <c r="D128" s="196">
        <f t="shared" si="35"/>
        <v>405.49914550835325</v>
      </c>
      <c r="E128" s="196">
        <f t="shared" si="35"/>
        <v>694.04320906187161</v>
      </c>
      <c r="F128" s="196">
        <f t="shared" si="35"/>
        <v>843.40817925038436</v>
      </c>
      <c r="G128" s="196">
        <f t="shared" si="35"/>
        <v>29.361408845712841</v>
      </c>
      <c r="H128" s="196">
        <f t="shared" si="35"/>
        <v>0</v>
      </c>
      <c r="I128" s="196">
        <f t="shared" si="35"/>
        <v>1853.0321941727436</v>
      </c>
      <c r="K128" s="198">
        <f t="shared" si="36"/>
        <v>0.98998940293637627</v>
      </c>
      <c r="L128" s="198">
        <f t="shared" si="36"/>
        <v>1.694443575928706</v>
      </c>
      <c r="M128" s="198">
        <f t="shared" si="36"/>
        <v>2.079774991091484</v>
      </c>
      <c r="N128" s="198">
        <f t="shared" si="36"/>
        <v>7.1683217916766975E-2</v>
      </c>
      <c r="O128" s="198">
        <f t="shared" si="36"/>
        <v>0</v>
      </c>
      <c r="P128" s="198">
        <f t="shared" si="36"/>
        <v>4.6195394251624853</v>
      </c>
      <c r="R128" s="198">
        <f t="shared" si="37"/>
        <v>0.2752053017636078</v>
      </c>
      <c r="S128" s="198">
        <f t="shared" si="37"/>
        <v>0.47103519921701154</v>
      </c>
      <c r="T128" s="198">
        <f t="shared" si="37"/>
        <v>0.57799080296312111</v>
      </c>
      <c r="U128" s="198">
        <f t="shared" si="37"/>
        <v>1.9927083622973032E-2</v>
      </c>
      <c r="V128" s="198">
        <f t="shared" si="37"/>
        <v>0</v>
      </c>
      <c r="W128" s="198">
        <f t="shared" si="37"/>
        <v>1.2795217339193841</v>
      </c>
    </row>
    <row r="129" spans="1:23">
      <c r="A129" s="777">
        <v>13</v>
      </c>
      <c r="B129" t="str">
        <f t="shared" si="31"/>
        <v>Horse Farms</v>
      </c>
      <c r="D129" s="196">
        <f t="shared" si="35"/>
        <v>0</v>
      </c>
      <c r="E129" s="196">
        <f t="shared" si="35"/>
        <v>46.776792966025688</v>
      </c>
      <c r="F129" s="196">
        <f t="shared" si="35"/>
        <v>73.014487787634081</v>
      </c>
      <c r="G129" s="196">
        <f t="shared" si="35"/>
        <v>213.28435077014453</v>
      </c>
      <c r="H129" s="196">
        <f t="shared" si="35"/>
        <v>0</v>
      </c>
      <c r="I129" s="196">
        <f t="shared" si="35"/>
        <v>363.09270269157435</v>
      </c>
      <c r="K129" s="198">
        <f t="shared" si="36"/>
        <v>0</v>
      </c>
      <c r="L129" s="198">
        <f t="shared" si="36"/>
        <v>0.18272207910735652</v>
      </c>
      <c r="M129" s="198">
        <f t="shared" si="36"/>
        <v>0.28807632541205386</v>
      </c>
      <c r="N129" s="198">
        <f t="shared" si="36"/>
        <v>0.83314305112984133</v>
      </c>
      <c r="O129" s="198">
        <f t="shared" si="36"/>
        <v>0</v>
      </c>
      <c r="P129" s="198">
        <f t="shared" si="36"/>
        <v>1.4482822783951399</v>
      </c>
      <c r="R129" s="198">
        <f t="shared" si="37"/>
        <v>0</v>
      </c>
      <c r="S129" s="198">
        <f t="shared" si="37"/>
        <v>2.3908478111563096E-2</v>
      </c>
      <c r="T129" s="198">
        <f t="shared" si="37"/>
        <v>3.7683115246892392E-2</v>
      </c>
      <c r="U129" s="198">
        <f t="shared" si="37"/>
        <v>0.10901354942461761</v>
      </c>
      <c r="V129" s="198">
        <f t="shared" si="37"/>
        <v>0</v>
      </c>
      <c r="W129" s="198">
        <f t="shared" si="37"/>
        <v>0.18881515929544918</v>
      </c>
    </row>
    <row r="130" spans="1:23">
      <c r="A130" s="777">
        <v>14</v>
      </c>
      <c r="B130" t="str">
        <f t="shared" si="31"/>
        <v>Dairies</v>
      </c>
      <c r="D130" s="196">
        <f t="shared" si="35"/>
        <v>0</v>
      </c>
      <c r="E130" s="196">
        <f t="shared" si="35"/>
        <v>72.999896903111633</v>
      </c>
      <c r="F130" s="196">
        <f t="shared" si="35"/>
        <v>0</v>
      </c>
      <c r="G130" s="196">
        <f t="shared" si="35"/>
        <v>27.559117821144099</v>
      </c>
      <c r="H130" s="196">
        <f t="shared" si="35"/>
        <v>0</v>
      </c>
      <c r="I130" s="196">
        <f t="shared" si="35"/>
        <v>100.3906962033971</v>
      </c>
      <c r="K130" s="198">
        <f t="shared" si="36"/>
        <v>0</v>
      </c>
      <c r="L130" s="198">
        <f t="shared" si="36"/>
        <v>0.35644526085956829</v>
      </c>
      <c r="M130" s="198">
        <f t="shared" si="36"/>
        <v>0</v>
      </c>
      <c r="N130" s="198">
        <f t="shared" si="36"/>
        <v>0.13456617553659267</v>
      </c>
      <c r="O130" s="198">
        <f t="shared" si="36"/>
        <v>0</v>
      </c>
      <c r="P130" s="198">
        <f t="shared" si="36"/>
        <v>0.50054044445584012</v>
      </c>
      <c r="R130" s="198">
        <f t="shared" si="37"/>
        <v>0</v>
      </c>
      <c r="S130" s="198">
        <f t="shared" si="37"/>
        <v>0.19229818542543728</v>
      </c>
      <c r="T130" s="198">
        <f t="shared" si="37"/>
        <v>0</v>
      </c>
      <c r="U130" s="198">
        <f t="shared" si="37"/>
        <v>7.2596929225333562E-2</v>
      </c>
      <c r="V130" s="198">
        <f t="shared" si="37"/>
        <v>0</v>
      </c>
      <c r="W130" s="198">
        <f t="shared" si="37"/>
        <v>0.26905697495625291</v>
      </c>
    </row>
    <row r="131" spans="1:23">
      <c r="A131" s="777">
        <v>15</v>
      </c>
      <c r="B131" t="str">
        <f t="shared" si="31"/>
        <v>Other Agriculture</v>
      </c>
      <c r="D131" s="196">
        <f t="shared" si="35"/>
        <v>4982.0345851509755</v>
      </c>
      <c r="E131" s="196">
        <f t="shared" si="35"/>
        <v>9584.4342911693402</v>
      </c>
      <c r="F131" s="196">
        <f t="shared" si="35"/>
        <v>5673.3677363842644</v>
      </c>
      <c r="G131" s="196">
        <f t="shared" si="35"/>
        <v>1295.7347505247808</v>
      </c>
      <c r="H131" s="196">
        <f t="shared" si="35"/>
        <v>411.46677895832983</v>
      </c>
      <c r="I131" s="196">
        <f t="shared" si="35"/>
        <v>21017.009238256458</v>
      </c>
      <c r="K131" s="198">
        <f t="shared" si="36"/>
        <v>9.3482799275127419</v>
      </c>
      <c r="L131" s="198">
        <f t="shared" si="36"/>
        <v>16.142392341095981</v>
      </c>
      <c r="M131" s="198">
        <f t="shared" si="36"/>
        <v>9.4342056778101622</v>
      </c>
      <c r="N131" s="198">
        <f t="shared" si="36"/>
        <v>2.4629847891917791</v>
      </c>
      <c r="O131" s="198">
        <f t="shared" si="36"/>
        <v>1.7503066911354481</v>
      </c>
      <c r="P131" s="198">
        <f t="shared" si="36"/>
        <v>37.804730444578126</v>
      </c>
      <c r="R131" s="198">
        <f t="shared" si="37"/>
        <v>2.6880815038648045</v>
      </c>
      <c r="S131" s="198">
        <f t="shared" si="37"/>
        <v>6.5500533896494</v>
      </c>
      <c r="T131" s="198">
        <f t="shared" si="37"/>
        <v>2.9057648022970555</v>
      </c>
      <c r="U131" s="198">
        <f t="shared" si="37"/>
        <v>0.90246379866807214</v>
      </c>
      <c r="V131" s="198">
        <f t="shared" si="37"/>
        <v>0.38625725372246317</v>
      </c>
      <c r="W131" s="198">
        <f t="shared" si="37"/>
        <v>13.066185942458473</v>
      </c>
    </row>
    <row r="132" spans="1:23">
      <c r="A132" s="777">
        <v>16</v>
      </c>
      <c r="B132" t="str">
        <f t="shared" si="31"/>
        <v>Tree Plantations</v>
      </c>
      <c r="D132" s="196">
        <f t="shared" si="35"/>
        <v>0</v>
      </c>
      <c r="E132" s="196">
        <f t="shared" si="35"/>
        <v>0</v>
      </c>
      <c r="F132" s="196">
        <f t="shared" si="35"/>
        <v>24.603522148629523</v>
      </c>
      <c r="G132" s="196">
        <f t="shared" si="35"/>
        <v>0</v>
      </c>
      <c r="H132" s="196">
        <f t="shared" si="35"/>
        <v>0</v>
      </c>
      <c r="I132" s="196">
        <f t="shared" si="35"/>
        <v>23.174650319340479</v>
      </c>
      <c r="K132" s="198">
        <f t="shared" si="36"/>
        <v>0</v>
      </c>
      <c r="L132" s="198">
        <f t="shared" si="36"/>
        <v>0</v>
      </c>
      <c r="M132" s="198">
        <f t="shared" si="36"/>
        <v>3.1346298878120495E-2</v>
      </c>
      <c r="N132" s="198">
        <f t="shared" si="36"/>
        <v>0</v>
      </c>
      <c r="O132" s="198">
        <f t="shared" si="36"/>
        <v>0</v>
      </c>
      <c r="P132" s="198">
        <f t="shared" si="36"/>
        <v>2.9849657097948946E-2</v>
      </c>
      <c r="R132" s="198">
        <f t="shared" si="37"/>
        <v>0</v>
      </c>
      <c r="S132" s="198">
        <f t="shared" si="37"/>
        <v>0</v>
      </c>
      <c r="T132" s="198">
        <f t="shared" si="37"/>
        <v>1.7442296304361884E-3</v>
      </c>
      <c r="U132" s="198">
        <f t="shared" si="37"/>
        <v>0</v>
      </c>
      <c r="V132" s="198">
        <f t="shared" si="37"/>
        <v>0</v>
      </c>
      <c r="W132" s="198">
        <f t="shared" si="37"/>
        <v>1.6553931323366106E-3</v>
      </c>
    </row>
    <row r="133" spans="1:23">
      <c r="A133" s="777">
        <v>17</v>
      </c>
      <c r="B133" t="str">
        <f t="shared" si="31"/>
        <v>Water</v>
      </c>
      <c r="D133" s="196">
        <f t="shared" si="35"/>
        <v>39009.16329565896</v>
      </c>
      <c r="E133" s="196">
        <f t="shared" si="35"/>
        <v>8760.8941467522109</v>
      </c>
      <c r="F133" s="196">
        <f t="shared" si="35"/>
        <v>1391.8697636377815</v>
      </c>
      <c r="G133" s="196">
        <f t="shared" si="35"/>
        <v>648.42033109209058</v>
      </c>
      <c r="H133" s="196">
        <f t="shared" si="35"/>
        <v>166.63552699509066</v>
      </c>
      <c r="I133" s="196">
        <f t="shared" si="35"/>
        <v>46801.279555633802</v>
      </c>
      <c r="K133" s="198">
        <f t="shared" si="36"/>
        <v>42.856801101926521</v>
      </c>
      <c r="L133" s="198">
        <f t="shared" si="36"/>
        <v>9.6250179753066991</v>
      </c>
      <c r="M133" s="198">
        <f t="shared" si="36"/>
        <v>1.5445062052035219</v>
      </c>
      <c r="N133" s="198">
        <f t="shared" si="36"/>
        <v>0.71237675490341834</v>
      </c>
      <c r="O133" s="198">
        <f t="shared" si="36"/>
        <v>0.28587837227902879</v>
      </c>
      <c r="P133" s="198">
        <f t="shared" si="36"/>
        <v>52.503221763137915</v>
      </c>
      <c r="R133" s="198">
        <f t="shared" si="37"/>
        <v>2.7387774596364141</v>
      </c>
      <c r="S133" s="198">
        <f t="shared" si="37"/>
        <v>0.6150898247555</v>
      </c>
      <c r="T133" s="198">
        <f t="shared" si="37"/>
        <v>9.8674509640501354E-2</v>
      </c>
      <c r="U133" s="198">
        <f t="shared" si="37"/>
        <v>4.5524662339082339E-2</v>
      </c>
      <c r="V133" s="198">
        <f t="shared" si="37"/>
        <v>1.371434324948094E-2</v>
      </c>
      <c r="W133" s="198">
        <f t="shared" si="37"/>
        <v>3.3430716620697138</v>
      </c>
    </row>
    <row r="134" spans="1:23">
      <c r="A134" s="777">
        <v>18</v>
      </c>
      <c r="B134" t="str">
        <f t="shared" si="31"/>
        <v>Natural Areas</v>
      </c>
      <c r="D134" s="196">
        <f t="shared" si="35"/>
        <v>60542.85018975538</v>
      </c>
      <c r="E134" s="196">
        <f t="shared" si="35"/>
        <v>101531.79716248807</v>
      </c>
      <c r="F134" s="196">
        <f t="shared" si="35"/>
        <v>150026.10956672666</v>
      </c>
      <c r="G134" s="196">
        <f t="shared" si="35"/>
        <v>41245.812452168895</v>
      </c>
      <c r="H134" s="196">
        <f t="shared" si="35"/>
        <v>1736.1318610027331</v>
      </c>
      <c r="I134" s="196">
        <f t="shared" si="35"/>
        <v>343216.5155856362</v>
      </c>
      <c r="K134" s="198">
        <f t="shared" si="36"/>
        <v>66.746540018068544</v>
      </c>
      <c r="L134" s="198">
        <f t="shared" si="36"/>
        <v>107.55006029259849</v>
      </c>
      <c r="M134" s="198">
        <f t="shared" si="36"/>
        <v>160.44144611421885</v>
      </c>
      <c r="N134" s="198">
        <f t="shared" si="36"/>
        <v>45.212308114906904</v>
      </c>
      <c r="O134" s="198">
        <f t="shared" si="36"/>
        <v>3.0370879846174188</v>
      </c>
      <c r="P134" s="198">
        <f t="shared" si="36"/>
        <v>375.63516983255749</v>
      </c>
      <c r="R134" s="198">
        <f t="shared" si="37"/>
        <v>2.1656932749629858</v>
      </c>
      <c r="S134" s="198">
        <f t="shared" si="37"/>
        <v>4.149839815960493</v>
      </c>
      <c r="T134" s="198">
        <f t="shared" si="37"/>
        <v>7.011731008819881</v>
      </c>
      <c r="U134" s="198">
        <f t="shared" si="37"/>
        <v>1.6835782334638438</v>
      </c>
      <c r="V134" s="198">
        <f t="shared" si="37"/>
        <v>0.16674429385477429</v>
      </c>
      <c r="W134" s="198">
        <f t="shared" si="37"/>
        <v>14.858001939778392</v>
      </c>
    </row>
    <row r="135" spans="1:23">
      <c r="A135" s="777">
        <v>19</v>
      </c>
      <c r="B135" t="str">
        <f t="shared" si="31"/>
        <v>Transportation</v>
      </c>
      <c r="D135" s="196">
        <f t="shared" si="35"/>
        <v>1953.3560588225305</v>
      </c>
      <c r="E135" s="196">
        <f t="shared" si="35"/>
        <v>10475.259512287375</v>
      </c>
      <c r="F135" s="196">
        <f t="shared" si="35"/>
        <v>2450.4656973622505</v>
      </c>
      <c r="G135" s="196">
        <f t="shared" si="35"/>
        <v>2262.6868604936144</v>
      </c>
      <c r="H135" s="196">
        <f t="shared" si="35"/>
        <v>835.16855862846489</v>
      </c>
      <c r="I135" s="196">
        <f t="shared" si="35"/>
        <v>17727.211075458825</v>
      </c>
      <c r="K135" s="198">
        <f t="shared" si="36"/>
        <v>2.1937131979573441</v>
      </c>
      <c r="L135" s="198">
        <f t="shared" si="36"/>
        <v>11.764222370183262</v>
      </c>
      <c r="M135" s="198">
        <f t="shared" si="36"/>
        <v>2.7796172762734681</v>
      </c>
      <c r="N135" s="198">
        <f t="shared" si="36"/>
        <v>2.5411066284052617</v>
      </c>
      <c r="O135" s="198">
        <f t="shared" si="36"/>
        <v>1.464647637677017</v>
      </c>
      <c r="P135" s="198">
        <f t="shared" si="36"/>
        <v>20.328903799211329</v>
      </c>
      <c r="R135" s="198">
        <f t="shared" si="37"/>
        <v>0.45256968890104182</v>
      </c>
      <c r="S135" s="198">
        <f t="shared" si="37"/>
        <v>2.4269947699608276</v>
      </c>
      <c r="T135" s="198">
        <f t="shared" si="37"/>
        <v>0.57328284183156397</v>
      </c>
      <c r="U135" s="198">
        <f t="shared" si="37"/>
        <v>0.52423800766325435</v>
      </c>
      <c r="V135" s="198">
        <f t="shared" si="37"/>
        <v>0.22682738800946167</v>
      </c>
      <c r="W135" s="198">
        <f t="shared" si="37"/>
        <v>4.1787107945921704</v>
      </c>
    </row>
    <row r="136" spans="1:23">
      <c r="A136" s="777">
        <v>20</v>
      </c>
      <c r="B136" t="str">
        <f t="shared" si="31"/>
        <v>Communication, Utilities</v>
      </c>
      <c r="D136" s="196">
        <f t="shared" si="35"/>
        <v>994.63992785072799</v>
      </c>
      <c r="E136" s="196">
        <f t="shared" si="35"/>
        <v>1611.295427971645</v>
      </c>
      <c r="F136" s="196">
        <f t="shared" si="35"/>
        <v>375.97990956014706</v>
      </c>
      <c r="G136" s="196">
        <f t="shared" si="35"/>
        <v>679.15279033320348</v>
      </c>
      <c r="H136" s="196">
        <f t="shared" si="35"/>
        <v>169.62983236066384</v>
      </c>
      <c r="I136" s="196">
        <f t="shared" si="35"/>
        <v>3820.0216134235607</v>
      </c>
      <c r="K136" s="198">
        <f t="shared" si="36"/>
        <v>1.4541670150065029</v>
      </c>
      <c r="L136" s="198">
        <f t="shared" si="36"/>
        <v>2.348389507499824</v>
      </c>
      <c r="M136" s="198">
        <f t="shared" si="36"/>
        <v>0.5496231672256372</v>
      </c>
      <c r="N136" s="198">
        <f t="shared" si="36"/>
        <v>0.99041090639558416</v>
      </c>
      <c r="O136" s="198">
        <f t="shared" si="36"/>
        <v>0.38802049990744003</v>
      </c>
      <c r="P136" s="198">
        <f t="shared" si="36"/>
        <v>5.6882128899135864</v>
      </c>
      <c r="R136" s="198">
        <f t="shared" si="37"/>
        <v>0.1338177658345403</v>
      </c>
      <c r="S136" s="198">
        <f t="shared" si="37"/>
        <v>0.21610738928877266</v>
      </c>
      <c r="T136" s="198">
        <f t="shared" si="37"/>
        <v>5.0564165243026454E-2</v>
      </c>
      <c r="U136" s="198">
        <f t="shared" si="37"/>
        <v>9.114123301127583E-2</v>
      </c>
      <c r="V136" s="198">
        <f t="shared" si="37"/>
        <v>2.6804695454385411E-2</v>
      </c>
      <c r="W136" s="198">
        <f t="shared" si="37"/>
        <v>0.5215525421366578</v>
      </c>
    </row>
    <row r="137" spans="1:23">
      <c r="B137" s="209" t="s">
        <v>709</v>
      </c>
      <c r="D137" s="545">
        <f>SUM(D117:D136)</f>
        <v>222351.6538822767</v>
      </c>
      <c r="E137" s="545">
        <f t="shared" ref="E137:I137" si="38">SUM(E117:E136)</f>
        <v>436972.92238569196</v>
      </c>
      <c r="F137" s="545">
        <f t="shared" si="38"/>
        <v>592883.25223140384</v>
      </c>
      <c r="G137" s="545">
        <f t="shared" si="38"/>
        <v>304048.44256774255</v>
      </c>
      <c r="H137" s="545">
        <f t="shared" si="38"/>
        <v>63034.099834710752</v>
      </c>
      <c r="I137" s="545">
        <f t="shared" si="38"/>
        <v>1619290.3709018258</v>
      </c>
      <c r="K137" s="546">
        <f>SUM(K117:K136)</f>
        <v>282.43225947662467</v>
      </c>
      <c r="L137" s="546">
        <f t="shared" ref="L137:P137" si="39">SUM(L117:L136)</f>
        <v>629.5347888603726</v>
      </c>
      <c r="M137" s="546">
        <f t="shared" si="39"/>
        <v>957.86749900000109</v>
      </c>
      <c r="N137" s="546">
        <f t="shared" si="39"/>
        <v>508.66752665601132</v>
      </c>
      <c r="O137" s="546">
        <f t="shared" si="39"/>
        <v>157.62772899999999</v>
      </c>
      <c r="P137" s="546">
        <f t="shared" si="39"/>
        <v>2536.1298029930094</v>
      </c>
      <c r="R137" s="546">
        <f>SUM(R117:R136)</f>
        <v>29.651060564799756</v>
      </c>
      <c r="S137" s="546">
        <f t="shared" ref="S137:W137" si="40">SUM(S117:S136)</f>
        <v>93.663108536234503</v>
      </c>
      <c r="T137" s="546">
        <f t="shared" si="40"/>
        <v>108.05345510000004</v>
      </c>
      <c r="U137" s="546">
        <f t="shared" si="40"/>
        <v>49.563984774778426</v>
      </c>
      <c r="V137" s="546">
        <f t="shared" si="40"/>
        <v>9.7744972000000026</v>
      </c>
      <c r="W137" s="546">
        <f t="shared" si="40"/>
        <v>290.70610617581258</v>
      </c>
    </row>
    <row r="138" spans="1:23">
      <c r="B138" s="249" t="s">
        <v>710</v>
      </c>
      <c r="K138" s="586">
        <f t="shared" ref="K138:P138" si="41">K137/D137*mtonacft_mgl</f>
        <v>1.0297722329100547</v>
      </c>
      <c r="L138" s="586">
        <f t="shared" si="41"/>
        <v>1.1679720484565255</v>
      </c>
      <c r="M138" s="586">
        <f t="shared" si="41"/>
        <v>1.3097955059772124</v>
      </c>
      <c r="N138" s="586">
        <f t="shared" si="41"/>
        <v>1.3563084606842892</v>
      </c>
      <c r="O138" s="586">
        <f t="shared" si="41"/>
        <v>2.0273293335279883</v>
      </c>
      <c r="P138" s="586">
        <f t="shared" si="41"/>
        <v>1.2697376143261829</v>
      </c>
      <c r="Q138" s="38"/>
      <c r="R138" s="586">
        <f t="shared" ref="R138:W138" si="42">R137/D137*mtonacft_mgl</f>
        <v>0.1081103090084234</v>
      </c>
      <c r="S138" s="586">
        <f t="shared" si="42"/>
        <v>0.17377259315550725</v>
      </c>
      <c r="T138" s="586">
        <f t="shared" si="42"/>
        <v>0.14775313917952484</v>
      </c>
      <c r="U138" s="586">
        <f t="shared" si="42"/>
        <v>0.13215715250625748</v>
      </c>
      <c r="V138" s="586">
        <f t="shared" si="42"/>
        <v>0.1257147141544315</v>
      </c>
      <c r="W138" s="586">
        <f t="shared" si="42"/>
        <v>0.14554478926516828</v>
      </c>
    </row>
    <row r="139" spans="1:23">
      <c r="B139" s="249"/>
      <c r="K139" s="586"/>
      <c r="L139" s="586"/>
      <c r="M139" s="586"/>
      <c r="N139" s="586"/>
      <c r="O139" s="586"/>
      <c r="P139" s="586"/>
      <c r="Q139" s="38"/>
      <c r="R139" s="586"/>
      <c r="S139" s="586"/>
      <c r="T139" s="586"/>
      <c r="U139" s="586"/>
      <c r="V139" s="586"/>
      <c r="W139" s="586"/>
    </row>
    <row r="140" spans="1:23">
      <c r="B140" s="38"/>
    </row>
    <row r="141" spans="1:23">
      <c r="B141" s="38"/>
    </row>
    <row r="142" spans="1:23">
      <c r="A142" s="779" t="s">
        <v>909</v>
      </c>
      <c r="B142" s="838" t="s">
        <v>762</v>
      </c>
    </row>
    <row r="143" spans="1:23">
      <c r="A143" s="567" t="s">
        <v>682</v>
      </c>
      <c r="B143" s="568"/>
      <c r="C143" s="569"/>
      <c r="D143" s="570"/>
      <c r="E143" s="570"/>
      <c r="F143" s="570"/>
      <c r="G143" s="570"/>
      <c r="H143" s="570"/>
      <c r="I143" s="570"/>
      <c r="J143" s="569"/>
      <c r="K143" s="571"/>
      <c r="L143" s="571"/>
      <c r="M143" s="571"/>
      <c r="N143" s="571"/>
      <c r="O143" s="571"/>
      <c r="P143" s="571"/>
      <c r="Q143" s="569"/>
      <c r="R143" s="569"/>
      <c r="S143" s="572"/>
      <c r="T143" s="572"/>
      <c r="U143" s="572"/>
      <c r="V143" s="572"/>
      <c r="W143" s="606" t="s">
        <v>751</v>
      </c>
    </row>
    <row r="145" spans="1:23">
      <c r="A145" s="353" t="s">
        <v>721</v>
      </c>
      <c r="B145" s="229"/>
      <c r="C145" s="230"/>
      <c r="D145" s="231"/>
      <c r="E145" s="231"/>
      <c r="F145" s="231"/>
      <c r="G145" s="231"/>
      <c r="H145" s="231"/>
      <c r="I145" s="231"/>
      <c r="J145" s="230"/>
      <c r="K145" s="232"/>
      <c r="L145" s="232"/>
      <c r="M145" s="232"/>
      <c r="N145" s="232"/>
      <c r="O145" s="232"/>
      <c r="P145" s="232"/>
      <c r="Q145" s="230"/>
      <c r="R145" s="230"/>
      <c r="S145" s="354"/>
      <c r="T145" s="354"/>
      <c r="U145" s="354"/>
      <c r="V145" s="354"/>
      <c r="W145" s="594" t="s">
        <v>917</v>
      </c>
    </row>
    <row r="146" spans="1:23">
      <c r="K146" s="199"/>
    </row>
    <row r="147" spans="1:23">
      <c r="C147" s="99"/>
      <c r="D147" s="1440" t="s">
        <v>488</v>
      </c>
      <c r="E147" s="1440"/>
      <c r="F147" s="1440"/>
      <c r="G147" s="1440"/>
      <c r="H147" s="1440"/>
      <c r="I147" s="1440"/>
      <c r="K147" s="1441" t="s">
        <v>705</v>
      </c>
      <c r="L147" s="1441"/>
      <c r="M147" s="1441"/>
      <c r="N147" s="1441"/>
      <c r="O147" s="1441"/>
      <c r="P147" s="1441"/>
      <c r="R147" s="1442" t="s">
        <v>706</v>
      </c>
      <c r="S147" s="1442"/>
      <c r="T147" s="1442"/>
      <c r="U147" s="1442"/>
      <c r="V147" s="1442"/>
      <c r="W147" s="1442"/>
    </row>
    <row r="148" spans="1:23" ht="30">
      <c r="A148" s="521" t="s">
        <v>630</v>
      </c>
      <c r="B148" s="544" t="s">
        <v>214</v>
      </c>
      <c r="D148" s="363"/>
      <c r="E148" s="363"/>
      <c r="F148" s="363"/>
      <c r="G148" s="363"/>
      <c r="H148" s="363"/>
      <c r="I148" s="364"/>
      <c r="K148" s="351" t="str">
        <f t="shared" ref="K148:W148" si="43">VLOOKUP(K$24,subwatgeog,2,FALSE)</f>
        <v>Coastal</v>
      </c>
      <c r="L148" s="351" t="str">
        <f t="shared" si="43"/>
        <v>Tidal Cal.</v>
      </c>
      <c r="M148" s="351" t="str">
        <f t="shared" si="43"/>
        <v>West Cal.</v>
      </c>
      <c r="N148" s="351" t="str">
        <f t="shared" si="43"/>
        <v>East Cal.</v>
      </c>
      <c r="O148" s="351" t="str">
        <f t="shared" si="43"/>
        <v>S-4</v>
      </c>
      <c r="P148" s="355" t="str">
        <f t="shared" si="43"/>
        <v>Total CRWPP</v>
      </c>
      <c r="R148" s="352" t="str">
        <f t="shared" si="43"/>
        <v>Coastal</v>
      </c>
      <c r="S148" s="352" t="str">
        <f t="shared" si="43"/>
        <v>Tidal Cal.</v>
      </c>
      <c r="T148" s="352" t="str">
        <f t="shared" si="43"/>
        <v>West Cal.</v>
      </c>
      <c r="U148" s="352" t="str">
        <f t="shared" si="43"/>
        <v>East Cal.</v>
      </c>
      <c r="V148" s="352" t="str">
        <f t="shared" si="43"/>
        <v>S-4</v>
      </c>
      <c r="W148" s="356" t="str">
        <f t="shared" si="43"/>
        <v>Total CRWPP</v>
      </c>
    </row>
    <row r="149" spans="1:23">
      <c r="A149" s="777">
        <v>1</v>
      </c>
      <c r="B149" t="str">
        <f t="shared" ref="B149:B168" si="44">VLOOKUP($A149,bott_bmpeff,2,FALSE)</f>
        <v>Residential Low Density</v>
      </c>
      <c r="K149" s="199">
        <f t="shared" ref="K149:O158" si="45">K117*VLOOKUP($A149,bott_bmpeff,$K$616,FALSE)*VLOOKUP($A149,bottbmp_curr,K$25+2,FALSE)</f>
        <v>0.93386486095648735</v>
      </c>
      <c r="L149" s="199">
        <f t="shared" si="45"/>
        <v>0.99564486350502801</v>
      </c>
      <c r="M149" s="199">
        <f t="shared" si="45"/>
        <v>0.48895683975811277</v>
      </c>
      <c r="N149" s="199">
        <f t="shared" si="45"/>
        <v>7.8415269384475392E-2</v>
      </c>
      <c r="O149" s="199">
        <f t="shared" si="45"/>
        <v>1.8559458758128144E-2</v>
      </c>
      <c r="P149" s="199">
        <f>SUM(K149:O149)</f>
        <v>2.5154412923622314</v>
      </c>
      <c r="R149" s="199">
        <f t="shared" ref="R149:R168" si="46">R117*VLOOKUP($A149,bott_bmpeff,$K$617,FALSE)*VLOOKUP($A149,bottbmp_curr,K$25+2,FALSE)</f>
        <v>3.190110074552989E-2</v>
      </c>
      <c r="S149" s="199">
        <f t="shared" ref="S149:S168" si="47">S117*VLOOKUP($A149,bott_bmpeff,$K$617,FALSE)*VLOOKUP($A149,bottbmp_curr,L$25+2,FALSE)</f>
        <v>3.401152396387596E-2</v>
      </c>
      <c r="T149" s="199">
        <f t="shared" ref="T149:T168" si="48">T117*VLOOKUP($A149,bott_bmpeff,$K$617,FALSE)*VLOOKUP($A149,bottbmp_curr,M$25+2,FALSE)</f>
        <v>1.6698231816592017E-2</v>
      </c>
      <c r="U149" s="199">
        <f t="shared" ref="U149:U168" si="49">U117*VLOOKUP($A149,bott_bmpeff,$K$617,FALSE)*VLOOKUP($A149,bottbmp_curr,N$25+2,FALSE)</f>
        <v>2.6786888694579247E-3</v>
      </c>
      <c r="V149" s="199">
        <f t="shared" ref="V149:V168" si="50">V117*VLOOKUP($A149,bott_bmpeff,$K$617,FALSE)*VLOOKUP($A149,bottbmp_curr,O$25+2,FALSE)</f>
        <v>4.7593063667984074E-4</v>
      </c>
      <c r="W149" s="199">
        <f>SUM(R149:V149)</f>
        <v>8.5765476032135635E-2</v>
      </c>
    </row>
    <row r="150" spans="1:23">
      <c r="A150" s="777">
        <v>2</v>
      </c>
      <c r="B150" t="str">
        <f t="shared" si="44"/>
        <v>Residential Medium Density</v>
      </c>
      <c r="K150" s="199">
        <f t="shared" si="45"/>
        <v>0.23872859226864493</v>
      </c>
      <c r="L150" s="199">
        <f t="shared" si="45"/>
        <v>1.6458781608229718</v>
      </c>
      <c r="M150" s="199">
        <f t="shared" si="45"/>
        <v>0.11233812933953174</v>
      </c>
      <c r="N150" s="199">
        <f t="shared" si="45"/>
        <v>1.9381539367560638E-2</v>
      </c>
      <c r="O150" s="199">
        <f t="shared" si="45"/>
        <v>9.8880038056712416E-2</v>
      </c>
      <c r="P150" s="199">
        <f t="shared" ref="P150:P171" si="51">SUM(K150:O150)</f>
        <v>2.1152064598554214</v>
      </c>
      <c r="R150" s="199">
        <f t="shared" si="46"/>
        <v>9.6112966091495E-3</v>
      </c>
      <c r="S150" s="199">
        <f t="shared" si="47"/>
        <v>6.6263630325393341E-2</v>
      </c>
      <c r="T150" s="199">
        <f t="shared" si="48"/>
        <v>4.5215054281900844E-3</v>
      </c>
      <c r="U150" s="199">
        <f t="shared" si="49"/>
        <v>7.8030755274553559E-4</v>
      </c>
      <c r="V150" s="199">
        <f t="shared" si="50"/>
        <v>2.9884286318028379E-3</v>
      </c>
      <c r="W150" s="199">
        <f t="shared" ref="W150:W171" si="52">SUM(R150:V150)</f>
        <v>8.4165168547281302E-2</v>
      </c>
    </row>
    <row r="151" spans="1:23">
      <c r="A151" s="777">
        <v>3</v>
      </c>
      <c r="B151" t="str">
        <f t="shared" si="44"/>
        <v>Residential High Density</v>
      </c>
      <c r="K151" s="199">
        <f t="shared" si="45"/>
        <v>0.14379868348513808</v>
      </c>
      <c r="L151" s="199">
        <f t="shared" si="45"/>
        <v>0.50996155730410686</v>
      </c>
      <c r="M151" s="199">
        <f t="shared" si="45"/>
        <v>2.3397392116494893E-2</v>
      </c>
      <c r="N151" s="199">
        <f t="shared" si="45"/>
        <v>2.7742279053196801E-3</v>
      </c>
      <c r="O151" s="199">
        <f t="shared" si="45"/>
        <v>4.710475398739933E-3</v>
      </c>
      <c r="P151" s="199">
        <f t="shared" si="51"/>
        <v>0.68464233620979942</v>
      </c>
      <c r="R151" s="199">
        <f t="shared" si="46"/>
        <v>6.8921253382485358E-3</v>
      </c>
      <c r="S151" s="199">
        <f t="shared" si="47"/>
        <v>2.4441941229535465E-2</v>
      </c>
      <c r="T151" s="199">
        <f t="shared" si="48"/>
        <v>1.1210991834397202E-3</v>
      </c>
      <c r="U151" s="199">
        <f t="shared" si="49"/>
        <v>1.3296593527093077E-4</v>
      </c>
      <c r="V151" s="199">
        <f t="shared" si="50"/>
        <v>1.6948049262581629E-4</v>
      </c>
      <c r="W151" s="199">
        <f t="shared" si="52"/>
        <v>3.2757612179120467E-2</v>
      </c>
    </row>
    <row r="152" spans="1:23">
      <c r="A152" s="777">
        <v>4</v>
      </c>
      <c r="B152" t="str">
        <f t="shared" si="44"/>
        <v>Other Urban</v>
      </c>
      <c r="K152" s="199">
        <f t="shared" si="45"/>
        <v>7.3253267403691522E-2</v>
      </c>
      <c r="L152" s="199">
        <f t="shared" si="45"/>
        <v>0.30667607905767946</v>
      </c>
      <c r="M152" s="199">
        <f t="shared" si="45"/>
        <v>4.0364260562050079E-2</v>
      </c>
      <c r="N152" s="199">
        <f t="shared" si="45"/>
        <v>1.8064796619787677E-2</v>
      </c>
      <c r="O152" s="199">
        <f t="shared" si="45"/>
        <v>5.0970238932491717E-2</v>
      </c>
      <c r="P152" s="199">
        <f t="shared" si="51"/>
        <v>0.48932864257570041</v>
      </c>
      <c r="R152" s="199">
        <f t="shared" si="46"/>
        <v>2.6643365443421944E-3</v>
      </c>
      <c r="S152" s="199">
        <f t="shared" si="47"/>
        <v>1.1432809773594104E-2</v>
      </c>
      <c r="T152" s="199">
        <f t="shared" si="48"/>
        <v>1.6674390000505827E-3</v>
      </c>
      <c r="U152" s="199">
        <f t="shared" si="49"/>
        <v>6.6944668659072934E-4</v>
      </c>
      <c r="V152" s="199">
        <f t="shared" si="50"/>
        <v>1.8493930588856814E-3</v>
      </c>
      <c r="W152" s="199">
        <f t="shared" si="52"/>
        <v>1.8283425063463293E-2</v>
      </c>
    </row>
    <row r="153" spans="1:23">
      <c r="A153" s="777">
        <v>5</v>
      </c>
      <c r="B153" t="str">
        <f t="shared" si="44"/>
        <v>Improved Pasture</v>
      </c>
      <c r="K153" s="199">
        <f t="shared" si="45"/>
        <v>1.6417667080553328E-2</v>
      </c>
      <c r="L153" s="199">
        <f t="shared" si="45"/>
        <v>5.8216599535741397E-2</v>
      </c>
      <c r="M153" s="199">
        <f t="shared" si="45"/>
        <v>27.32156550522943</v>
      </c>
      <c r="N153" s="199">
        <f t="shared" si="45"/>
        <v>14.098935003301291</v>
      </c>
      <c r="O153" s="199">
        <f t="shared" si="45"/>
        <v>0.55001494605944212</v>
      </c>
      <c r="P153" s="199">
        <f t="shared" si="51"/>
        <v>42.045149721206457</v>
      </c>
      <c r="R153" s="199">
        <f t="shared" si="46"/>
        <v>1.5412381977550195E-3</v>
      </c>
      <c r="S153" s="199">
        <f t="shared" si="47"/>
        <v>5.4651885988217866E-3</v>
      </c>
      <c r="T153" s="199">
        <f t="shared" si="48"/>
        <v>2.5641429049595232</v>
      </c>
      <c r="U153" s="199">
        <f t="shared" si="49"/>
        <v>1.3235630292742471</v>
      </c>
      <c r="V153" s="199">
        <f t="shared" si="50"/>
        <v>3.8760514328974621E-2</v>
      </c>
      <c r="W153" s="199">
        <f t="shared" si="52"/>
        <v>3.9334728753593216</v>
      </c>
    </row>
    <row r="154" spans="1:23">
      <c r="A154" s="777">
        <v>6</v>
      </c>
      <c r="B154" t="str">
        <f t="shared" si="44"/>
        <v>Unimproved Pasture</v>
      </c>
      <c r="K154" s="199">
        <f t="shared" si="45"/>
        <v>9.4563508492288687E-4</v>
      </c>
      <c r="L154" s="199">
        <f t="shared" si="45"/>
        <v>4.166704914585307E-3</v>
      </c>
      <c r="M154" s="199">
        <f t="shared" si="45"/>
        <v>2.0064252484193688</v>
      </c>
      <c r="N154" s="199">
        <f t="shared" si="45"/>
        <v>0.70664498858910874</v>
      </c>
      <c r="O154" s="199">
        <f t="shared" si="45"/>
        <v>0</v>
      </c>
      <c r="P154" s="199">
        <f t="shared" si="51"/>
        <v>2.7181825770079855</v>
      </c>
      <c r="R154" s="199">
        <f t="shared" si="46"/>
        <v>9.0616698950031873E-5</v>
      </c>
      <c r="S154" s="199">
        <f t="shared" si="47"/>
        <v>3.9927986057051247E-4</v>
      </c>
      <c r="T154" s="199">
        <f t="shared" si="48"/>
        <v>0.19221442223727331</v>
      </c>
      <c r="U154" s="199">
        <f t="shared" si="49"/>
        <v>6.7715165412617587E-2</v>
      </c>
      <c r="V154" s="199">
        <f t="shared" si="50"/>
        <v>0</v>
      </c>
      <c r="W154" s="199">
        <f t="shared" si="52"/>
        <v>0.26041948420941141</v>
      </c>
    </row>
    <row r="155" spans="1:23">
      <c r="A155" s="777">
        <v>7</v>
      </c>
      <c r="B155" t="str">
        <f t="shared" si="44"/>
        <v>Rangeland, Woodland Pasture</v>
      </c>
      <c r="K155" s="199">
        <f t="shared" si="45"/>
        <v>6.5087555597348797E-3</v>
      </c>
      <c r="L155" s="199">
        <f t="shared" si="45"/>
        <v>5.472915622806834E-3</v>
      </c>
      <c r="M155" s="199">
        <f t="shared" si="45"/>
        <v>1.345586054668001</v>
      </c>
      <c r="N155" s="199">
        <f t="shared" si="45"/>
        <v>0.36636757908008388</v>
      </c>
      <c r="O155" s="199">
        <f t="shared" si="45"/>
        <v>1.665491130691793E-2</v>
      </c>
      <c r="P155" s="199">
        <f t="shared" si="51"/>
        <v>1.7405902162375444</v>
      </c>
      <c r="R155" s="199">
        <f t="shared" si="46"/>
        <v>3.3818512697934557E-4</v>
      </c>
      <c r="S155" s="199">
        <f t="shared" si="47"/>
        <v>3.912371984329972E-4</v>
      </c>
      <c r="T155" s="199">
        <f t="shared" si="48"/>
        <v>0.11826657993438003</v>
      </c>
      <c r="U155" s="199">
        <f t="shared" si="49"/>
        <v>4.180649788395286E-2</v>
      </c>
      <c r="V155" s="199">
        <f t="shared" si="50"/>
        <v>6.3138926271434669E-4</v>
      </c>
      <c r="W155" s="199">
        <f t="shared" si="52"/>
        <v>0.16143388940645959</v>
      </c>
    </row>
    <row r="156" spans="1:23">
      <c r="A156" s="777">
        <v>8</v>
      </c>
      <c r="B156" t="str">
        <f t="shared" si="44"/>
        <v>Row Crops</v>
      </c>
      <c r="K156" s="199">
        <f t="shared" si="45"/>
        <v>8.7511636265426226E-3</v>
      </c>
      <c r="L156" s="199">
        <f t="shared" si="45"/>
        <v>1.192086161866809E-2</v>
      </c>
      <c r="M156" s="199">
        <f t="shared" si="45"/>
        <v>7.4995713681239264</v>
      </c>
      <c r="N156" s="199">
        <f t="shared" si="45"/>
        <v>0.9870443127880536</v>
      </c>
      <c r="O156" s="199">
        <f t="shared" si="45"/>
        <v>0</v>
      </c>
      <c r="P156" s="199">
        <f t="shared" si="51"/>
        <v>8.5072877061571912</v>
      </c>
      <c r="R156" s="199">
        <f t="shared" si="46"/>
        <v>1.6777376567814527E-3</v>
      </c>
      <c r="S156" s="199">
        <f t="shared" si="47"/>
        <v>2.2854193216384541E-3</v>
      </c>
      <c r="T156" s="199">
        <f t="shared" si="48"/>
        <v>1.4373846957113245</v>
      </c>
      <c r="U156" s="199">
        <f t="shared" si="49"/>
        <v>0.18923213907848446</v>
      </c>
      <c r="V156" s="199">
        <f t="shared" si="50"/>
        <v>0</v>
      </c>
      <c r="W156" s="199">
        <f t="shared" si="52"/>
        <v>1.6305799917682289</v>
      </c>
    </row>
    <row r="157" spans="1:23">
      <c r="A157" s="777">
        <v>9</v>
      </c>
      <c r="B157" t="str">
        <f t="shared" si="44"/>
        <v>Sugar Cane</v>
      </c>
      <c r="K157" s="199">
        <f t="shared" si="45"/>
        <v>0</v>
      </c>
      <c r="L157" s="199">
        <f t="shared" si="45"/>
        <v>0</v>
      </c>
      <c r="M157" s="199">
        <f t="shared" si="45"/>
        <v>0.42919769719748296</v>
      </c>
      <c r="N157" s="199">
        <f t="shared" si="45"/>
        <v>9.4043181395448112</v>
      </c>
      <c r="O157" s="199">
        <f t="shared" si="45"/>
        <v>9.6796545525066477</v>
      </c>
      <c r="P157" s="199">
        <f t="shared" si="51"/>
        <v>19.513170389248941</v>
      </c>
      <c r="R157" s="199">
        <f t="shared" si="46"/>
        <v>0</v>
      </c>
      <c r="S157" s="199">
        <f t="shared" si="47"/>
        <v>0</v>
      </c>
      <c r="T157" s="199">
        <f t="shared" si="48"/>
        <v>2.4678298442829524E-2</v>
      </c>
      <c r="U157" s="199">
        <f t="shared" si="49"/>
        <v>0.54088733861215865</v>
      </c>
      <c r="V157" s="199">
        <f t="shared" si="50"/>
        <v>0.41792281665126041</v>
      </c>
      <c r="W157" s="199">
        <f t="shared" si="52"/>
        <v>0.9834884537062486</v>
      </c>
    </row>
    <row r="158" spans="1:23">
      <c r="A158" s="777">
        <v>10</v>
      </c>
      <c r="B158" t="str">
        <f t="shared" si="44"/>
        <v>Citrus</v>
      </c>
      <c r="K158" s="199">
        <f t="shared" si="45"/>
        <v>5.4082607712954429E-4</v>
      </c>
      <c r="L158" s="199">
        <f t="shared" si="45"/>
        <v>1.0068438897167123E-3</v>
      </c>
      <c r="M158" s="199">
        <f t="shared" si="45"/>
        <v>15.289746692746467</v>
      </c>
      <c r="N158" s="199">
        <f t="shared" si="45"/>
        <v>4.5895165036196248</v>
      </c>
      <c r="O158" s="199">
        <f t="shared" si="45"/>
        <v>2.0425071415278506E-2</v>
      </c>
      <c r="P158" s="199">
        <f t="shared" si="51"/>
        <v>19.901235937748218</v>
      </c>
      <c r="R158" s="199">
        <f t="shared" si="46"/>
        <v>5.7087733296339073E-5</v>
      </c>
      <c r="S158" s="199">
        <f t="shared" si="47"/>
        <v>1.0627896449125633E-4</v>
      </c>
      <c r="T158" s="199">
        <f t="shared" si="48"/>
        <v>1.6134807634358177</v>
      </c>
      <c r="U158" s="199">
        <f t="shared" si="49"/>
        <v>0.48445351509007495</v>
      </c>
      <c r="V158" s="199">
        <f t="shared" si="50"/>
        <v>1.6184730796892633E-3</v>
      </c>
      <c r="W158" s="199">
        <f t="shared" si="52"/>
        <v>2.0997161183033697</v>
      </c>
    </row>
    <row r="159" spans="1:23">
      <c r="A159" s="777">
        <v>11</v>
      </c>
      <c r="B159" t="str">
        <f t="shared" si="44"/>
        <v>Sod</v>
      </c>
      <c r="K159" s="199">
        <f t="shared" ref="K159:O168" si="53">K127*VLOOKUP($A159,bott_bmpeff,$K$616,FALSE)*VLOOKUP($A159,bottbmp_curr,K$25+2,FALSE)</f>
        <v>0</v>
      </c>
      <c r="L159" s="199">
        <f t="shared" si="53"/>
        <v>3.6457228090377375E-3</v>
      </c>
      <c r="M159" s="199">
        <f t="shared" si="53"/>
        <v>1.5694677105348973</v>
      </c>
      <c r="N159" s="199">
        <f t="shared" si="53"/>
        <v>0.10569183467091535</v>
      </c>
      <c r="O159" s="199">
        <f t="shared" si="53"/>
        <v>0</v>
      </c>
      <c r="P159" s="199">
        <f t="shared" si="51"/>
        <v>1.6788052680148502</v>
      </c>
      <c r="R159" s="199">
        <f t="shared" si="46"/>
        <v>0</v>
      </c>
      <c r="S159" s="199">
        <f t="shared" si="47"/>
        <v>9.4124352996157953E-4</v>
      </c>
      <c r="T159" s="199">
        <f t="shared" si="48"/>
        <v>0.40508771223837614</v>
      </c>
      <c r="U159" s="199">
        <f t="shared" si="49"/>
        <v>2.7287251599916757E-2</v>
      </c>
      <c r="V159" s="199">
        <f t="shared" si="50"/>
        <v>0</v>
      </c>
      <c r="W159" s="199">
        <f t="shared" si="52"/>
        <v>0.43331620736825444</v>
      </c>
    </row>
    <row r="160" spans="1:23">
      <c r="A160" s="777">
        <v>12</v>
      </c>
      <c r="B160" t="str">
        <f t="shared" si="44"/>
        <v>Ornamentals</v>
      </c>
      <c r="K160" s="199">
        <f t="shared" si="53"/>
        <v>1.7324814551386584E-3</v>
      </c>
      <c r="L160" s="199">
        <f t="shared" si="53"/>
        <v>1.2708326819465296E-3</v>
      </c>
      <c r="M160" s="199">
        <f t="shared" si="53"/>
        <v>0.28856878001394343</v>
      </c>
      <c r="N160" s="199">
        <f t="shared" si="53"/>
        <v>9.7668384411595012E-3</v>
      </c>
      <c r="O160" s="199">
        <f t="shared" si="53"/>
        <v>0</v>
      </c>
      <c r="P160" s="199">
        <f t="shared" si="51"/>
        <v>0.30133893259218814</v>
      </c>
      <c r="R160" s="199">
        <f t="shared" si="46"/>
        <v>6.164598759504815E-4</v>
      </c>
      <c r="S160" s="199">
        <f t="shared" si="47"/>
        <v>4.5219379124833111E-4</v>
      </c>
      <c r="T160" s="199">
        <f t="shared" si="48"/>
        <v>0.10265116660625032</v>
      </c>
      <c r="U160" s="199">
        <f t="shared" si="49"/>
        <v>3.4752833838464971E-3</v>
      </c>
      <c r="V160" s="199">
        <f t="shared" si="50"/>
        <v>0</v>
      </c>
      <c r="W160" s="199">
        <f t="shared" si="52"/>
        <v>0.10719510365729562</v>
      </c>
    </row>
    <row r="161" spans="1:23">
      <c r="A161" s="777">
        <v>13</v>
      </c>
      <c r="B161" t="str">
        <f t="shared" si="44"/>
        <v>Horse Farms</v>
      </c>
      <c r="K161" s="199">
        <f t="shared" si="53"/>
        <v>0</v>
      </c>
      <c r="L161" s="199">
        <f t="shared" si="53"/>
        <v>1.6444987119662086E-4</v>
      </c>
      <c r="M161" s="199">
        <f t="shared" si="53"/>
        <v>4.7964708181106971E-2</v>
      </c>
      <c r="N161" s="199">
        <f t="shared" si="53"/>
        <v>0.13621888885972905</v>
      </c>
      <c r="O161" s="199">
        <f t="shared" si="53"/>
        <v>0</v>
      </c>
      <c r="P161" s="199">
        <f t="shared" si="51"/>
        <v>0.18434804691203263</v>
      </c>
      <c r="R161" s="199">
        <f t="shared" si="46"/>
        <v>0</v>
      </c>
      <c r="S161" s="199">
        <f t="shared" si="47"/>
        <v>1.434508686693786E-5</v>
      </c>
      <c r="T161" s="199">
        <f t="shared" si="48"/>
        <v>4.1828257924050559E-3</v>
      </c>
      <c r="U161" s="199">
        <f t="shared" si="49"/>
        <v>1.1882476887283321E-2</v>
      </c>
      <c r="V161" s="199">
        <f t="shared" si="50"/>
        <v>0</v>
      </c>
      <c r="W161" s="199">
        <f t="shared" si="52"/>
        <v>1.6079647766555315E-2</v>
      </c>
    </row>
    <row r="162" spans="1:23">
      <c r="A162" s="777">
        <v>14</v>
      </c>
      <c r="B162" t="str">
        <f t="shared" si="44"/>
        <v>Dairies</v>
      </c>
      <c r="K162" s="199">
        <f t="shared" si="53"/>
        <v>0</v>
      </c>
      <c r="L162" s="199">
        <f t="shared" si="53"/>
        <v>2.1386715651574098E-4</v>
      </c>
      <c r="M162" s="199">
        <f t="shared" si="53"/>
        <v>0</v>
      </c>
      <c r="N162" s="199">
        <f t="shared" si="53"/>
        <v>1.4667713133488603E-2</v>
      </c>
      <c r="O162" s="199">
        <f t="shared" si="53"/>
        <v>0</v>
      </c>
      <c r="P162" s="199">
        <f t="shared" si="51"/>
        <v>1.4881580290004344E-2</v>
      </c>
      <c r="R162" s="199">
        <f t="shared" si="46"/>
        <v>0</v>
      </c>
      <c r="S162" s="199">
        <f t="shared" si="47"/>
        <v>5.1920510064868066E-5</v>
      </c>
      <c r="T162" s="199">
        <f t="shared" si="48"/>
        <v>0</v>
      </c>
      <c r="U162" s="199">
        <f t="shared" si="49"/>
        <v>3.5608793785026111E-3</v>
      </c>
      <c r="V162" s="199">
        <f t="shared" si="50"/>
        <v>0</v>
      </c>
      <c r="W162" s="199">
        <f t="shared" si="52"/>
        <v>3.612799888567479E-3</v>
      </c>
    </row>
    <row r="163" spans="1:23">
      <c r="A163" s="777">
        <v>15</v>
      </c>
      <c r="B163" t="str">
        <f t="shared" si="44"/>
        <v>Other Agriculture</v>
      </c>
      <c r="K163" s="199">
        <f t="shared" si="53"/>
        <v>9.8156939238883793E-3</v>
      </c>
      <c r="L163" s="199">
        <f t="shared" si="53"/>
        <v>7.2640765534931909E-3</v>
      </c>
      <c r="M163" s="199">
        <f t="shared" si="53"/>
        <v>0.78539762267769597</v>
      </c>
      <c r="N163" s="199">
        <f t="shared" si="53"/>
        <v>0.20134900651642793</v>
      </c>
      <c r="O163" s="199">
        <f t="shared" si="53"/>
        <v>0.19900987078210045</v>
      </c>
      <c r="P163" s="199">
        <f t="shared" si="51"/>
        <v>1.2028362704536057</v>
      </c>
      <c r="R163" s="199">
        <f t="shared" si="46"/>
        <v>2.8224855790580446E-3</v>
      </c>
      <c r="S163" s="199">
        <f t="shared" si="47"/>
        <v>2.94752402534223E-3</v>
      </c>
      <c r="T163" s="199">
        <f t="shared" si="48"/>
        <v>0.24190491979122988</v>
      </c>
      <c r="U163" s="199">
        <f t="shared" si="49"/>
        <v>7.3776415541114901E-2</v>
      </c>
      <c r="V163" s="199">
        <f t="shared" si="50"/>
        <v>4.3917449748244061E-2</v>
      </c>
      <c r="W163" s="199">
        <f t="shared" si="52"/>
        <v>0.36536879468498912</v>
      </c>
    </row>
    <row r="164" spans="1:23">
      <c r="A164" s="777">
        <v>16</v>
      </c>
      <c r="B164" t="str">
        <f t="shared" si="44"/>
        <v>Tree Plantations</v>
      </c>
      <c r="K164" s="199">
        <f t="shared" si="53"/>
        <v>0</v>
      </c>
      <c r="L164" s="199">
        <f t="shared" si="53"/>
        <v>0</v>
      </c>
      <c r="M164" s="199">
        <f t="shared" si="53"/>
        <v>8.6985979386784381E-4</v>
      </c>
      <c r="N164" s="199">
        <f t="shared" si="53"/>
        <v>0</v>
      </c>
      <c r="O164" s="199">
        <f t="shared" si="53"/>
        <v>0</v>
      </c>
      <c r="P164" s="199">
        <f t="shared" si="51"/>
        <v>8.6985979386784381E-4</v>
      </c>
      <c r="R164" s="199">
        <f t="shared" si="46"/>
        <v>0</v>
      </c>
      <c r="S164" s="199">
        <f t="shared" si="47"/>
        <v>0</v>
      </c>
      <c r="T164" s="199">
        <f t="shared" si="48"/>
        <v>9.6804744489208472E-6</v>
      </c>
      <c r="U164" s="199">
        <f t="shared" si="49"/>
        <v>0</v>
      </c>
      <c r="V164" s="199">
        <f t="shared" si="50"/>
        <v>0</v>
      </c>
      <c r="W164" s="199">
        <f t="shared" si="52"/>
        <v>9.6804744489208472E-6</v>
      </c>
    </row>
    <row r="165" spans="1:23">
      <c r="A165" s="777">
        <v>17</v>
      </c>
      <c r="B165" t="str">
        <f t="shared" si="44"/>
        <v>Water</v>
      </c>
      <c r="K165" s="199">
        <f t="shared" si="53"/>
        <v>0</v>
      </c>
      <c r="L165" s="199">
        <f t="shared" si="53"/>
        <v>0</v>
      </c>
      <c r="M165" s="199">
        <f t="shared" si="53"/>
        <v>0</v>
      </c>
      <c r="N165" s="199">
        <f t="shared" si="53"/>
        <v>0</v>
      </c>
      <c r="O165" s="199">
        <f t="shared" si="53"/>
        <v>0</v>
      </c>
      <c r="P165" s="199">
        <f t="shared" si="51"/>
        <v>0</v>
      </c>
      <c r="R165" s="199">
        <f t="shared" si="46"/>
        <v>0</v>
      </c>
      <c r="S165" s="199">
        <f t="shared" si="47"/>
        <v>0</v>
      </c>
      <c r="T165" s="199">
        <f t="shared" si="48"/>
        <v>0</v>
      </c>
      <c r="U165" s="199">
        <f t="shared" si="49"/>
        <v>0</v>
      </c>
      <c r="V165" s="199">
        <f t="shared" si="50"/>
        <v>0</v>
      </c>
      <c r="W165" s="199">
        <f t="shared" si="52"/>
        <v>0</v>
      </c>
    </row>
    <row r="166" spans="1:23">
      <c r="A166" s="777">
        <v>18</v>
      </c>
      <c r="B166" t="str">
        <f t="shared" si="44"/>
        <v>Natural Areas</v>
      </c>
      <c r="K166" s="199">
        <f t="shared" si="53"/>
        <v>0</v>
      </c>
      <c r="L166" s="199">
        <f t="shared" si="53"/>
        <v>0</v>
      </c>
      <c r="M166" s="199">
        <f t="shared" si="53"/>
        <v>0</v>
      </c>
      <c r="N166" s="199">
        <f t="shared" si="53"/>
        <v>0</v>
      </c>
      <c r="O166" s="199">
        <f t="shared" si="53"/>
        <v>0</v>
      </c>
      <c r="P166" s="199">
        <f t="shared" si="51"/>
        <v>0</v>
      </c>
      <c r="R166" s="199">
        <f t="shared" si="46"/>
        <v>0</v>
      </c>
      <c r="S166" s="199">
        <f t="shared" si="47"/>
        <v>0</v>
      </c>
      <c r="T166" s="199">
        <f t="shared" si="48"/>
        <v>0</v>
      </c>
      <c r="U166" s="199">
        <f t="shared" si="49"/>
        <v>0</v>
      </c>
      <c r="V166" s="199">
        <f t="shared" si="50"/>
        <v>0</v>
      </c>
      <c r="W166" s="199">
        <f t="shared" si="52"/>
        <v>0</v>
      </c>
    </row>
    <row r="167" spans="1:23">
      <c r="A167" s="777">
        <v>19</v>
      </c>
      <c r="B167" t="str">
        <f t="shared" si="44"/>
        <v>Transportation</v>
      </c>
      <c r="K167" s="199">
        <f t="shared" si="53"/>
        <v>1.6672220304475821E-2</v>
      </c>
      <c r="L167" s="199">
        <f t="shared" si="53"/>
        <v>8.9408090013392796E-2</v>
      </c>
      <c r="M167" s="199">
        <f t="shared" si="53"/>
        <v>2.1125091299678364E-2</v>
      </c>
      <c r="N167" s="199">
        <f t="shared" si="53"/>
        <v>1.9312410375879992E-2</v>
      </c>
      <c r="O167" s="199">
        <f t="shared" si="53"/>
        <v>1.1131322046345331E-2</v>
      </c>
      <c r="P167" s="199">
        <f t="shared" si="51"/>
        <v>0.15764913403977232</v>
      </c>
      <c r="R167" s="199">
        <f t="shared" si="46"/>
        <v>1.7197648178239593E-3</v>
      </c>
      <c r="S167" s="199">
        <f t="shared" si="47"/>
        <v>9.2225801258511465E-3</v>
      </c>
      <c r="T167" s="199">
        <f t="shared" si="48"/>
        <v>2.1784747989599435E-3</v>
      </c>
      <c r="U167" s="199">
        <f t="shared" si="49"/>
        <v>1.992104429120367E-3</v>
      </c>
      <c r="V167" s="199">
        <f t="shared" si="50"/>
        <v>8.6194407443595448E-4</v>
      </c>
      <c r="W167" s="199">
        <f t="shared" si="52"/>
        <v>1.5974868246191373E-2</v>
      </c>
    </row>
    <row r="168" spans="1:23">
      <c r="A168" s="777">
        <v>20</v>
      </c>
      <c r="B168" t="str">
        <f t="shared" si="44"/>
        <v>Communication, Utilities</v>
      </c>
      <c r="K168" s="199">
        <f t="shared" si="53"/>
        <v>2.7629173285123564E-3</v>
      </c>
      <c r="L168" s="199">
        <f t="shared" si="53"/>
        <v>4.4619400642496665E-3</v>
      </c>
      <c r="M168" s="199">
        <f t="shared" si="53"/>
        <v>1.0442840177287108E-3</v>
      </c>
      <c r="N168" s="199">
        <f t="shared" si="53"/>
        <v>1.8817807221516102E-3</v>
      </c>
      <c r="O168" s="199">
        <f t="shared" si="53"/>
        <v>7.372389498241362E-4</v>
      </c>
      <c r="P168" s="199">
        <f t="shared" si="51"/>
        <v>1.088816108246648E-2</v>
      </c>
      <c r="R168" s="199">
        <f t="shared" si="46"/>
        <v>2.5425375508562664E-4</v>
      </c>
      <c r="S168" s="199">
        <f t="shared" si="47"/>
        <v>4.1060403964866815E-4</v>
      </c>
      <c r="T168" s="199">
        <f t="shared" si="48"/>
        <v>9.6071913961750285E-5</v>
      </c>
      <c r="U168" s="199">
        <f t="shared" si="49"/>
        <v>1.731683427214241E-4</v>
      </c>
      <c r="V168" s="199">
        <f t="shared" si="50"/>
        <v>5.0928921363332286E-5</v>
      </c>
      <c r="W168" s="199">
        <f t="shared" si="52"/>
        <v>9.850269727808014E-4</v>
      </c>
    </row>
    <row r="169" spans="1:23">
      <c r="A169" s="585" t="s">
        <v>701</v>
      </c>
      <c r="B169" s="38" t="s">
        <v>714</v>
      </c>
      <c r="C169" s="4"/>
      <c r="D169" s="4"/>
      <c r="E169" s="4"/>
      <c r="F169" s="4"/>
      <c r="G169" s="4"/>
      <c r="H169" s="4"/>
      <c r="I169" s="4"/>
      <c r="J169" s="4"/>
      <c r="K169" s="583">
        <f>SUM(K149:K152,K167:K168)</f>
        <v>1.4090805417469501</v>
      </c>
      <c r="L169" s="583">
        <f t="shared" ref="L169:O169" si="54">SUM(L149:L152,L167:L168)</f>
        <v>3.5520306907674288</v>
      </c>
      <c r="M169" s="583">
        <f t="shared" si="54"/>
        <v>0.68722599709359666</v>
      </c>
      <c r="N169" s="583">
        <f t="shared" si="54"/>
        <v>0.139830024375175</v>
      </c>
      <c r="O169" s="583">
        <f t="shared" si="54"/>
        <v>0.18498877214224169</v>
      </c>
      <c r="P169" s="583">
        <f t="shared" ref="P169:P170" si="55">SUM(K169:O169)</f>
        <v>5.973156026125392</v>
      </c>
      <c r="Q169" s="4"/>
      <c r="R169" s="583">
        <f>SUM(R149:R152,R167:R168)</f>
        <v>5.304287781017971E-2</v>
      </c>
      <c r="S169" s="583">
        <f t="shared" ref="S169:V169" si="56">SUM(S149:S152,S167:S168)</f>
        <v>0.14578308945789867</v>
      </c>
      <c r="T169" s="583">
        <f t="shared" si="56"/>
        <v>2.6282822141194095E-2</v>
      </c>
      <c r="U169" s="583">
        <f t="shared" si="56"/>
        <v>6.4266818159069115E-3</v>
      </c>
      <c r="V169" s="583">
        <f t="shared" si="56"/>
        <v>6.3961058157934632E-3</v>
      </c>
      <c r="W169" s="583">
        <f t="shared" ref="W169:W170" si="57">SUM(R169:V169)</f>
        <v>0.23793157704097287</v>
      </c>
    </row>
    <row r="170" spans="1:23">
      <c r="A170" s="585" t="s">
        <v>702</v>
      </c>
      <c r="B170" s="38" t="s">
        <v>718</v>
      </c>
      <c r="C170" s="4"/>
      <c r="D170" s="4"/>
      <c r="E170" s="4"/>
      <c r="F170" s="4"/>
      <c r="G170" s="4"/>
      <c r="H170" s="4"/>
      <c r="I170" s="4"/>
      <c r="J170" s="4"/>
      <c r="K170" s="583">
        <f>SUM(K153:K164)</f>
        <v>4.4712222807910304E-2</v>
      </c>
      <c r="L170" s="583">
        <f t="shared" ref="L170:O170" si="58">SUM(L153:L164)</f>
        <v>9.3342874653708163E-2</v>
      </c>
      <c r="M170" s="583">
        <f t="shared" si="58"/>
        <v>56.584361247586187</v>
      </c>
      <c r="N170" s="583">
        <f t="shared" si="58"/>
        <v>30.620520808544686</v>
      </c>
      <c r="O170" s="583">
        <f t="shared" si="58"/>
        <v>10.465759352070387</v>
      </c>
      <c r="P170" s="583">
        <f t="shared" si="55"/>
        <v>97.80869650566288</v>
      </c>
      <c r="Q170" s="4"/>
      <c r="R170" s="583">
        <f>SUM(R153:R164)</f>
        <v>7.1438108687707155E-3</v>
      </c>
      <c r="S170" s="583">
        <f t="shared" ref="S170:V170" si="59">SUM(S153:S164)</f>
        <v>1.3054630887438952E-2</v>
      </c>
      <c r="T170" s="583">
        <f t="shared" si="59"/>
        <v>6.7040039696238578</v>
      </c>
      <c r="U170" s="583">
        <f t="shared" si="59"/>
        <v>2.7676399921421995</v>
      </c>
      <c r="V170" s="583">
        <f t="shared" si="59"/>
        <v>0.50285064307088267</v>
      </c>
      <c r="W170" s="583">
        <f t="shared" si="57"/>
        <v>9.9946930465931487</v>
      </c>
    </row>
    <row r="171" spans="1:23">
      <c r="B171" s="209" t="s">
        <v>719</v>
      </c>
      <c r="C171" s="4"/>
      <c r="D171" s="207">
        <f>D$137</f>
        <v>222351.6538822767</v>
      </c>
      <c r="E171" s="207">
        <f t="shared" ref="E171:H171" si="60">E$137</f>
        <v>436972.92238569196</v>
      </c>
      <c r="F171" s="207">
        <f t="shared" si="60"/>
        <v>592883.25223140384</v>
      </c>
      <c r="G171" s="207">
        <f t="shared" si="60"/>
        <v>304048.44256774255</v>
      </c>
      <c r="H171" s="207">
        <f t="shared" si="60"/>
        <v>63034.099834710752</v>
      </c>
      <c r="I171" s="545">
        <f>SUM(D171:H171)</f>
        <v>1619290.3709018258</v>
      </c>
      <c r="J171" s="4"/>
      <c r="K171" s="584">
        <f>SUM(K149:K168)</f>
        <v>1.4537927645548607</v>
      </c>
      <c r="L171" s="584">
        <f t="shared" ref="L171:O171" si="61">SUM(L149:L168)</f>
        <v>3.6453735654211368</v>
      </c>
      <c r="M171" s="584">
        <f t="shared" si="61"/>
        <v>57.271587244679786</v>
      </c>
      <c r="N171" s="584">
        <f t="shared" si="61"/>
        <v>30.760350832919862</v>
      </c>
      <c r="O171" s="584">
        <f t="shared" si="61"/>
        <v>10.65074812421263</v>
      </c>
      <c r="P171" s="584">
        <f t="shared" si="51"/>
        <v>103.78185253178826</v>
      </c>
      <c r="Q171" s="4"/>
      <c r="R171" s="584">
        <f>SUM(R149:R168)</f>
        <v>6.0186688678950426E-2</v>
      </c>
      <c r="S171" s="584">
        <f t="shared" ref="S171:V171" si="62">SUM(S149:S168)</f>
        <v>0.15883772034533761</v>
      </c>
      <c r="T171" s="584">
        <f t="shared" si="62"/>
        <v>6.7302867917650522</v>
      </c>
      <c r="U171" s="584">
        <f t="shared" si="62"/>
        <v>2.774066673958107</v>
      </c>
      <c r="V171" s="584">
        <f t="shared" si="62"/>
        <v>0.5092467488866762</v>
      </c>
      <c r="W171" s="584">
        <f t="shared" si="52"/>
        <v>10.232624623634123</v>
      </c>
    </row>
    <row r="174" spans="1:23">
      <c r="A174" s="353" t="s">
        <v>722</v>
      </c>
      <c r="B174" s="229"/>
      <c r="C174" s="230"/>
      <c r="D174" s="231"/>
      <c r="E174" s="231"/>
      <c r="F174" s="231"/>
      <c r="G174" s="231"/>
      <c r="H174" s="231"/>
      <c r="I174" s="231"/>
      <c r="J174" s="230"/>
      <c r="K174" s="232"/>
      <c r="L174" s="232"/>
      <c r="M174" s="232"/>
      <c r="N174" s="232"/>
      <c r="O174" s="232"/>
      <c r="P174" s="232"/>
      <c r="Q174" s="230"/>
      <c r="R174" s="230"/>
      <c r="S174" s="354"/>
      <c r="T174" s="354"/>
      <c r="U174" s="354"/>
      <c r="V174" s="354"/>
      <c r="W174" s="594"/>
    </row>
    <row r="176" spans="1:23">
      <c r="C176" s="99"/>
      <c r="D176" s="1440" t="s">
        <v>488</v>
      </c>
      <c r="E176" s="1440"/>
      <c r="F176" s="1440"/>
      <c r="G176" s="1440"/>
      <c r="H176" s="1440"/>
      <c r="I176" s="1440"/>
      <c r="K176" s="1441" t="s">
        <v>665</v>
      </c>
      <c r="L176" s="1441"/>
      <c r="M176" s="1441"/>
      <c r="N176" s="1441"/>
      <c r="O176" s="1441"/>
      <c r="P176" s="1441"/>
      <c r="R176" s="1442" t="s">
        <v>666</v>
      </c>
      <c r="S176" s="1442"/>
      <c r="T176" s="1442"/>
      <c r="U176" s="1442"/>
      <c r="V176" s="1442"/>
      <c r="W176" s="1442"/>
    </row>
    <row r="177" spans="1:23" ht="30">
      <c r="A177" s="521" t="s">
        <v>630</v>
      </c>
      <c r="B177" s="544" t="s">
        <v>214</v>
      </c>
      <c r="D177" s="363"/>
      <c r="E177" s="363"/>
      <c r="F177" s="363"/>
      <c r="G177" s="363"/>
      <c r="H177" s="363"/>
      <c r="I177" s="364"/>
      <c r="K177" s="351" t="str">
        <f t="shared" ref="K177:W177" si="63">VLOOKUP(K$24,subwatgeog,2,FALSE)</f>
        <v>Coastal</v>
      </c>
      <c r="L177" s="351" t="str">
        <f t="shared" si="63"/>
        <v>Tidal Cal.</v>
      </c>
      <c r="M177" s="351" t="str">
        <f t="shared" si="63"/>
        <v>West Cal.</v>
      </c>
      <c r="N177" s="351" t="str">
        <f t="shared" si="63"/>
        <v>East Cal.</v>
      </c>
      <c r="O177" s="351" t="str">
        <f t="shared" si="63"/>
        <v>S-4</v>
      </c>
      <c r="P177" s="355" t="str">
        <f t="shared" si="63"/>
        <v>Total CRWPP</v>
      </c>
      <c r="R177" s="352" t="str">
        <f t="shared" si="63"/>
        <v>Coastal</v>
      </c>
      <c r="S177" s="352" t="str">
        <f t="shared" si="63"/>
        <v>Tidal Cal.</v>
      </c>
      <c r="T177" s="352" t="str">
        <f t="shared" si="63"/>
        <v>West Cal.</v>
      </c>
      <c r="U177" s="352" t="str">
        <f t="shared" si="63"/>
        <v>East Cal.</v>
      </c>
      <c r="V177" s="352" t="str">
        <f t="shared" si="63"/>
        <v>S-4</v>
      </c>
      <c r="W177" s="356" t="str">
        <f t="shared" si="63"/>
        <v>Total CRWPP</v>
      </c>
    </row>
    <row r="178" spans="1:23">
      <c r="A178" s="777">
        <v>1</v>
      </c>
      <c r="B178" t="str">
        <f t="shared" ref="B178:B197" si="64">VLOOKUP($A178,bott_bmpeff,2,FALSE)</f>
        <v>Residential Low Density</v>
      </c>
      <c r="K178" s="199">
        <f t="shared" ref="K178:O187" si="65">K117*VLOOKUP($A178,bott_bmpeff,$L$616,FALSE)*VLOOKUP($A178,bottbmp_curr,K$25+7,FALSE)</f>
        <v>0.81427314072360213</v>
      </c>
      <c r="L178" s="199">
        <f t="shared" si="65"/>
        <v>0</v>
      </c>
      <c r="M178" s="199">
        <f t="shared" si="65"/>
        <v>0.32223849799723903</v>
      </c>
      <c r="N178" s="199">
        <f t="shared" si="65"/>
        <v>2.9783431935132776E-2</v>
      </c>
      <c r="O178" s="199">
        <f t="shared" si="65"/>
        <v>2.349878643376822E-3</v>
      </c>
      <c r="P178" s="199">
        <f>SUM(K178:O178)</f>
        <v>1.1686449492993507</v>
      </c>
      <c r="R178" s="199">
        <f t="shared" ref="R178:R197" si="66">R117*VLOOKUP($A178,bott_bmpeff,$L$617,FALSE)*VLOOKUP($A178,bottbmp_curr,K$25+7,FALSE)</f>
        <v>2.7815812097263408E-2</v>
      </c>
      <c r="S178" s="199">
        <f t="shared" ref="S178:S197" si="67">S117*VLOOKUP($A178,bott_bmpeff,$L$617,FALSE)*VLOOKUP($A178,bottbmp_curr,L$25+7,FALSE)</f>
        <v>0</v>
      </c>
      <c r="T178" s="199">
        <f t="shared" ref="T178:T197" si="68">T117*VLOOKUP($A178,bott_bmpeff,$L$617,FALSE)*VLOOKUP($A178,bottbmp_curr,M$25+7,FALSE)</f>
        <v>1.1004679150107012E-2</v>
      </c>
      <c r="U178" s="199">
        <f t="shared" ref="U178:U197" si="69">U117*VLOOKUP($A178,bott_bmpeff,$L$617,FALSE)*VLOOKUP($A178,bottbmp_curr,N$25+7,FALSE)</f>
        <v>1.0174108722081718E-3</v>
      </c>
      <c r="V178" s="199">
        <f t="shared" ref="V178:V197" si="70">V117*VLOOKUP($A178,bott_bmpeff,$L$617,FALSE)*VLOOKUP($A178,bottbmp_curr,O$25+7,FALSE)</f>
        <v>6.0259259358675819E-5</v>
      </c>
      <c r="W178" s="199">
        <f>SUM(R178:V178)</f>
        <v>3.9898161378937265E-2</v>
      </c>
    </row>
    <row r="179" spans="1:23">
      <c r="A179" s="777">
        <v>2</v>
      </c>
      <c r="B179" t="str">
        <f t="shared" si="64"/>
        <v>Residential Medium Density</v>
      </c>
      <c r="K179" s="199">
        <f t="shared" si="65"/>
        <v>0.13429313771535131</v>
      </c>
      <c r="L179" s="199">
        <f t="shared" si="65"/>
        <v>0.83112968396137521</v>
      </c>
      <c r="M179" s="199">
        <f t="shared" si="65"/>
        <v>0.10702248912890976</v>
      </c>
      <c r="N179" s="199">
        <f t="shared" si="65"/>
        <v>5.6678065214533675E-3</v>
      </c>
      <c r="O179" s="199">
        <f t="shared" si="65"/>
        <v>3.0285648421316362E-2</v>
      </c>
      <c r="P179" s="199">
        <f t="shared" ref="P179:P200" si="71">SUM(K179:O179)</f>
        <v>1.1083987657484058</v>
      </c>
      <c r="R179" s="199">
        <f t="shared" si="66"/>
        <v>5.4066886873069793E-3</v>
      </c>
      <c r="S179" s="199">
        <f t="shared" si="67"/>
        <v>3.346157172590445E-2</v>
      </c>
      <c r="T179" s="199">
        <f t="shared" si="68"/>
        <v>4.3075558439488321E-3</v>
      </c>
      <c r="U179" s="199">
        <f t="shared" si="69"/>
        <v>2.2818787260999159E-4</v>
      </c>
      <c r="V179" s="199">
        <f t="shared" si="70"/>
        <v>9.1531618164493868E-4</v>
      </c>
      <c r="W179" s="199">
        <f t="shared" ref="W179:W200" si="72">SUM(R179:V179)</f>
        <v>4.4319320311415195E-2</v>
      </c>
    </row>
    <row r="180" spans="1:23">
      <c r="A180" s="777">
        <v>3</v>
      </c>
      <c r="B180" t="str">
        <f t="shared" si="64"/>
        <v>Residential High Density</v>
      </c>
      <c r="K180" s="199">
        <f t="shared" si="65"/>
        <v>2.8136326718705043E-2</v>
      </c>
      <c r="L180" s="199">
        <f t="shared" si="65"/>
        <v>1.1136876964918108E-2</v>
      </c>
      <c r="M180" s="199">
        <f t="shared" si="65"/>
        <v>1.2542822281648967E-2</v>
      </c>
      <c r="N180" s="199">
        <f t="shared" si="65"/>
        <v>0</v>
      </c>
      <c r="O180" s="199">
        <f t="shared" si="65"/>
        <v>0</v>
      </c>
      <c r="P180" s="199">
        <f t="shared" si="71"/>
        <v>5.1816025965272114E-2</v>
      </c>
      <c r="R180" s="199">
        <f t="shared" si="66"/>
        <v>1.6182547901276297E-3</v>
      </c>
      <c r="S180" s="199">
        <f t="shared" si="67"/>
        <v>6.4053508745900187E-4</v>
      </c>
      <c r="T180" s="199">
        <f t="shared" si="68"/>
        <v>7.2119564853928217E-4</v>
      </c>
      <c r="U180" s="199">
        <f t="shared" si="69"/>
        <v>0</v>
      </c>
      <c r="V180" s="199">
        <f t="shared" si="70"/>
        <v>0</v>
      </c>
      <c r="W180" s="199">
        <f t="shared" si="72"/>
        <v>2.9799855261259138E-3</v>
      </c>
    </row>
    <row r="181" spans="1:23">
      <c r="A181" s="777">
        <v>4</v>
      </c>
      <c r="B181" t="str">
        <f t="shared" si="64"/>
        <v>Other Urban</v>
      </c>
      <c r="K181" s="199">
        <f t="shared" si="65"/>
        <v>5.3358130276987395E-2</v>
      </c>
      <c r="L181" s="199">
        <f t="shared" si="65"/>
        <v>0.15044057822566154</v>
      </c>
      <c r="M181" s="199">
        <f t="shared" si="65"/>
        <v>3.1157994675345933E-2</v>
      </c>
      <c r="N181" s="199">
        <f t="shared" si="65"/>
        <v>1.3152951804830518E-2</v>
      </c>
      <c r="O181" s="199">
        <f t="shared" si="65"/>
        <v>3.1386366003298145E-2</v>
      </c>
      <c r="P181" s="199">
        <f t="shared" si="71"/>
        <v>0.27949602098612353</v>
      </c>
      <c r="R181" s="199">
        <f t="shared" si="66"/>
        <v>1.9407191170230996E-3</v>
      </c>
      <c r="S181" s="199">
        <f t="shared" si="67"/>
        <v>5.6083882328494313E-3</v>
      </c>
      <c r="T181" s="199">
        <f t="shared" si="68"/>
        <v>1.2871301186150475E-3</v>
      </c>
      <c r="U181" s="199">
        <f t="shared" si="69"/>
        <v>4.8742314624158965E-4</v>
      </c>
      <c r="V181" s="199">
        <f t="shared" si="70"/>
        <v>1.1388160747495147E-3</v>
      </c>
      <c r="W181" s="199">
        <f t="shared" si="72"/>
        <v>1.0462476689478683E-2</v>
      </c>
    </row>
    <row r="182" spans="1:23">
      <c r="A182" s="777">
        <v>5</v>
      </c>
      <c r="B182" t="str">
        <f t="shared" si="64"/>
        <v>Improved Pasture</v>
      </c>
      <c r="K182" s="199">
        <f t="shared" si="65"/>
        <v>9.6574512238548991E-3</v>
      </c>
      <c r="L182" s="199">
        <f t="shared" si="65"/>
        <v>3.4245058550436122E-2</v>
      </c>
      <c r="M182" s="199">
        <f t="shared" si="65"/>
        <v>16.071509120723192</v>
      </c>
      <c r="N182" s="199">
        <f t="shared" si="65"/>
        <v>8.2934911784125234</v>
      </c>
      <c r="O182" s="199">
        <f t="shared" si="65"/>
        <v>0.32353820356437774</v>
      </c>
      <c r="P182" s="199">
        <f t="shared" si="71"/>
        <v>24.732441012474386</v>
      </c>
      <c r="R182" s="199">
        <f t="shared" si="66"/>
        <v>2.6621387052132152E-3</v>
      </c>
      <c r="S182" s="199">
        <f t="shared" si="67"/>
        <v>9.439871216146721E-3</v>
      </c>
      <c r="T182" s="199">
        <f t="shared" si="68"/>
        <v>4.4289741085664494</v>
      </c>
      <c r="U182" s="199">
        <f t="shared" si="69"/>
        <v>2.2861543232918811</v>
      </c>
      <c r="V182" s="199">
        <f t="shared" si="70"/>
        <v>6.6949979295501616E-2</v>
      </c>
      <c r="W182" s="199">
        <f t="shared" si="72"/>
        <v>6.7941804210751924</v>
      </c>
    </row>
    <row r="183" spans="1:23">
      <c r="A183" s="777">
        <v>6</v>
      </c>
      <c r="B183" t="str">
        <f t="shared" si="64"/>
        <v>Unimproved Pasture</v>
      </c>
      <c r="K183" s="199">
        <f t="shared" si="65"/>
        <v>6.8773460721664509E-4</v>
      </c>
      <c r="L183" s="199">
        <f t="shared" si="65"/>
        <v>3.030330846971132E-3</v>
      </c>
      <c r="M183" s="199">
        <f t="shared" si="65"/>
        <v>1.4592183624868136</v>
      </c>
      <c r="N183" s="199">
        <f t="shared" si="65"/>
        <v>0.5139236280648064</v>
      </c>
      <c r="O183" s="199">
        <f t="shared" si="65"/>
        <v>0</v>
      </c>
      <c r="P183" s="199">
        <f t="shared" si="71"/>
        <v>1.9768600560058078</v>
      </c>
      <c r="R183" s="199">
        <f t="shared" si="66"/>
        <v>1.6828815519291632E-4</v>
      </c>
      <c r="S183" s="199">
        <f t="shared" si="67"/>
        <v>7.4151974105952315E-4</v>
      </c>
      <c r="T183" s="199">
        <f t="shared" si="68"/>
        <v>0.35696964129779324</v>
      </c>
      <c r="U183" s="199">
        <f t="shared" si="69"/>
        <v>0.12575673576628979</v>
      </c>
      <c r="V183" s="199">
        <f t="shared" si="70"/>
        <v>0</v>
      </c>
      <c r="W183" s="199">
        <f t="shared" si="72"/>
        <v>0.48363618496033545</v>
      </c>
    </row>
    <row r="184" spans="1:23">
      <c r="A184" s="777">
        <v>7</v>
      </c>
      <c r="B184" t="str">
        <f t="shared" si="64"/>
        <v>Rangeland, Woodland Pasture</v>
      </c>
      <c r="K184" s="199">
        <f t="shared" si="65"/>
        <v>9.7631333396023205E-3</v>
      </c>
      <c r="L184" s="199">
        <f t="shared" si="65"/>
        <v>8.2093734342102501E-3</v>
      </c>
      <c r="M184" s="199">
        <f t="shared" si="65"/>
        <v>2.0183790820020011</v>
      </c>
      <c r="N184" s="199">
        <f t="shared" si="65"/>
        <v>0.54955136862012566</v>
      </c>
      <c r="O184" s="199">
        <f t="shared" si="65"/>
        <v>2.4982366960376895E-2</v>
      </c>
      <c r="P184" s="199">
        <f t="shared" si="71"/>
        <v>2.6108853243563162</v>
      </c>
      <c r="R184" s="199">
        <f t="shared" si="66"/>
        <v>5.0727769046901832E-4</v>
      </c>
      <c r="S184" s="199">
        <f t="shared" si="67"/>
        <v>5.8685579764949578E-4</v>
      </c>
      <c r="T184" s="199">
        <f t="shared" si="68"/>
        <v>0.17739986990157003</v>
      </c>
      <c r="U184" s="199">
        <f t="shared" si="69"/>
        <v>6.270974682592928E-2</v>
      </c>
      <c r="V184" s="199">
        <f t="shared" si="70"/>
        <v>9.4708389407151998E-4</v>
      </c>
      <c r="W184" s="199">
        <f t="shared" si="72"/>
        <v>0.24215083410968935</v>
      </c>
    </row>
    <row r="185" spans="1:23">
      <c r="A185" s="777">
        <v>8</v>
      </c>
      <c r="B185" t="str">
        <f t="shared" si="64"/>
        <v>Row Crops</v>
      </c>
      <c r="K185" s="199">
        <f t="shared" si="65"/>
        <v>8.7511636265426226E-3</v>
      </c>
      <c r="L185" s="199">
        <f t="shared" si="65"/>
        <v>1.192086161866809E-2</v>
      </c>
      <c r="M185" s="199">
        <f t="shared" si="65"/>
        <v>7.4995713681239264</v>
      </c>
      <c r="N185" s="199">
        <f t="shared" si="65"/>
        <v>0.9870443127880536</v>
      </c>
      <c r="O185" s="199">
        <f t="shared" si="65"/>
        <v>0</v>
      </c>
      <c r="P185" s="199">
        <f t="shared" si="71"/>
        <v>8.5072877061571912</v>
      </c>
      <c r="R185" s="199">
        <f t="shared" si="66"/>
        <v>1.6777376567814527E-3</v>
      </c>
      <c r="S185" s="199">
        <f t="shared" si="67"/>
        <v>2.2854193216384541E-3</v>
      </c>
      <c r="T185" s="199">
        <f t="shared" si="68"/>
        <v>1.4373846957113245</v>
      </c>
      <c r="U185" s="199">
        <f t="shared" si="69"/>
        <v>0.18923213907848446</v>
      </c>
      <c r="V185" s="199">
        <f t="shared" si="70"/>
        <v>0</v>
      </c>
      <c r="W185" s="199">
        <f t="shared" si="72"/>
        <v>1.6305799917682289</v>
      </c>
    </row>
    <row r="186" spans="1:23">
      <c r="A186" s="777">
        <v>9</v>
      </c>
      <c r="B186" t="str">
        <f t="shared" si="64"/>
        <v>Sugar Cane</v>
      </c>
      <c r="K186" s="199">
        <f t="shared" si="65"/>
        <v>0</v>
      </c>
      <c r="L186" s="199">
        <f t="shared" si="65"/>
        <v>0</v>
      </c>
      <c r="M186" s="199">
        <f t="shared" si="65"/>
        <v>0.98715470355421076</v>
      </c>
      <c r="N186" s="199">
        <f t="shared" si="65"/>
        <v>21.62993172095306</v>
      </c>
      <c r="O186" s="199">
        <f t="shared" si="65"/>
        <v>22.263205470765289</v>
      </c>
      <c r="P186" s="199">
        <f t="shared" si="71"/>
        <v>44.880291895272563</v>
      </c>
      <c r="R186" s="199">
        <f t="shared" si="66"/>
        <v>0</v>
      </c>
      <c r="S186" s="199">
        <f t="shared" si="67"/>
        <v>0</v>
      </c>
      <c r="T186" s="199">
        <f t="shared" si="68"/>
        <v>5.6760086418507903E-2</v>
      </c>
      <c r="U186" s="199">
        <f t="shared" si="69"/>
        <v>1.2440408788079649</v>
      </c>
      <c r="V186" s="199">
        <f t="shared" si="70"/>
        <v>0.96122247829789886</v>
      </c>
      <c r="W186" s="199">
        <f t="shared" si="72"/>
        <v>2.2620234435243716</v>
      </c>
    </row>
    <row r="187" spans="1:23">
      <c r="A187" s="777">
        <v>10</v>
      </c>
      <c r="B187" t="str">
        <f t="shared" si="64"/>
        <v>Citrus</v>
      </c>
      <c r="K187" s="199">
        <f t="shared" si="65"/>
        <v>1.0816521542590886E-3</v>
      </c>
      <c r="L187" s="199">
        <f t="shared" si="65"/>
        <v>2.0136877794334246E-3</v>
      </c>
      <c r="M187" s="199">
        <f t="shared" si="65"/>
        <v>30.579493385492935</v>
      </c>
      <c r="N187" s="199">
        <f t="shared" si="65"/>
        <v>9.1790330072392496</v>
      </c>
      <c r="O187" s="199">
        <f t="shared" si="65"/>
        <v>4.0850142830557011E-2</v>
      </c>
      <c r="P187" s="199">
        <f t="shared" si="71"/>
        <v>39.802471875496437</v>
      </c>
      <c r="R187" s="199">
        <f t="shared" si="66"/>
        <v>9.5146222160565132E-5</v>
      </c>
      <c r="S187" s="199">
        <f t="shared" si="67"/>
        <v>1.7713160748542722E-4</v>
      </c>
      <c r="T187" s="199">
        <f t="shared" si="68"/>
        <v>2.689134605726363</v>
      </c>
      <c r="U187" s="199">
        <f t="shared" si="69"/>
        <v>0.80742252515012503</v>
      </c>
      <c r="V187" s="199">
        <f t="shared" si="70"/>
        <v>2.6974551328154393E-3</v>
      </c>
      <c r="W187" s="199">
        <f t="shared" si="72"/>
        <v>3.4995268638389492</v>
      </c>
    </row>
    <row r="188" spans="1:23">
      <c r="A188" s="777">
        <v>11</v>
      </c>
      <c r="B188" t="str">
        <f t="shared" si="64"/>
        <v>Sod</v>
      </c>
      <c r="K188" s="199">
        <f t="shared" ref="K188:O197" si="73">K127*VLOOKUP($A188,bott_bmpeff,$L$616,FALSE)*VLOOKUP($A188,bottbmp_curr,K$25+7,FALSE)</f>
        <v>0</v>
      </c>
      <c r="L188" s="199">
        <f t="shared" si="73"/>
        <v>4.9217257922009464E-3</v>
      </c>
      <c r="M188" s="199">
        <f t="shared" si="73"/>
        <v>2.1187814092221111</v>
      </c>
      <c r="N188" s="199">
        <f t="shared" si="73"/>
        <v>0.14268397680573575</v>
      </c>
      <c r="O188" s="199">
        <f t="shared" si="73"/>
        <v>0</v>
      </c>
      <c r="P188" s="199">
        <f t="shared" si="71"/>
        <v>2.2663871118200478</v>
      </c>
      <c r="R188" s="199">
        <f t="shared" si="66"/>
        <v>0</v>
      </c>
      <c r="S188" s="199">
        <f t="shared" si="67"/>
        <v>1.2706787654481325E-3</v>
      </c>
      <c r="T188" s="199">
        <f t="shared" si="68"/>
        <v>0.54686841152180776</v>
      </c>
      <c r="U188" s="199">
        <f t="shared" si="69"/>
        <v>3.6837789659887626E-2</v>
      </c>
      <c r="V188" s="199">
        <f t="shared" si="70"/>
        <v>0</v>
      </c>
      <c r="W188" s="199">
        <f t="shared" si="72"/>
        <v>0.58497687994714354</v>
      </c>
    </row>
    <row r="189" spans="1:23">
      <c r="A189" s="777">
        <v>12</v>
      </c>
      <c r="B189" t="str">
        <f t="shared" si="64"/>
        <v>Ornamentals</v>
      </c>
      <c r="K189" s="199">
        <f t="shared" si="73"/>
        <v>1.7324814551386584E-3</v>
      </c>
      <c r="L189" s="199">
        <f t="shared" si="73"/>
        <v>1.2708326819465296E-3</v>
      </c>
      <c r="M189" s="199">
        <f t="shared" si="73"/>
        <v>0.28856878001394343</v>
      </c>
      <c r="N189" s="199">
        <f t="shared" si="73"/>
        <v>9.7668384411595012E-3</v>
      </c>
      <c r="O189" s="199">
        <f t="shared" si="73"/>
        <v>0</v>
      </c>
      <c r="P189" s="199">
        <f t="shared" si="71"/>
        <v>0.30133893259218814</v>
      </c>
      <c r="R189" s="199">
        <f t="shared" si="66"/>
        <v>6.7425298932083909E-4</v>
      </c>
      <c r="S189" s="199">
        <f t="shared" si="67"/>
        <v>4.9458695917786212E-4</v>
      </c>
      <c r="T189" s="199">
        <f t="shared" si="68"/>
        <v>0.11227471347558628</v>
      </c>
      <c r="U189" s="199">
        <f t="shared" si="69"/>
        <v>3.8010912010821058E-3</v>
      </c>
      <c r="V189" s="199">
        <f t="shared" si="70"/>
        <v>0</v>
      </c>
      <c r="W189" s="199">
        <f t="shared" si="72"/>
        <v>0.11724464462516708</v>
      </c>
    </row>
    <row r="190" spans="1:23">
      <c r="A190" s="777">
        <v>13</v>
      </c>
      <c r="B190" t="str">
        <f t="shared" si="64"/>
        <v>Horse Farms</v>
      </c>
      <c r="K190" s="199">
        <f t="shared" si="73"/>
        <v>0</v>
      </c>
      <c r="L190" s="199">
        <f t="shared" si="73"/>
        <v>1.2059657221085531E-4</v>
      </c>
      <c r="M190" s="199">
        <f t="shared" si="73"/>
        <v>3.5174119332811782E-2</v>
      </c>
      <c r="N190" s="199">
        <f t="shared" si="73"/>
        <v>9.9893851830467992E-2</v>
      </c>
      <c r="O190" s="199">
        <f t="shared" si="73"/>
        <v>0</v>
      </c>
      <c r="P190" s="199">
        <f t="shared" si="71"/>
        <v>0.13518856773549062</v>
      </c>
      <c r="R190" s="199">
        <f t="shared" si="66"/>
        <v>0</v>
      </c>
      <c r="S190" s="199">
        <f t="shared" si="67"/>
        <v>1.5779595553631644E-5</v>
      </c>
      <c r="T190" s="199">
        <f t="shared" si="68"/>
        <v>4.6011083716455611E-3</v>
      </c>
      <c r="U190" s="199">
        <f t="shared" si="69"/>
        <v>1.307072457601165E-2</v>
      </c>
      <c r="V190" s="199">
        <f t="shared" si="70"/>
        <v>0</v>
      </c>
      <c r="W190" s="199">
        <f t="shared" si="72"/>
        <v>1.7687612543210843E-2</v>
      </c>
    </row>
    <row r="191" spans="1:23">
      <c r="A191" s="777">
        <v>14</v>
      </c>
      <c r="B191" t="str">
        <f t="shared" si="64"/>
        <v>Dairies</v>
      </c>
      <c r="K191" s="199">
        <f t="shared" si="73"/>
        <v>0</v>
      </c>
      <c r="L191" s="199">
        <f t="shared" si="73"/>
        <v>4.2773431303148196E-4</v>
      </c>
      <c r="M191" s="199">
        <f t="shared" si="73"/>
        <v>0</v>
      </c>
      <c r="N191" s="199">
        <f t="shared" si="73"/>
        <v>2.9335426266977205E-2</v>
      </c>
      <c r="O191" s="199">
        <f t="shared" si="73"/>
        <v>0</v>
      </c>
      <c r="P191" s="199">
        <f t="shared" si="71"/>
        <v>2.9763160580008687E-2</v>
      </c>
      <c r="R191" s="199">
        <f t="shared" si="66"/>
        <v>0</v>
      </c>
      <c r="S191" s="199">
        <f t="shared" si="67"/>
        <v>1.6153047575736735E-4</v>
      </c>
      <c r="T191" s="199">
        <f t="shared" si="68"/>
        <v>0</v>
      </c>
      <c r="U191" s="199">
        <f t="shared" si="69"/>
        <v>1.1078291399785903E-2</v>
      </c>
      <c r="V191" s="199">
        <f t="shared" si="70"/>
        <v>0</v>
      </c>
      <c r="W191" s="199">
        <f t="shared" si="72"/>
        <v>1.123982187554327E-2</v>
      </c>
    </row>
    <row r="192" spans="1:23">
      <c r="A192" s="777">
        <v>15</v>
      </c>
      <c r="B192" t="str">
        <f t="shared" si="64"/>
        <v>Other Agriculture</v>
      </c>
      <c r="F192" s="222"/>
      <c r="K192" s="199">
        <f t="shared" si="73"/>
        <v>1.6359489873147299E-2</v>
      </c>
      <c r="L192" s="199">
        <f t="shared" si="73"/>
        <v>1.2106794255821986E-2</v>
      </c>
      <c r="M192" s="199">
        <f t="shared" si="73"/>
        <v>1.30899603779616</v>
      </c>
      <c r="N192" s="199">
        <f t="shared" si="73"/>
        <v>0.33558167752737994</v>
      </c>
      <c r="O192" s="199">
        <f t="shared" si="73"/>
        <v>0.33168311797016742</v>
      </c>
      <c r="P192" s="199">
        <f t="shared" si="71"/>
        <v>2.0047271174226768</v>
      </c>
      <c r="R192" s="199">
        <f t="shared" si="66"/>
        <v>4.7041426317634078E-3</v>
      </c>
      <c r="S192" s="199">
        <f t="shared" si="67"/>
        <v>4.9125400422370498E-3</v>
      </c>
      <c r="T192" s="199">
        <f t="shared" si="68"/>
        <v>0.40317486631871646</v>
      </c>
      <c r="U192" s="199">
        <f t="shared" si="69"/>
        <v>0.12296069256852483</v>
      </c>
      <c r="V192" s="199">
        <f t="shared" si="70"/>
        <v>7.3195749580406769E-2</v>
      </c>
      <c r="W192" s="199">
        <f t="shared" si="72"/>
        <v>0.60894799114164855</v>
      </c>
    </row>
    <row r="193" spans="1:23">
      <c r="A193" s="777">
        <v>16</v>
      </c>
      <c r="B193" t="str">
        <f t="shared" si="64"/>
        <v>Tree Plantations</v>
      </c>
      <c r="F193" s="222"/>
      <c r="K193" s="199">
        <f t="shared" si="73"/>
        <v>0</v>
      </c>
      <c r="L193" s="199">
        <f t="shared" si="73"/>
        <v>0</v>
      </c>
      <c r="M193" s="199">
        <f t="shared" si="73"/>
        <v>1.7397195877356876E-3</v>
      </c>
      <c r="N193" s="199">
        <f t="shared" si="73"/>
        <v>0</v>
      </c>
      <c r="O193" s="199">
        <f t="shared" si="73"/>
        <v>0</v>
      </c>
      <c r="P193" s="199">
        <f t="shared" si="71"/>
        <v>1.7397195877356876E-3</v>
      </c>
      <c r="R193" s="199">
        <f t="shared" si="66"/>
        <v>0</v>
      </c>
      <c r="S193" s="199">
        <f t="shared" si="67"/>
        <v>0</v>
      </c>
      <c r="T193" s="199">
        <f t="shared" si="68"/>
        <v>9.6804744489208472E-5</v>
      </c>
      <c r="U193" s="199">
        <f t="shared" si="69"/>
        <v>0</v>
      </c>
      <c r="V193" s="199">
        <f t="shared" si="70"/>
        <v>0</v>
      </c>
      <c r="W193" s="199">
        <f t="shared" si="72"/>
        <v>9.6804744489208472E-5</v>
      </c>
    </row>
    <row r="194" spans="1:23">
      <c r="A194" s="777">
        <v>17</v>
      </c>
      <c r="B194" t="str">
        <f t="shared" si="64"/>
        <v>Water</v>
      </c>
      <c r="K194" s="199">
        <f t="shared" si="73"/>
        <v>0</v>
      </c>
      <c r="L194" s="199">
        <f t="shared" si="73"/>
        <v>0</v>
      </c>
      <c r="M194" s="199">
        <f t="shared" si="73"/>
        <v>0</v>
      </c>
      <c r="N194" s="199">
        <f t="shared" si="73"/>
        <v>0</v>
      </c>
      <c r="O194" s="199">
        <f t="shared" si="73"/>
        <v>0</v>
      </c>
      <c r="P194" s="199">
        <f t="shared" si="71"/>
        <v>0</v>
      </c>
      <c r="R194" s="199">
        <f t="shared" si="66"/>
        <v>0</v>
      </c>
      <c r="S194" s="199">
        <f t="shared" si="67"/>
        <v>0</v>
      </c>
      <c r="T194" s="199">
        <f t="shared" si="68"/>
        <v>0</v>
      </c>
      <c r="U194" s="199">
        <f t="shared" si="69"/>
        <v>0</v>
      </c>
      <c r="V194" s="199">
        <f t="shared" si="70"/>
        <v>0</v>
      </c>
      <c r="W194" s="199">
        <f t="shared" si="72"/>
        <v>0</v>
      </c>
    </row>
    <row r="195" spans="1:23">
      <c r="A195" s="777">
        <v>18</v>
      </c>
      <c r="B195" t="str">
        <f t="shared" si="64"/>
        <v>Natural Areas</v>
      </c>
      <c r="K195" s="199">
        <f t="shared" si="73"/>
        <v>0</v>
      </c>
      <c r="L195" s="199">
        <f t="shared" si="73"/>
        <v>0</v>
      </c>
      <c r="M195" s="199">
        <f t="shared" si="73"/>
        <v>0</v>
      </c>
      <c r="N195" s="199">
        <f t="shared" si="73"/>
        <v>0</v>
      </c>
      <c r="O195" s="199">
        <f t="shared" si="73"/>
        <v>0</v>
      </c>
      <c r="P195" s="199">
        <f t="shared" si="71"/>
        <v>0</v>
      </c>
      <c r="R195" s="199">
        <f t="shared" si="66"/>
        <v>0</v>
      </c>
      <c r="S195" s="199">
        <f t="shared" si="67"/>
        <v>0</v>
      </c>
      <c r="T195" s="199">
        <f t="shared" si="68"/>
        <v>0</v>
      </c>
      <c r="U195" s="199">
        <f t="shared" si="69"/>
        <v>0</v>
      </c>
      <c r="V195" s="199">
        <f t="shared" si="70"/>
        <v>0</v>
      </c>
      <c r="W195" s="199">
        <f t="shared" si="72"/>
        <v>0</v>
      </c>
    </row>
    <row r="196" spans="1:23">
      <c r="A196" s="777">
        <v>19</v>
      </c>
      <c r="B196" t="str">
        <f t="shared" si="64"/>
        <v>Transportation</v>
      </c>
      <c r="K196" s="199">
        <f t="shared" si="73"/>
        <v>1.9173053350147191E-2</v>
      </c>
      <c r="L196" s="199">
        <f t="shared" si="73"/>
        <v>0.10281930351540172</v>
      </c>
      <c r="M196" s="199">
        <f t="shared" si="73"/>
        <v>2.4293854994630118E-2</v>
      </c>
      <c r="N196" s="199">
        <f t="shared" si="73"/>
        <v>2.2209271932261992E-2</v>
      </c>
      <c r="O196" s="199">
        <f t="shared" si="73"/>
        <v>1.2801020353297131E-2</v>
      </c>
      <c r="P196" s="199">
        <f t="shared" si="71"/>
        <v>0.18129650414573817</v>
      </c>
      <c r="R196" s="199">
        <f t="shared" si="66"/>
        <v>3.9554590809951062E-3</v>
      </c>
      <c r="S196" s="199">
        <f t="shared" si="67"/>
        <v>2.1211934289457637E-2</v>
      </c>
      <c r="T196" s="199">
        <f t="shared" si="68"/>
        <v>5.01049203760787E-3</v>
      </c>
      <c r="U196" s="199">
        <f t="shared" si="69"/>
        <v>4.5818401869768439E-3</v>
      </c>
      <c r="V196" s="199">
        <f t="shared" si="70"/>
        <v>1.9824713712026953E-3</v>
      </c>
      <c r="W196" s="199">
        <f t="shared" si="72"/>
        <v>3.6742196966240148E-2</v>
      </c>
    </row>
    <row r="197" spans="1:23">
      <c r="A197" s="777">
        <v>20</v>
      </c>
      <c r="B197" t="str">
        <f t="shared" si="64"/>
        <v>Communication, Utilities</v>
      </c>
      <c r="K197" s="199">
        <f t="shared" si="73"/>
        <v>2.7629173285123564E-3</v>
      </c>
      <c r="L197" s="199">
        <f t="shared" si="73"/>
        <v>4.4619400642496665E-3</v>
      </c>
      <c r="M197" s="199">
        <f t="shared" si="73"/>
        <v>1.0442840177287108E-3</v>
      </c>
      <c r="N197" s="199">
        <f t="shared" si="73"/>
        <v>1.8817807221516102E-3</v>
      </c>
      <c r="O197" s="199">
        <f t="shared" si="73"/>
        <v>7.372389498241362E-4</v>
      </c>
      <c r="P197" s="199">
        <f t="shared" si="71"/>
        <v>1.088816108246648E-2</v>
      </c>
      <c r="R197" s="199">
        <f t="shared" si="66"/>
        <v>2.5425375508562664E-4</v>
      </c>
      <c r="S197" s="199">
        <f t="shared" si="67"/>
        <v>4.1060403964866815E-4</v>
      </c>
      <c r="T197" s="199">
        <f t="shared" si="68"/>
        <v>9.6071913961750285E-5</v>
      </c>
      <c r="U197" s="199">
        <f t="shared" si="69"/>
        <v>1.731683427214241E-4</v>
      </c>
      <c r="V197" s="199">
        <f t="shared" si="70"/>
        <v>5.0928921363332286E-5</v>
      </c>
      <c r="W197" s="199">
        <f t="shared" si="72"/>
        <v>9.850269727808014E-4</v>
      </c>
    </row>
    <row r="198" spans="1:23">
      <c r="A198" s="585" t="s">
        <v>701</v>
      </c>
      <c r="B198" s="38" t="s">
        <v>715</v>
      </c>
      <c r="K198" s="208">
        <f>SUM(K178:K181,K196:K197)</f>
        <v>1.0519967061133055</v>
      </c>
      <c r="L198" s="208">
        <f t="shared" ref="L198:O198" si="74">SUM(L178:L181,L196:L197)</f>
        <v>1.0999883827316062</v>
      </c>
      <c r="M198" s="208">
        <f t="shared" si="74"/>
        <v>0.49829994309550252</v>
      </c>
      <c r="N198" s="208">
        <f t="shared" si="74"/>
        <v>7.2695242915830266E-2</v>
      </c>
      <c r="O198" s="208">
        <f t="shared" si="74"/>
        <v>7.7560152371112606E-2</v>
      </c>
      <c r="P198" s="208">
        <f t="shared" si="71"/>
        <v>2.8005404272273569</v>
      </c>
      <c r="R198" s="208">
        <f>SUM(R178:R181,R196:R197)</f>
        <v>4.0991187527801856E-2</v>
      </c>
      <c r="S198" s="208">
        <f t="shared" ref="S198:V198" si="75">SUM(S178:S181,S196:S197)</f>
        <v>6.1333033375319188E-2</v>
      </c>
      <c r="T198" s="208">
        <f t="shared" si="75"/>
        <v>2.242712471277979E-2</v>
      </c>
      <c r="U198" s="208">
        <f t="shared" si="75"/>
        <v>6.488030420758021E-3</v>
      </c>
      <c r="V198" s="208">
        <f t="shared" si="75"/>
        <v>4.1477918083191569E-3</v>
      </c>
      <c r="W198" s="208">
        <f t="shared" si="72"/>
        <v>0.13538716784497801</v>
      </c>
    </row>
    <row r="199" spans="1:23">
      <c r="A199" s="585" t="s">
        <v>702</v>
      </c>
      <c r="B199" s="38" t="s">
        <v>716</v>
      </c>
      <c r="K199" s="208">
        <f>SUM(K182:K193)</f>
        <v>4.8033106279761525E-2</v>
      </c>
      <c r="L199" s="208">
        <f t="shared" ref="L199:O199" si="76">SUM(L182:L193)</f>
        <v>7.8266995844930826E-2</v>
      </c>
      <c r="M199" s="208">
        <f t="shared" si="76"/>
        <v>62.368586088335846</v>
      </c>
      <c r="N199" s="208">
        <f t="shared" si="76"/>
        <v>41.770236986949534</v>
      </c>
      <c r="O199" s="208">
        <f t="shared" si="76"/>
        <v>22.98425930209077</v>
      </c>
      <c r="P199" s="208">
        <f t="shared" si="71"/>
        <v>127.24938247950084</v>
      </c>
      <c r="R199" s="208">
        <f>SUM(R182:R193)</f>
        <v>1.0488984050901415E-2</v>
      </c>
      <c r="S199" s="208">
        <f t="shared" ref="S199:V199" si="77">SUM(S182:S193)</f>
        <v>2.0085913522153664E-2</v>
      </c>
      <c r="T199" s="208">
        <f t="shared" si="77"/>
        <v>10.213638912054252</v>
      </c>
      <c r="U199" s="208">
        <f t="shared" si="77"/>
        <v>4.9030649383259668</v>
      </c>
      <c r="V199" s="208">
        <f t="shared" si="77"/>
        <v>1.1050127462006942</v>
      </c>
      <c r="W199" s="208">
        <f t="shared" si="72"/>
        <v>16.252291494153969</v>
      </c>
    </row>
    <row r="200" spans="1:23">
      <c r="B200" s="209" t="s">
        <v>717</v>
      </c>
      <c r="D200" s="206">
        <f>D$171</f>
        <v>222351.6538822767</v>
      </c>
      <c r="E200" s="206">
        <f t="shared" ref="E200:H200" si="78">E$171</f>
        <v>436972.92238569196</v>
      </c>
      <c r="F200" s="206">
        <f t="shared" si="78"/>
        <v>592883.25223140384</v>
      </c>
      <c r="G200" s="206">
        <f t="shared" si="78"/>
        <v>304048.44256774255</v>
      </c>
      <c r="H200" s="206">
        <f t="shared" si="78"/>
        <v>63034.099834710752</v>
      </c>
      <c r="I200" s="545">
        <f>SUM(D200:H200)</f>
        <v>1619290.3709018258</v>
      </c>
      <c r="K200" s="547">
        <f>SUM(K178:K197)</f>
        <v>1.1000298123930674</v>
      </c>
      <c r="L200" s="547">
        <f t="shared" ref="L200:O200" si="79">SUM(L178:L197)</f>
        <v>1.1782553785765373</v>
      </c>
      <c r="M200" s="547">
        <f t="shared" si="79"/>
        <v>62.866886031431349</v>
      </c>
      <c r="N200" s="547">
        <f t="shared" si="79"/>
        <v>41.842932229865362</v>
      </c>
      <c r="O200" s="547">
        <f t="shared" si="79"/>
        <v>23.061819454461883</v>
      </c>
      <c r="P200" s="208">
        <f t="shared" si="71"/>
        <v>130.04992290672823</v>
      </c>
      <c r="R200" s="547">
        <f>SUM(R178:R197)</f>
        <v>5.1480171578703271E-2</v>
      </c>
      <c r="S200" s="547">
        <f t="shared" ref="S200:V200" si="80">SUM(S178:S197)</f>
        <v>8.1418946897472852E-2</v>
      </c>
      <c r="T200" s="547">
        <f t="shared" si="80"/>
        <v>10.236066036767031</v>
      </c>
      <c r="U200" s="547">
        <f t="shared" si="80"/>
        <v>4.9095529687467252</v>
      </c>
      <c r="V200" s="547">
        <f t="shared" si="80"/>
        <v>1.1091605380090133</v>
      </c>
      <c r="W200" s="208">
        <f t="shared" si="72"/>
        <v>16.387678661998947</v>
      </c>
    </row>
    <row r="203" spans="1:23">
      <c r="A203" s="353" t="s">
        <v>723</v>
      </c>
      <c r="B203" s="229"/>
      <c r="C203" s="230"/>
      <c r="D203" s="231"/>
      <c r="E203" s="231"/>
      <c r="F203" s="231"/>
      <c r="G203" s="231"/>
      <c r="H203" s="231"/>
      <c r="I203" s="231"/>
      <c r="J203" s="230"/>
      <c r="K203" s="232"/>
      <c r="L203" s="232"/>
      <c r="M203" s="232"/>
      <c r="N203" s="232"/>
      <c r="O203" s="232"/>
      <c r="P203" s="232"/>
      <c r="Q203" s="230"/>
      <c r="R203" s="230"/>
      <c r="S203" s="354"/>
      <c r="T203" s="354"/>
      <c r="U203" s="354"/>
      <c r="V203" s="354"/>
      <c r="W203" s="594" t="s">
        <v>746</v>
      </c>
    </row>
    <row r="205" spans="1:23">
      <c r="D205" s="1440" t="s">
        <v>488</v>
      </c>
      <c r="E205" s="1440"/>
      <c r="F205" s="1440"/>
      <c r="G205" s="1440"/>
      <c r="H205" s="1440"/>
      <c r="I205" s="1440"/>
      <c r="K205" s="1441" t="s">
        <v>671</v>
      </c>
      <c r="L205" s="1441"/>
      <c r="M205" s="1441"/>
      <c r="N205" s="1441"/>
      <c r="O205" s="1441"/>
      <c r="P205" s="1441"/>
      <c r="R205" s="1442" t="s">
        <v>670</v>
      </c>
      <c r="S205" s="1442"/>
      <c r="T205" s="1442"/>
      <c r="U205" s="1442"/>
      <c r="V205" s="1442"/>
      <c r="W205" s="1442"/>
    </row>
    <row r="206" spans="1:23">
      <c r="D206" s="363" t="str">
        <f t="shared" ref="D206:I206" si="81">VLOOKUP(D$24,subwatgeog,2,FALSE)</f>
        <v>Coastal</v>
      </c>
      <c r="E206" s="363" t="str">
        <f t="shared" si="81"/>
        <v>Tidal Cal.</v>
      </c>
      <c r="F206" s="363" t="str">
        <f t="shared" si="81"/>
        <v>West Cal.</v>
      </c>
      <c r="G206" s="363" t="str">
        <f t="shared" si="81"/>
        <v>East Cal.</v>
      </c>
      <c r="H206" s="363" t="str">
        <f t="shared" si="81"/>
        <v>S-4</v>
      </c>
      <c r="I206" s="364" t="str">
        <f t="shared" si="81"/>
        <v>Total CRWPP</v>
      </c>
      <c r="K206" s="351" t="str">
        <f t="shared" ref="K206:W206" si="82">VLOOKUP(K$24,subwatgeog,2,FALSE)</f>
        <v>Coastal</v>
      </c>
      <c r="L206" s="351" t="str">
        <f t="shared" si="82"/>
        <v>Tidal Cal.</v>
      </c>
      <c r="M206" s="351" t="str">
        <f t="shared" si="82"/>
        <v>West Cal.</v>
      </c>
      <c r="N206" s="351" t="str">
        <f t="shared" si="82"/>
        <v>East Cal.</v>
      </c>
      <c r="O206" s="351" t="str">
        <f t="shared" si="82"/>
        <v>S-4</v>
      </c>
      <c r="P206" s="355" t="str">
        <f t="shared" si="82"/>
        <v>Total CRWPP</v>
      </c>
      <c r="R206" s="352" t="str">
        <f t="shared" si="82"/>
        <v>Coastal</v>
      </c>
      <c r="S206" s="352" t="str">
        <f t="shared" si="82"/>
        <v>Tidal Cal.</v>
      </c>
      <c r="T206" s="352" t="str">
        <f t="shared" si="82"/>
        <v>West Cal.</v>
      </c>
      <c r="U206" s="352" t="str">
        <f t="shared" si="82"/>
        <v>East Cal.</v>
      </c>
      <c r="V206" s="352" t="str">
        <f t="shared" si="82"/>
        <v>S-4</v>
      </c>
      <c r="W206" s="356" t="str">
        <f t="shared" si="82"/>
        <v>Total CRWPP</v>
      </c>
    </row>
    <row r="207" spans="1:23">
      <c r="B207" t="s">
        <v>720</v>
      </c>
      <c r="D207" s="241">
        <f>D$137</f>
        <v>222351.6538822767</v>
      </c>
      <c r="E207" s="241">
        <f t="shared" ref="E207:H207" si="83">E$137</f>
        <v>436972.92238569196</v>
      </c>
      <c r="F207" s="241">
        <f t="shared" si="83"/>
        <v>592883.25223140384</v>
      </c>
      <c r="G207" s="241">
        <f t="shared" si="83"/>
        <v>304048.44256774255</v>
      </c>
      <c r="H207" s="241">
        <f t="shared" si="83"/>
        <v>63034.099834710752</v>
      </c>
      <c r="I207" s="593">
        <f>SUM(D207:H207)</f>
        <v>1619290.3709018258</v>
      </c>
      <c r="J207" s="210"/>
      <c r="K207" s="210">
        <f>K$137</f>
        <v>282.43225947662467</v>
      </c>
      <c r="L207" s="210">
        <f t="shared" ref="L207:O207" si="84">L$137</f>
        <v>629.5347888603726</v>
      </c>
      <c r="M207" s="210">
        <f t="shared" si="84"/>
        <v>957.86749900000109</v>
      </c>
      <c r="N207" s="210">
        <f t="shared" si="84"/>
        <v>508.66752665601132</v>
      </c>
      <c r="O207" s="210">
        <f t="shared" si="84"/>
        <v>157.62772899999999</v>
      </c>
      <c r="P207" s="210">
        <f t="shared" ref="P207:P217" si="85">SUM(K207:O207)</f>
        <v>2536.1298029930094</v>
      </c>
      <c r="Q207" s="210"/>
      <c r="R207" s="210">
        <f>R$137</f>
        <v>29.651060564799756</v>
      </c>
      <c r="S207" s="210">
        <f t="shared" ref="S207:V207" si="86">S$137</f>
        <v>93.663108536234503</v>
      </c>
      <c r="T207" s="210">
        <f t="shared" si="86"/>
        <v>108.05345510000004</v>
      </c>
      <c r="U207" s="210">
        <f t="shared" si="86"/>
        <v>49.563984774778426</v>
      </c>
      <c r="V207" s="210">
        <f t="shared" si="86"/>
        <v>9.7744972000000026</v>
      </c>
      <c r="W207" s="210">
        <f t="shared" ref="W207:W217" si="87">SUM(R207:V207)</f>
        <v>290.70610617581269</v>
      </c>
    </row>
    <row r="208" spans="1:23">
      <c r="B208" s="61" t="s">
        <v>703</v>
      </c>
      <c r="D208" s="550"/>
      <c r="E208" s="550"/>
      <c r="F208" s="550"/>
      <c r="G208" s="550"/>
      <c r="H208" s="550"/>
      <c r="I208" s="550"/>
      <c r="J208" s="210"/>
      <c r="K208" s="210">
        <f>K$169</f>
        <v>1.4090805417469501</v>
      </c>
      <c r="L208" s="210">
        <f t="shared" ref="L208:O208" si="88">L$169</f>
        <v>3.5520306907674288</v>
      </c>
      <c r="M208" s="210">
        <f t="shared" si="88"/>
        <v>0.68722599709359666</v>
      </c>
      <c r="N208" s="210">
        <f t="shared" si="88"/>
        <v>0.139830024375175</v>
      </c>
      <c r="O208" s="210">
        <f t="shared" si="88"/>
        <v>0.18498877214224169</v>
      </c>
      <c r="P208" s="210">
        <f t="shared" si="85"/>
        <v>5.973156026125392</v>
      </c>
      <c r="Q208" s="210"/>
      <c r="R208" s="210">
        <f>R$169</f>
        <v>5.304287781017971E-2</v>
      </c>
      <c r="S208" s="210">
        <f t="shared" ref="S208:V208" si="89">S$169</f>
        <v>0.14578308945789867</v>
      </c>
      <c r="T208" s="210">
        <f t="shared" si="89"/>
        <v>2.6282822141194095E-2</v>
      </c>
      <c r="U208" s="210">
        <f t="shared" si="89"/>
        <v>6.4266818159069115E-3</v>
      </c>
      <c r="V208" s="210">
        <f t="shared" si="89"/>
        <v>6.3961058157934632E-3</v>
      </c>
      <c r="W208" s="210">
        <f t="shared" si="87"/>
        <v>0.23793157704097287</v>
      </c>
    </row>
    <row r="209" spans="1:23">
      <c r="B209" s="61" t="s">
        <v>704</v>
      </c>
      <c r="D209" s="550"/>
      <c r="E209" s="550"/>
      <c r="F209" s="550"/>
      <c r="G209" s="550"/>
      <c r="H209" s="550"/>
      <c r="I209" s="550"/>
      <c r="J209" s="210"/>
      <c r="K209" s="210">
        <f>K$170</f>
        <v>4.4712222807910304E-2</v>
      </c>
      <c r="L209" s="210">
        <f t="shared" ref="L209:O209" si="90">L$170</f>
        <v>9.3342874653708163E-2</v>
      </c>
      <c r="M209" s="210">
        <f t="shared" si="90"/>
        <v>56.584361247586187</v>
      </c>
      <c r="N209" s="210">
        <f t="shared" si="90"/>
        <v>30.620520808544686</v>
      </c>
      <c r="O209" s="210">
        <f t="shared" si="90"/>
        <v>10.465759352070387</v>
      </c>
      <c r="P209" s="210">
        <f t="shared" si="85"/>
        <v>97.80869650566288</v>
      </c>
      <c r="Q209" s="210"/>
      <c r="R209" s="210">
        <f>R$170</f>
        <v>7.1438108687707155E-3</v>
      </c>
      <c r="S209" s="210">
        <f t="shared" ref="S209:V209" si="91">S$170</f>
        <v>1.3054630887438952E-2</v>
      </c>
      <c r="T209" s="210">
        <f t="shared" si="91"/>
        <v>6.7040039696238578</v>
      </c>
      <c r="U209" s="210">
        <f t="shared" si="91"/>
        <v>2.7676399921421995</v>
      </c>
      <c r="V209" s="210">
        <f t="shared" si="91"/>
        <v>0.50285064307088267</v>
      </c>
      <c r="W209" s="210">
        <f t="shared" si="87"/>
        <v>9.9946930465931487</v>
      </c>
    </row>
    <row r="210" spans="1:23">
      <c r="B210" s="61" t="s">
        <v>765</v>
      </c>
      <c r="D210" s="211"/>
      <c r="E210" s="211"/>
      <c r="F210" s="211"/>
      <c r="G210" s="211"/>
      <c r="H210" s="211"/>
      <c r="I210" s="211"/>
      <c r="J210" s="210"/>
      <c r="K210" s="210">
        <f>K$198</f>
        <v>1.0519967061133055</v>
      </c>
      <c r="L210" s="210">
        <f t="shared" ref="L210:O210" si="92">L$198</f>
        <v>1.0999883827316062</v>
      </c>
      <c r="M210" s="210">
        <f t="shared" si="92"/>
        <v>0.49829994309550252</v>
      </c>
      <c r="N210" s="210">
        <f t="shared" si="92"/>
        <v>7.2695242915830266E-2</v>
      </c>
      <c r="O210" s="210">
        <f t="shared" si="92"/>
        <v>7.7560152371112606E-2</v>
      </c>
      <c r="P210" s="210">
        <f t="shared" si="85"/>
        <v>2.8005404272273569</v>
      </c>
      <c r="Q210" s="210"/>
      <c r="R210" s="210">
        <f>R$198</f>
        <v>4.0991187527801856E-2</v>
      </c>
      <c r="S210" s="210">
        <f t="shared" ref="S210:V210" si="93">S$198</f>
        <v>6.1333033375319188E-2</v>
      </c>
      <c r="T210" s="210">
        <f t="shared" si="93"/>
        <v>2.242712471277979E-2</v>
      </c>
      <c r="U210" s="210">
        <f t="shared" si="93"/>
        <v>6.488030420758021E-3</v>
      </c>
      <c r="V210" s="210">
        <f t="shared" si="93"/>
        <v>4.1477918083191569E-3</v>
      </c>
      <c r="W210" s="210">
        <f t="shared" si="87"/>
        <v>0.13538716784497801</v>
      </c>
    </row>
    <row r="211" spans="1:23">
      <c r="B211" s="61" t="s">
        <v>708</v>
      </c>
      <c r="D211" s="211"/>
      <c r="E211" s="211"/>
      <c r="F211" s="211"/>
      <c r="G211" s="211"/>
      <c r="H211" s="211"/>
      <c r="I211" s="211"/>
      <c r="J211" s="210"/>
      <c r="K211" s="210">
        <f>K$199</f>
        <v>4.8033106279761525E-2</v>
      </c>
      <c r="L211" s="210">
        <f t="shared" ref="L211:O211" si="94">L$199</f>
        <v>7.8266995844930826E-2</v>
      </c>
      <c r="M211" s="210">
        <f t="shared" si="94"/>
        <v>62.368586088335846</v>
      </c>
      <c r="N211" s="210">
        <f t="shared" si="94"/>
        <v>41.770236986949534</v>
      </c>
      <c r="O211" s="210">
        <f t="shared" si="94"/>
        <v>22.98425930209077</v>
      </c>
      <c r="P211" s="210">
        <f t="shared" si="85"/>
        <v>127.24938247950084</v>
      </c>
      <c r="Q211" s="210"/>
      <c r="R211" s="210">
        <f>R$199</f>
        <v>1.0488984050901415E-2</v>
      </c>
      <c r="S211" s="210">
        <f t="shared" ref="S211:V211" si="95">S$199</f>
        <v>2.0085913522153664E-2</v>
      </c>
      <c r="T211" s="210">
        <f t="shared" si="95"/>
        <v>10.213638912054252</v>
      </c>
      <c r="U211" s="210">
        <f t="shared" si="95"/>
        <v>4.9030649383259668</v>
      </c>
      <c r="V211" s="210">
        <f t="shared" si="95"/>
        <v>1.1050127462006942</v>
      </c>
      <c r="W211" s="210">
        <f t="shared" si="87"/>
        <v>16.252291494153969</v>
      </c>
    </row>
    <row r="212" spans="1:23">
      <c r="B212" s="59" t="s">
        <v>726</v>
      </c>
      <c r="D212" s="550"/>
      <c r="E212" s="550"/>
      <c r="F212" s="550"/>
      <c r="G212" s="550"/>
      <c r="H212" s="550"/>
      <c r="I212" s="550"/>
      <c r="J212" s="210"/>
      <c r="K212" s="210">
        <f>K$171</f>
        <v>1.4537927645548607</v>
      </c>
      <c r="L212" s="210">
        <f t="shared" ref="L212:V212" si="96">L$171</f>
        <v>3.6453735654211368</v>
      </c>
      <c r="M212" s="210">
        <f t="shared" si="96"/>
        <v>57.271587244679786</v>
      </c>
      <c r="N212" s="210">
        <f t="shared" si="96"/>
        <v>30.760350832919862</v>
      </c>
      <c r="O212" s="210">
        <f t="shared" si="96"/>
        <v>10.65074812421263</v>
      </c>
      <c r="P212" s="210">
        <f t="shared" si="85"/>
        <v>103.78185253178826</v>
      </c>
      <c r="Q212" s="210"/>
      <c r="R212" s="210">
        <f t="shared" si="96"/>
        <v>6.0186688678950426E-2</v>
      </c>
      <c r="S212" s="210">
        <f t="shared" si="96"/>
        <v>0.15883772034533761</v>
      </c>
      <c r="T212" s="210">
        <f t="shared" si="96"/>
        <v>6.7302867917650522</v>
      </c>
      <c r="U212" s="210">
        <f t="shared" si="96"/>
        <v>2.774066673958107</v>
      </c>
      <c r="V212" s="210">
        <f t="shared" si="96"/>
        <v>0.5092467488866762</v>
      </c>
      <c r="W212" s="210">
        <f t="shared" si="87"/>
        <v>10.232624623634123</v>
      </c>
    </row>
    <row r="213" spans="1:23">
      <c r="B213" s="59" t="s">
        <v>727</v>
      </c>
      <c r="D213" s="211"/>
      <c r="E213" s="211"/>
      <c r="F213" s="211"/>
      <c r="G213" s="211"/>
      <c r="H213" s="211"/>
      <c r="I213" s="211"/>
      <c r="J213" s="210"/>
      <c r="K213" s="210">
        <f>K$200</f>
        <v>1.1000298123930674</v>
      </c>
      <c r="L213" s="210">
        <f t="shared" ref="L213:V213" si="97">L$200</f>
        <v>1.1782553785765373</v>
      </c>
      <c r="M213" s="210">
        <f t="shared" si="97"/>
        <v>62.866886031431349</v>
      </c>
      <c r="N213" s="210">
        <f t="shared" si="97"/>
        <v>41.842932229865362</v>
      </c>
      <c r="O213" s="210">
        <f t="shared" si="97"/>
        <v>23.061819454461883</v>
      </c>
      <c r="P213" s="210">
        <f t="shared" si="85"/>
        <v>130.04992290672823</v>
      </c>
      <c r="Q213" s="210"/>
      <c r="R213" s="210">
        <f t="shared" si="97"/>
        <v>5.1480171578703271E-2</v>
      </c>
      <c r="S213" s="210">
        <f t="shared" si="97"/>
        <v>8.1418946897472852E-2</v>
      </c>
      <c r="T213" s="210">
        <f t="shared" si="97"/>
        <v>10.236066036767031</v>
      </c>
      <c r="U213" s="210">
        <f t="shared" si="97"/>
        <v>4.9095529687467252</v>
      </c>
      <c r="V213" s="210">
        <f t="shared" si="97"/>
        <v>1.1091605380090133</v>
      </c>
      <c r="W213" s="210">
        <f t="shared" si="87"/>
        <v>16.387678661998947</v>
      </c>
    </row>
    <row r="214" spans="1:23">
      <c r="B214" s="61" t="s">
        <v>945</v>
      </c>
      <c r="D214" s="211"/>
      <c r="E214" s="211"/>
      <c r="F214" s="211"/>
      <c r="G214" s="211"/>
      <c r="H214" s="211"/>
      <c r="I214" s="211"/>
      <c r="J214" s="210"/>
      <c r="K214" s="210">
        <f>K208+K210</f>
        <v>2.4610772478602554</v>
      </c>
      <c r="L214" s="210">
        <f t="shared" ref="L214:O214" si="98">L208+L210</f>
        <v>4.6520190734990354</v>
      </c>
      <c r="M214" s="210">
        <f t="shared" si="98"/>
        <v>1.1855259401890992</v>
      </c>
      <c r="N214" s="210">
        <f t="shared" si="98"/>
        <v>0.21252526729100527</v>
      </c>
      <c r="O214" s="210">
        <f t="shared" si="98"/>
        <v>0.26254892451335432</v>
      </c>
      <c r="P214" s="210">
        <f t="shared" si="85"/>
        <v>8.7736964533527484</v>
      </c>
      <c r="Q214" s="210"/>
      <c r="R214" s="210">
        <f>R208+R210</f>
        <v>9.4034065337981559E-2</v>
      </c>
      <c r="S214" s="210">
        <f t="shared" ref="S214:V214" si="99">S208+S210</f>
        <v>0.20711612283321784</v>
      </c>
      <c r="T214" s="210">
        <f t="shared" si="99"/>
        <v>4.8709946853973882E-2</v>
      </c>
      <c r="U214" s="210">
        <f t="shared" si="99"/>
        <v>1.2914712236664933E-2</v>
      </c>
      <c r="V214" s="210">
        <f t="shared" si="99"/>
        <v>1.0543897624112619E-2</v>
      </c>
      <c r="W214" s="210">
        <f t="shared" si="87"/>
        <v>0.3733187448859509</v>
      </c>
    </row>
    <row r="215" spans="1:23">
      <c r="B215" s="61" t="s">
        <v>946</v>
      </c>
      <c r="D215" s="211"/>
      <c r="E215" s="211"/>
      <c r="F215" s="211"/>
      <c r="G215" s="211"/>
      <c r="H215" s="211"/>
      <c r="I215" s="211"/>
      <c r="J215" s="210"/>
      <c r="K215" s="210">
        <f>K209+K211</f>
        <v>9.2745329087671829E-2</v>
      </c>
      <c r="L215" s="210">
        <f t="shared" ref="L215:O215" si="100">L209+L211</f>
        <v>0.17160987049863899</v>
      </c>
      <c r="M215" s="210">
        <f t="shared" si="100"/>
        <v>118.95294733592203</v>
      </c>
      <c r="N215" s="210">
        <f t="shared" si="100"/>
        <v>72.390757795494224</v>
      </c>
      <c r="O215" s="210">
        <f t="shared" si="100"/>
        <v>33.450018654161155</v>
      </c>
      <c r="P215" s="210">
        <f t="shared" si="85"/>
        <v>225.05807898516372</v>
      </c>
      <c r="Q215" s="210"/>
      <c r="R215" s="210">
        <f>R209+R211</f>
        <v>1.763279491967213E-2</v>
      </c>
      <c r="S215" s="210">
        <f t="shared" ref="S215:V215" si="101">S209+S211</f>
        <v>3.3140544409592618E-2</v>
      </c>
      <c r="T215" s="210">
        <f t="shared" si="101"/>
        <v>16.917642881678109</v>
      </c>
      <c r="U215" s="210">
        <f t="shared" si="101"/>
        <v>7.6707049304681663</v>
      </c>
      <c r="V215" s="210">
        <f t="shared" si="101"/>
        <v>1.6078633892715768</v>
      </c>
      <c r="W215" s="210">
        <f t="shared" si="87"/>
        <v>26.246984540747114</v>
      </c>
    </row>
    <row r="216" spans="1:23">
      <c r="B216" t="s">
        <v>667</v>
      </c>
      <c r="D216" s="211"/>
      <c r="E216" s="211"/>
      <c r="F216" s="211"/>
      <c r="G216" s="211"/>
      <c r="H216" s="211"/>
      <c r="I216" s="211"/>
      <c r="J216" s="210"/>
      <c r="K216" s="210">
        <f>K212+K213</f>
        <v>2.5538225769479279</v>
      </c>
      <c r="L216" s="210">
        <f>L212+L213</f>
        <v>4.8236289439976741</v>
      </c>
      <c r="M216" s="210">
        <f>M212+M213</f>
        <v>120.13847327611114</v>
      </c>
      <c r="N216" s="210">
        <f>N212+N213</f>
        <v>72.603283062785223</v>
      </c>
      <c r="O216" s="210">
        <f>O212+O213</f>
        <v>33.712567578674509</v>
      </c>
      <c r="P216" s="210">
        <f t="shared" si="85"/>
        <v>233.83177543851647</v>
      </c>
      <c r="Q216" s="210"/>
      <c r="R216" s="210">
        <f>R212+R213</f>
        <v>0.1116668602576537</v>
      </c>
      <c r="S216" s="210">
        <f>S212+S213</f>
        <v>0.24025666724281047</v>
      </c>
      <c r="T216" s="210">
        <f>T212+T213</f>
        <v>16.966352828532084</v>
      </c>
      <c r="U216" s="210">
        <f>U212+U213</f>
        <v>7.6836196427048318</v>
      </c>
      <c r="V216" s="210">
        <f>V212+V213</f>
        <v>1.6184072868956894</v>
      </c>
      <c r="W216" s="210">
        <f t="shared" si="87"/>
        <v>26.620303285633071</v>
      </c>
    </row>
    <row r="217" spans="1:23">
      <c r="B217" s="38" t="s">
        <v>669</v>
      </c>
      <c r="D217" s="550">
        <f>D$200</f>
        <v>222351.6538822767</v>
      </c>
      <c r="E217" s="550">
        <f t="shared" ref="E217:H217" si="102">E$200</f>
        <v>436972.92238569196</v>
      </c>
      <c r="F217" s="550">
        <f t="shared" si="102"/>
        <v>592883.25223140384</v>
      </c>
      <c r="G217" s="550">
        <f t="shared" si="102"/>
        <v>304048.44256774255</v>
      </c>
      <c r="H217" s="550">
        <f t="shared" si="102"/>
        <v>63034.099834710752</v>
      </c>
      <c r="I217" s="545">
        <f>SUM(D217:H217)</f>
        <v>1619290.3709018258</v>
      </c>
      <c r="J217" s="210"/>
      <c r="K217" s="554">
        <f>K207-K216</f>
        <v>279.87843689967673</v>
      </c>
      <c r="L217" s="554">
        <f>L207-L216</f>
        <v>624.71115991637498</v>
      </c>
      <c r="M217" s="554">
        <f>M207-M216</f>
        <v>837.72902572388989</v>
      </c>
      <c r="N217" s="554">
        <f>N207-N216</f>
        <v>436.06424359322608</v>
      </c>
      <c r="O217" s="554">
        <f>O207-O216</f>
        <v>123.91516142132548</v>
      </c>
      <c r="P217" s="554">
        <f t="shared" si="85"/>
        <v>2302.2980275544933</v>
      </c>
      <c r="Q217" s="210"/>
      <c r="R217" s="554">
        <f>R207-R216</f>
        <v>29.539393704542103</v>
      </c>
      <c r="S217" s="554">
        <f>S207-S216</f>
        <v>93.4228518689917</v>
      </c>
      <c r="T217" s="554">
        <f>T207-T216</f>
        <v>91.087102271467955</v>
      </c>
      <c r="U217" s="554">
        <f>U207-U216</f>
        <v>41.880365132073592</v>
      </c>
      <c r="V217" s="554">
        <f>V207-V216</f>
        <v>8.1560899131043136</v>
      </c>
      <c r="W217" s="554">
        <f t="shared" si="87"/>
        <v>264.08580289017965</v>
      </c>
    </row>
    <row r="218" spans="1:23">
      <c r="B218" s="249" t="s">
        <v>668</v>
      </c>
      <c r="D218" s="211"/>
      <c r="E218" s="211"/>
      <c r="F218" s="211"/>
      <c r="G218" s="211"/>
      <c r="H218" s="211"/>
      <c r="I218" s="211"/>
      <c r="J218" s="210"/>
      <c r="K218" s="555">
        <f t="shared" ref="K218:P218" si="103">K217/D217*mtonacft_mgl</f>
        <v>1.0204607768377447</v>
      </c>
      <c r="L218" s="555">
        <f t="shared" si="103"/>
        <v>1.1590227991403534</v>
      </c>
      <c r="M218" s="555">
        <f t="shared" si="103"/>
        <v>1.1455172184726337</v>
      </c>
      <c r="N218" s="555">
        <f t="shared" si="103"/>
        <v>1.1627194424529279</v>
      </c>
      <c r="O218" s="555">
        <f t="shared" si="103"/>
        <v>1.5937350820952885</v>
      </c>
      <c r="P218" s="555">
        <f t="shared" si="103"/>
        <v>1.1526675020832824</v>
      </c>
      <c r="Q218" s="556"/>
      <c r="R218" s="555">
        <f t="shared" ref="R218:W218" si="104">R217/D217*mtonacft_mgl</f>
        <v>0.10770316206195675</v>
      </c>
      <c r="S218" s="555">
        <f t="shared" si="104"/>
        <v>0.17332684642830429</v>
      </c>
      <c r="T218" s="555">
        <f t="shared" si="104"/>
        <v>0.1245532156923672</v>
      </c>
      <c r="U218" s="555">
        <f t="shared" si="104"/>
        <v>0.11166958885423757</v>
      </c>
      <c r="V218" s="555">
        <f t="shared" si="104"/>
        <v>0.10489956578469842</v>
      </c>
      <c r="W218" s="555">
        <f t="shared" si="104"/>
        <v>0.13221708011295966</v>
      </c>
    </row>
    <row r="221" spans="1:23">
      <c r="A221" s="353" t="s">
        <v>728</v>
      </c>
      <c r="B221" s="229"/>
      <c r="C221" s="230"/>
      <c r="D221" s="231"/>
      <c r="E221" s="231"/>
      <c r="F221" s="231"/>
      <c r="G221" s="231"/>
      <c r="H221" s="231"/>
      <c r="I221" s="231"/>
      <c r="J221" s="230"/>
      <c r="K221" s="232"/>
      <c r="L221" s="232"/>
      <c r="M221" s="232"/>
      <c r="N221" s="232"/>
      <c r="O221" s="232"/>
      <c r="P221" s="232"/>
      <c r="Q221" s="230"/>
      <c r="R221" s="230"/>
      <c r="S221" s="354"/>
      <c r="T221" s="354"/>
      <c r="U221" s="354"/>
      <c r="V221" s="354"/>
      <c r="W221" s="594" t="s">
        <v>747</v>
      </c>
    </row>
    <row r="223" spans="1:23">
      <c r="D223" s="1440" t="s">
        <v>488</v>
      </c>
      <c r="E223" s="1440"/>
      <c r="F223" s="1440"/>
      <c r="G223" s="1440"/>
      <c r="H223" s="1440"/>
      <c r="I223" s="1440"/>
      <c r="K223" s="1441" t="s">
        <v>1122</v>
      </c>
      <c r="L223" s="1441"/>
      <c r="M223" s="1441"/>
      <c r="N223" s="1441"/>
      <c r="O223" s="1441"/>
      <c r="P223" s="1441"/>
      <c r="R223" s="1442" t="s">
        <v>1124</v>
      </c>
      <c r="S223" s="1442"/>
      <c r="T223" s="1442"/>
      <c r="U223" s="1442"/>
      <c r="V223" s="1442"/>
      <c r="W223" s="1442"/>
    </row>
    <row r="224" spans="1:23">
      <c r="D224" s="363" t="str">
        <f t="shared" ref="D224:I224" si="105">VLOOKUP(D$24,subwatgeog,2,FALSE)</f>
        <v>Coastal</v>
      </c>
      <c r="E224" s="363" t="str">
        <f t="shared" si="105"/>
        <v>Tidal Cal.</v>
      </c>
      <c r="F224" s="363" t="str">
        <f t="shared" si="105"/>
        <v>West Cal.</v>
      </c>
      <c r="G224" s="363" t="str">
        <f t="shared" si="105"/>
        <v>East Cal.</v>
      </c>
      <c r="H224" s="363" t="str">
        <f t="shared" si="105"/>
        <v>S-4</v>
      </c>
      <c r="I224" s="364" t="str">
        <f t="shared" si="105"/>
        <v>Total CRWPP</v>
      </c>
      <c r="K224" s="351" t="str">
        <f t="shared" ref="K224:W224" si="106">VLOOKUP(K$24,subwatgeog,2,FALSE)</f>
        <v>Coastal</v>
      </c>
      <c r="L224" s="351" t="str">
        <f t="shared" si="106"/>
        <v>Tidal Cal.</v>
      </c>
      <c r="M224" s="351" t="str">
        <f t="shared" si="106"/>
        <v>West Cal.</v>
      </c>
      <c r="N224" s="351" t="str">
        <f t="shared" si="106"/>
        <v>East Cal.</v>
      </c>
      <c r="O224" s="351" t="str">
        <f t="shared" si="106"/>
        <v>S-4</v>
      </c>
      <c r="P224" s="355" t="str">
        <f t="shared" si="106"/>
        <v>Total CRWPP</v>
      </c>
      <c r="R224" s="352" t="str">
        <f t="shared" si="106"/>
        <v>Coastal</v>
      </c>
      <c r="S224" s="352" t="str">
        <f t="shared" si="106"/>
        <v>Tidal Cal.</v>
      </c>
      <c r="T224" s="352" t="str">
        <f t="shared" si="106"/>
        <v>West Cal.</v>
      </c>
      <c r="U224" s="352" t="str">
        <f t="shared" si="106"/>
        <v>East Cal.</v>
      </c>
      <c r="V224" s="352" t="str">
        <f t="shared" si="106"/>
        <v>S-4</v>
      </c>
      <c r="W224" s="356" t="str">
        <f t="shared" si="106"/>
        <v>Total CRWPP</v>
      </c>
    </row>
    <row r="225" spans="1:23">
      <c r="B225" t="s">
        <v>720</v>
      </c>
      <c r="D225" s="211">
        <f xml:space="preserve"> D$217</f>
        <v>222351.6538822767</v>
      </c>
      <c r="E225" s="211">
        <f t="shared" ref="E225:H225" si="107" xml:space="preserve"> E$217</f>
        <v>436972.92238569196</v>
      </c>
      <c r="F225" s="211">
        <f t="shared" si="107"/>
        <v>592883.25223140384</v>
      </c>
      <c r="G225" s="211">
        <f t="shared" si="107"/>
        <v>304048.44256774255</v>
      </c>
      <c r="H225" s="211">
        <f t="shared" si="107"/>
        <v>63034.099834710752</v>
      </c>
      <c r="I225" s="592">
        <f>SUM(D225:H225)</f>
        <v>1619290.3709018258</v>
      </c>
      <c r="J225" s="210"/>
      <c r="K225" s="548">
        <f>K$217</f>
        <v>279.87843689967673</v>
      </c>
      <c r="L225" s="548">
        <f t="shared" ref="L225:O225" si="108">L$217</f>
        <v>624.71115991637498</v>
      </c>
      <c r="M225" s="548">
        <f t="shared" si="108"/>
        <v>837.72902572388989</v>
      </c>
      <c r="N225" s="548">
        <f t="shared" si="108"/>
        <v>436.06424359322608</v>
      </c>
      <c r="O225" s="548">
        <f t="shared" si="108"/>
        <v>123.91516142132548</v>
      </c>
      <c r="P225" s="210">
        <f>SUM(K225:O225)</f>
        <v>2302.2980275544933</v>
      </c>
      <c r="Q225" s="210"/>
      <c r="R225" s="548">
        <f>R$217</f>
        <v>29.539393704542103</v>
      </c>
      <c r="S225" s="548">
        <f t="shared" ref="S225:V225" si="109">S$217</f>
        <v>93.4228518689917</v>
      </c>
      <c r="T225" s="548">
        <f t="shared" si="109"/>
        <v>91.087102271467955</v>
      </c>
      <c r="U225" s="548">
        <f t="shared" si="109"/>
        <v>41.880365132073592</v>
      </c>
      <c r="V225" s="548">
        <f t="shared" si="109"/>
        <v>8.1560899131043136</v>
      </c>
      <c r="W225" s="210">
        <f>SUM(R225:V225)</f>
        <v>264.08580289017965</v>
      </c>
    </row>
    <row r="226" spans="1:23">
      <c r="B226" t="s">
        <v>673</v>
      </c>
      <c r="D226" s="549">
        <f>-VLOOKUP(D$25,dispersedsum,2,FALSE)</f>
        <v>0</v>
      </c>
      <c r="E226" s="549">
        <f>-VLOOKUP(E$25,dispersedsum,2,FALSE)</f>
        <v>0</v>
      </c>
      <c r="F226" s="549">
        <f>-VLOOKUP(F$25,dispersedsum,2,FALSE)</f>
        <v>-615</v>
      </c>
      <c r="G226" s="549">
        <f>-VLOOKUP(G$25,dispersedsum,2,FALSE)</f>
        <v>-5010</v>
      </c>
      <c r="H226" s="549">
        <f>-VLOOKUP(H$25,dispersedsum,2,FALSE)</f>
        <v>0</v>
      </c>
      <c r="I226" s="592">
        <f t="shared" ref="I226" si="110">SUM(D226:H226)</f>
        <v>-5625</v>
      </c>
      <c r="J226" s="210"/>
      <c r="K226" s="210">
        <f>VLOOKUP(K$25,dispersedsum,10,FALSE)/1000</f>
        <v>0</v>
      </c>
      <c r="L226" s="210">
        <f>VLOOKUP(L$25,dispersedsum,10,FALSE)/1000</f>
        <v>0</v>
      </c>
      <c r="M226" s="210">
        <f>VLOOKUP(M$25,dispersedsum,10,FALSE)/1000</f>
        <v>1.208993615740509</v>
      </c>
      <c r="N226" s="210">
        <f>VLOOKUP(N$25,dispersedsum,10,FALSE)/1000</f>
        <v>7.162464195935998</v>
      </c>
      <c r="O226" s="210">
        <f>VLOOKUP(O$25,dispersedsum,10,FALSE)/1000</f>
        <v>0</v>
      </c>
      <c r="P226" s="210">
        <f>SUM(K226:O226)</f>
        <v>8.3714578116765068</v>
      </c>
      <c r="Q226" s="210"/>
      <c r="R226" s="210">
        <f>VLOOKUP(R$25,dispersedsum,6,FALSE)/1000</f>
        <v>0</v>
      </c>
      <c r="S226" s="210">
        <f>VLOOKUP(S$25,dispersedsum,6,FALSE)/1000</f>
        <v>0</v>
      </c>
      <c r="T226" s="210">
        <f>VLOOKUP(T$25,dispersedsum,6,FALSE)/1000</f>
        <v>7.9575901134658747E-2</v>
      </c>
      <c r="U226" s="210">
        <f>VLOOKUP(U$25,dispersedsum,6,FALSE)/1000</f>
        <v>1.0711155403137951</v>
      </c>
      <c r="V226" s="210">
        <f>VLOOKUP(V$25,dispersedsum,6,FALSE)/1000</f>
        <v>0</v>
      </c>
      <c r="W226" s="210">
        <f>SUM(R226:V226)</f>
        <v>1.1506914414484539</v>
      </c>
    </row>
    <row r="227" spans="1:23">
      <c r="B227" s="38" t="s">
        <v>669</v>
      </c>
      <c r="D227" s="550">
        <f>D225+D226</f>
        <v>222351.6538822767</v>
      </c>
      <c r="E227" s="550">
        <f t="shared" ref="E227:H227" si="111">E225+E226</f>
        <v>436972.92238569196</v>
      </c>
      <c r="F227" s="550">
        <f t="shared" si="111"/>
        <v>592268.25223140384</v>
      </c>
      <c r="G227" s="550">
        <f t="shared" si="111"/>
        <v>299038.44256774255</v>
      </c>
      <c r="H227" s="550">
        <f t="shared" si="111"/>
        <v>63034.099834710752</v>
      </c>
      <c r="I227" s="591">
        <f>SUM(D227:H227)</f>
        <v>1613665.3709018258</v>
      </c>
      <c r="J227" s="210"/>
      <c r="K227" s="551">
        <f>K225-K226</f>
        <v>279.87843689967673</v>
      </c>
      <c r="L227" s="551">
        <f t="shared" ref="L227:O227" si="112">L225-L226</f>
        <v>624.71115991637498</v>
      </c>
      <c r="M227" s="551">
        <f t="shared" si="112"/>
        <v>836.52003210814939</v>
      </c>
      <c r="N227" s="551">
        <f t="shared" si="112"/>
        <v>428.90177939729006</v>
      </c>
      <c r="O227" s="551">
        <f t="shared" si="112"/>
        <v>123.91516142132548</v>
      </c>
      <c r="P227" s="554">
        <f>SUM(K227:O227)</f>
        <v>2293.9265697428168</v>
      </c>
      <c r="Q227" s="210"/>
      <c r="R227" s="551">
        <f>R225-R226</f>
        <v>29.539393704542103</v>
      </c>
      <c r="S227" s="551">
        <f t="shared" ref="S227:V227" si="113">S225-S226</f>
        <v>93.4228518689917</v>
      </c>
      <c r="T227" s="551">
        <f t="shared" si="113"/>
        <v>91.007526370333295</v>
      </c>
      <c r="U227" s="551">
        <f t="shared" si="113"/>
        <v>40.809249591759794</v>
      </c>
      <c r="V227" s="551">
        <f t="shared" si="113"/>
        <v>8.1560899131043136</v>
      </c>
      <c r="W227" s="554">
        <f>SUM(R227:V227)</f>
        <v>262.93511144873122</v>
      </c>
    </row>
    <row r="228" spans="1:23">
      <c r="B228" s="249" t="s">
        <v>668</v>
      </c>
      <c r="D228" s="559"/>
      <c r="E228" s="559"/>
      <c r="F228" s="559"/>
      <c r="G228" s="559"/>
      <c r="H228" s="559"/>
      <c r="I228" s="559"/>
      <c r="J228" s="560"/>
      <c r="K228" s="555">
        <f t="shared" ref="K228:P228" si="114">K227/D227*mtonacft_mgl</f>
        <v>1.0204607768377447</v>
      </c>
      <c r="L228" s="555">
        <f t="shared" si="114"/>
        <v>1.1590227991403534</v>
      </c>
      <c r="M228" s="555">
        <f t="shared" si="114"/>
        <v>1.1450517976348809</v>
      </c>
      <c r="N228" s="555">
        <f t="shared" si="114"/>
        <v>1.1627813749016025</v>
      </c>
      <c r="O228" s="555">
        <f t="shared" si="114"/>
        <v>1.5937350820952885</v>
      </c>
      <c r="P228" s="555">
        <f t="shared" si="114"/>
        <v>1.1524796709471441</v>
      </c>
      <c r="Q228" s="556"/>
      <c r="R228" s="555">
        <f t="shared" ref="R228:W228" si="115">R227/D227*mtonacft_mgl</f>
        <v>0.10770316206195675</v>
      </c>
      <c r="S228" s="555">
        <f t="shared" si="115"/>
        <v>0.17332684642830429</v>
      </c>
      <c r="T228" s="555">
        <f t="shared" si="115"/>
        <v>0.12457362366569293</v>
      </c>
      <c r="U228" s="555">
        <f t="shared" si="115"/>
        <v>0.11063660173126559</v>
      </c>
      <c r="V228" s="555">
        <f t="shared" si="115"/>
        <v>0.10489956578469842</v>
      </c>
      <c r="W228" s="555">
        <f t="shared" si="115"/>
        <v>0.13209985651670547</v>
      </c>
    </row>
    <row r="231" spans="1:23">
      <c r="A231" s="353" t="s">
        <v>724</v>
      </c>
      <c r="B231" s="229"/>
      <c r="C231" s="230"/>
      <c r="D231" s="231"/>
      <c r="E231" s="231"/>
      <c r="F231" s="231"/>
      <c r="G231" s="231"/>
      <c r="H231" s="231"/>
      <c r="I231" s="231"/>
      <c r="J231" s="230"/>
      <c r="K231" s="232"/>
      <c r="L231" s="232"/>
      <c r="M231" s="232"/>
      <c r="N231" s="232"/>
      <c r="O231" s="232"/>
      <c r="P231" s="232"/>
      <c r="Q231" s="230"/>
      <c r="R231" s="230"/>
      <c r="S231" s="354"/>
      <c r="T231" s="354"/>
      <c r="U231" s="354"/>
      <c r="V231" s="354"/>
      <c r="W231" s="594" t="s">
        <v>748</v>
      </c>
    </row>
    <row r="233" spans="1:23">
      <c r="D233" s="1440" t="s">
        <v>488</v>
      </c>
      <c r="E233" s="1440"/>
      <c r="F233" s="1440"/>
      <c r="G233" s="1440"/>
      <c r="H233" s="1440"/>
      <c r="I233" s="1440"/>
      <c r="K233" s="1441" t="s">
        <v>687</v>
      </c>
      <c r="L233" s="1441"/>
      <c r="M233" s="1441"/>
      <c r="N233" s="1441"/>
      <c r="O233" s="1441"/>
      <c r="P233" s="1441"/>
      <c r="R233" s="1442" t="s">
        <v>711</v>
      </c>
      <c r="S233" s="1442"/>
      <c r="T233" s="1442"/>
      <c r="U233" s="1442"/>
      <c r="V233" s="1442"/>
      <c r="W233" s="1442"/>
    </row>
    <row r="234" spans="1:23">
      <c r="D234" s="363" t="str">
        <f t="shared" ref="D234:I234" si="116">VLOOKUP(D$24,subwatgeog,2,FALSE)</f>
        <v>Coastal</v>
      </c>
      <c r="E234" s="363" t="str">
        <f t="shared" si="116"/>
        <v>Tidal Cal.</v>
      </c>
      <c r="F234" s="363" t="str">
        <f t="shared" si="116"/>
        <v>West Cal.</v>
      </c>
      <c r="G234" s="363" t="str">
        <f t="shared" si="116"/>
        <v>East Cal.</v>
      </c>
      <c r="H234" s="363" t="str">
        <f t="shared" si="116"/>
        <v>S-4</v>
      </c>
      <c r="I234" s="364" t="str">
        <f t="shared" si="116"/>
        <v>Total CRWPP</v>
      </c>
      <c r="K234" s="351" t="str">
        <f t="shared" ref="K234:W234" si="117">VLOOKUP(K$24,subwatgeog,2,FALSE)</f>
        <v>Coastal</v>
      </c>
      <c r="L234" s="351" t="str">
        <f t="shared" si="117"/>
        <v>Tidal Cal.</v>
      </c>
      <c r="M234" s="351" t="str">
        <f t="shared" si="117"/>
        <v>West Cal.</v>
      </c>
      <c r="N234" s="351" t="str">
        <f t="shared" si="117"/>
        <v>East Cal.</v>
      </c>
      <c r="O234" s="351" t="str">
        <f t="shared" si="117"/>
        <v>S-4</v>
      </c>
      <c r="P234" s="355" t="str">
        <f t="shared" si="117"/>
        <v>Total CRWPP</v>
      </c>
      <c r="R234" s="352" t="str">
        <f t="shared" si="117"/>
        <v>Coastal</v>
      </c>
      <c r="S234" s="352" t="str">
        <f t="shared" si="117"/>
        <v>Tidal Cal.</v>
      </c>
      <c r="T234" s="352" t="str">
        <f t="shared" si="117"/>
        <v>West Cal.</v>
      </c>
      <c r="U234" s="352" t="str">
        <f t="shared" si="117"/>
        <v>East Cal.</v>
      </c>
      <c r="V234" s="352" t="str">
        <f t="shared" si="117"/>
        <v>S-4</v>
      </c>
      <c r="W234" s="356" t="str">
        <f t="shared" si="117"/>
        <v>Total CRWPP</v>
      </c>
    </row>
    <row r="235" spans="1:23">
      <c r="B235" t="s">
        <v>720</v>
      </c>
      <c r="D235" s="211">
        <f>D$227</f>
        <v>222351.6538822767</v>
      </c>
      <c r="E235" s="211">
        <f t="shared" ref="E235:H235" si="118">E$227</f>
        <v>436972.92238569196</v>
      </c>
      <c r="F235" s="211">
        <f t="shared" si="118"/>
        <v>592268.25223140384</v>
      </c>
      <c r="G235" s="211">
        <f t="shared" si="118"/>
        <v>299038.44256774255</v>
      </c>
      <c r="H235" s="211">
        <f t="shared" si="118"/>
        <v>63034.099834710752</v>
      </c>
      <c r="I235" s="592">
        <f t="shared" ref="I235:I236" si="119">SUM(D235:H235)</f>
        <v>1613665.3709018258</v>
      </c>
      <c r="J235" s="210"/>
      <c r="K235" s="548">
        <f>K$227</f>
        <v>279.87843689967673</v>
      </c>
      <c r="L235" s="548">
        <f>L$227</f>
        <v>624.71115991637498</v>
      </c>
      <c r="M235" s="548">
        <f>M$227</f>
        <v>836.52003210814939</v>
      </c>
      <c r="N235" s="548">
        <f>N$227</f>
        <v>428.90177939729006</v>
      </c>
      <c r="O235" s="548">
        <f>O$227</f>
        <v>123.91516142132548</v>
      </c>
      <c r="P235" s="548">
        <f t="shared" ref="P235:P237" si="120">SUM(K235:O235)</f>
        <v>2293.9265697428168</v>
      </c>
      <c r="Q235" s="210"/>
      <c r="R235" s="548">
        <f>R$227</f>
        <v>29.539393704542103</v>
      </c>
      <c r="S235" s="548">
        <f t="shared" ref="S235:V235" si="121">S$227</f>
        <v>93.4228518689917</v>
      </c>
      <c r="T235" s="548">
        <f t="shared" si="121"/>
        <v>91.007526370333295</v>
      </c>
      <c r="U235" s="548">
        <f t="shared" si="121"/>
        <v>40.809249591759794</v>
      </c>
      <c r="V235" s="548">
        <f t="shared" si="121"/>
        <v>8.1560899131043136</v>
      </c>
      <c r="W235" s="210">
        <f>SUM(R235:V235)</f>
        <v>262.93511144873122</v>
      </c>
    </row>
    <row r="236" spans="1:23">
      <c r="B236" t="s">
        <v>691</v>
      </c>
      <c r="D236" s="211">
        <f>VLOOKUP("1_L_Flow",mm_sum,D$25+1,FALSE)</f>
        <v>0</v>
      </c>
      <c r="E236" s="211">
        <f>VLOOKUP("1_L_Flow",mm_sum,E$25+1,FALSE)</f>
        <v>0</v>
      </c>
      <c r="F236" s="211">
        <f>VLOOKUP("1_L_Flow",mm_sum,F$25+1,FALSE)</f>
        <v>0</v>
      </c>
      <c r="G236" s="211">
        <f>VLOOKUP("1_L_Flow",mm_sum,G$25+1,FALSE)</f>
        <v>0</v>
      </c>
      <c r="H236" s="211">
        <f>VLOOKUP("1_L_Flow",mm_sum,H$25+1,FALSE)</f>
        <v>0</v>
      </c>
      <c r="I236" s="592">
        <f t="shared" si="119"/>
        <v>0</v>
      </c>
      <c r="J236" s="210"/>
      <c r="K236" s="548">
        <f>VLOOKUP("1_L_TN",mm_sum,K$25+1,FALSE)/lb_mton</f>
        <v>0</v>
      </c>
      <c r="L236" s="548">
        <f>VLOOKUP("1_L_TN",mm_sum,L$25+1,FALSE)/lb_mton</f>
        <v>11.296718721999998</v>
      </c>
      <c r="M236" s="548">
        <f>VLOOKUP("1_L_TN",mm_sum,M$25+1,FALSE)/lb_mton</f>
        <v>0</v>
      </c>
      <c r="N236" s="548">
        <f>VLOOKUP("1_L_TN",mm_sum,N$25+1,FALSE)/lb_mton</f>
        <v>0</v>
      </c>
      <c r="O236" s="548">
        <f>VLOOKUP("1_L_TN",mm_sum,O$25+1,FALSE)/lb_mton</f>
        <v>7.7700378119999998E-3</v>
      </c>
      <c r="P236" s="548">
        <f t="shared" si="120"/>
        <v>11.304488759811997</v>
      </c>
      <c r="Q236" s="210"/>
      <c r="R236" s="548">
        <f>VLOOKUP("1_L_TP",mm_sum,R$25+1,FALSE)/lb_mton</f>
        <v>0</v>
      </c>
      <c r="S236" s="548">
        <f>VLOOKUP("1_L_TP",mm_sum,S$25+1,FALSE)/lb_mton</f>
        <v>2.5558570962799996</v>
      </c>
      <c r="T236" s="548">
        <f>VLOOKUP("1_L_TP",mm_sum,T$25+1,FALSE)/lb_mton</f>
        <v>0</v>
      </c>
      <c r="U236" s="548">
        <f>VLOOKUP("1_L_TP",mm_sum,U$25+1,FALSE)/lb_mton</f>
        <v>0</v>
      </c>
      <c r="V236" s="548">
        <f>VLOOKUP("1_L_TP",mm_sum,V$25+1,FALSE)/lb_mton</f>
        <v>4.467885139999999E-3</v>
      </c>
      <c r="W236" s="548">
        <f t="shared" ref="W236:W237" si="122">SUM(R236:V236)</f>
        <v>2.5603249814199995</v>
      </c>
    </row>
    <row r="237" spans="1:23">
      <c r="B237" s="38" t="s">
        <v>669</v>
      </c>
      <c r="D237" s="550">
        <f>D235+D236</f>
        <v>222351.6538822767</v>
      </c>
      <c r="E237" s="550">
        <f t="shared" ref="E237:H237" si="123">E235+E236</f>
        <v>436972.92238569196</v>
      </c>
      <c r="F237" s="550">
        <f t="shared" si="123"/>
        <v>592268.25223140384</v>
      </c>
      <c r="G237" s="550">
        <f t="shared" si="123"/>
        <v>299038.44256774255</v>
      </c>
      <c r="H237" s="550">
        <f t="shared" si="123"/>
        <v>63034.099834710752</v>
      </c>
      <c r="I237" s="591">
        <f>SUM(D237:H237)</f>
        <v>1613665.3709018258</v>
      </c>
      <c r="J237" s="210"/>
      <c r="K237" s="548">
        <f>K235-K236</f>
        <v>279.87843689967673</v>
      </c>
      <c r="L237" s="548">
        <f t="shared" ref="L237:O237" si="124">L235-L236</f>
        <v>613.41444119437494</v>
      </c>
      <c r="M237" s="548">
        <f t="shared" si="124"/>
        <v>836.52003210814939</v>
      </c>
      <c r="N237" s="548">
        <f t="shared" si="124"/>
        <v>428.90177939729006</v>
      </c>
      <c r="O237" s="548">
        <f t="shared" si="124"/>
        <v>123.90739138351348</v>
      </c>
      <c r="P237" s="548">
        <f t="shared" si="120"/>
        <v>2282.6220809830047</v>
      </c>
      <c r="Q237" s="210"/>
      <c r="R237" s="548">
        <f>R235-R236</f>
        <v>29.539393704542103</v>
      </c>
      <c r="S237" s="548">
        <f t="shared" ref="S237:V237" si="125">S235-S236</f>
        <v>90.866994772711706</v>
      </c>
      <c r="T237" s="548">
        <f t="shared" si="125"/>
        <v>91.007526370333295</v>
      </c>
      <c r="U237" s="548">
        <f t="shared" si="125"/>
        <v>40.809249591759794</v>
      </c>
      <c r="V237" s="548">
        <f t="shared" si="125"/>
        <v>8.1516220279643132</v>
      </c>
      <c r="W237" s="548">
        <f t="shared" si="122"/>
        <v>260.3747864673112</v>
      </c>
    </row>
    <row r="238" spans="1:23">
      <c r="B238" s="249" t="s">
        <v>668</v>
      </c>
      <c r="D238" s="211"/>
      <c r="E238" s="211"/>
      <c r="F238" s="211"/>
      <c r="G238" s="211"/>
      <c r="H238" s="211"/>
      <c r="I238" s="211"/>
      <c r="J238" s="210"/>
      <c r="K238" s="558">
        <f t="shared" ref="K238:P238" si="126">K237/D237*mtonacft_mgl</f>
        <v>1.0204607768377447</v>
      </c>
      <c r="L238" s="558">
        <f t="shared" si="126"/>
        <v>1.1380640658978958</v>
      </c>
      <c r="M238" s="558">
        <f t="shared" si="126"/>
        <v>1.1450517976348809</v>
      </c>
      <c r="N238" s="558">
        <f t="shared" si="126"/>
        <v>1.1627813749016025</v>
      </c>
      <c r="O238" s="558">
        <f t="shared" si="126"/>
        <v>1.5936351477393293</v>
      </c>
      <c r="P238" s="555">
        <f t="shared" si="126"/>
        <v>1.1468002417718701</v>
      </c>
      <c r="Q238" s="556"/>
      <c r="R238" s="555">
        <f t="shared" ref="R238:W238" si="127">R237/D237*mtonacft_mgl</f>
        <v>0.10770316206195675</v>
      </c>
      <c r="S238" s="555">
        <f t="shared" si="127"/>
        <v>0.16858498036922875</v>
      </c>
      <c r="T238" s="555">
        <f t="shared" si="127"/>
        <v>0.12457362366569293</v>
      </c>
      <c r="U238" s="555">
        <f t="shared" si="127"/>
        <v>0.11063660173126559</v>
      </c>
      <c r="V238" s="555">
        <f t="shared" si="127"/>
        <v>0.10484210207155213</v>
      </c>
      <c r="W238" s="555">
        <f t="shared" si="127"/>
        <v>0.13081353701065626</v>
      </c>
    </row>
    <row r="241" spans="1:23">
      <c r="A241" s="353" t="s">
        <v>725</v>
      </c>
      <c r="B241" s="229"/>
      <c r="C241" s="230"/>
      <c r="D241" s="231"/>
      <c r="E241" s="231"/>
      <c r="F241" s="231"/>
      <c r="G241" s="231"/>
      <c r="H241" s="231"/>
      <c r="I241" s="231"/>
      <c r="J241" s="230"/>
      <c r="K241" s="232"/>
      <c r="L241" s="232"/>
      <c r="M241" s="232"/>
      <c r="N241" s="232"/>
      <c r="O241" s="232"/>
      <c r="P241" s="232"/>
      <c r="Q241" s="230"/>
      <c r="R241" s="230"/>
      <c r="S241" s="354"/>
      <c r="T241" s="354"/>
      <c r="U241" s="354"/>
      <c r="V241" s="354"/>
      <c r="W241" s="594" t="s">
        <v>749</v>
      </c>
    </row>
    <row r="243" spans="1:23">
      <c r="D243" s="1440" t="s">
        <v>488</v>
      </c>
      <c r="E243" s="1440"/>
      <c r="F243" s="1440"/>
      <c r="G243" s="1440"/>
      <c r="H243" s="1440"/>
      <c r="I243" s="1440"/>
      <c r="K243" s="1441" t="s">
        <v>686</v>
      </c>
      <c r="L243" s="1441"/>
      <c r="M243" s="1441"/>
      <c r="N243" s="1441"/>
      <c r="O243" s="1441"/>
      <c r="P243" s="1441"/>
      <c r="R243" s="1442" t="s">
        <v>712</v>
      </c>
      <c r="S243" s="1442"/>
      <c r="T243" s="1442"/>
      <c r="U243" s="1442"/>
      <c r="V243" s="1442"/>
      <c r="W243" s="1442"/>
    </row>
    <row r="244" spans="1:23">
      <c r="D244" s="363" t="str">
        <f t="shared" ref="D244:I244" si="128">VLOOKUP(D$24,subwatgeog,2,FALSE)</f>
        <v>Coastal</v>
      </c>
      <c r="E244" s="363" t="str">
        <f t="shared" si="128"/>
        <v>Tidal Cal.</v>
      </c>
      <c r="F244" s="363" t="str">
        <f t="shared" si="128"/>
        <v>West Cal.</v>
      </c>
      <c r="G244" s="363" t="str">
        <f t="shared" si="128"/>
        <v>East Cal.</v>
      </c>
      <c r="H244" s="363" t="str">
        <f t="shared" si="128"/>
        <v>S-4</v>
      </c>
      <c r="I244" s="364" t="str">
        <f t="shared" si="128"/>
        <v>Total CRWPP</v>
      </c>
      <c r="K244" s="351" t="str">
        <f t="shared" ref="K244:W244" si="129">VLOOKUP(K$24,subwatgeog,2,FALSE)</f>
        <v>Coastal</v>
      </c>
      <c r="L244" s="351" t="str">
        <f t="shared" si="129"/>
        <v>Tidal Cal.</v>
      </c>
      <c r="M244" s="351" t="str">
        <f t="shared" si="129"/>
        <v>West Cal.</v>
      </c>
      <c r="N244" s="351" t="str">
        <f t="shared" si="129"/>
        <v>East Cal.</v>
      </c>
      <c r="O244" s="351" t="str">
        <f t="shared" si="129"/>
        <v>S-4</v>
      </c>
      <c r="P244" s="355" t="str">
        <f t="shared" si="129"/>
        <v>Total CRWPP</v>
      </c>
      <c r="R244" s="352" t="str">
        <f t="shared" si="129"/>
        <v>Coastal</v>
      </c>
      <c r="S244" s="352" t="str">
        <f t="shared" si="129"/>
        <v>Tidal Cal.</v>
      </c>
      <c r="T244" s="352" t="str">
        <f t="shared" si="129"/>
        <v>West Cal.</v>
      </c>
      <c r="U244" s="352" t="str">
        <f t="shared" si="129"/>
        <v>East Cal.</v>
      </c>
      <c r="V244" s="352" t="str">
        <f t="shared" si="129"/>
        <v>S-4</v>
      </c>
      <c r="W244" s="356" t="str">
        <f t="shared" si="129"/>
        <v>Total CRWPP</v>
      </c>
    </row>
    <row r="245" spans="1:23">
      <c r="B245" t="s">
        <v>720</v>
      </c>
      <c r="D245" s="211">
        <f>D$237</f>
        <v>222351.6538822767</v>
      </c>
      <c r="E245" s="211">
        <f t="shared" ref="E245:H245" si="130">E$237</f>
        <v>436972.92238569196</v>
      </c>
      <c r="F245" s="211">
        <f t="shared" si="130"/>
        <v>592268.25223140384</v>
      </c>
      <c r="G245" s="211">
        <f t="shared" si="130"/>
        <v>299038.44256774255</v>
      </c>
      <c r="H245" s="211">
        <f t="shared" si="130"/>
        <v>63034.099834710752</v>
      </c>
      <c r="I245" s="592">
        <f>SUM(D245:H245)</f>
        <v>1613665.3709018258</v>
      </c>
      <c r="J245" s="210"/>
      <c r="K245" s="548">
        <f>K$237</f>
        <v>279.87843689967673</v>
      </c>
      <c r="L245" s="548">
        <f t="shared" ref="L245:O245" si="131">L$237</f>
        <v>613.41444119437494</v>
      </c>
      <c r="M245" s="548">
        <f t="shared" si="131"/>
        <v>836.52003210814939</v>
      </c>
      <c r="N245" s="548">
        <f t="shared" si="131"/>
        <v>428.90177939729006</v>
      </c>
      <c r="O245" s="548">
        <f t="shared" si="131"/>
        <v>123.90739138351348</v>
      </c>
      <c r="P245" s="548">
        <f>SUM(K245:O245)</f>
        <v>2282.6220809830047</v>
      </c>
      <c r="Q245" s="210"/>
      <c r="R245" s="548">
        <f>R$237</f>
        <v>29.539393704542103</v>
      </c>
      <c r="S245" s="548">
        <f t="shared" ref="S245:V245" si="132">S$237</f>
        <v>90.866994772711706</v>
      </c>
      <c r="T245" s="548">
        <f t="shared" si="132"/>
        <v>91.007526370333295</v>
      </c>
      <c r="U245" s="548">
        <f t="shared" si="132"/>
        <v>40.809249591759794</v>
      </c>
      <c r="V245" s="548">
        <f t="shared" si="132"/>
        <v>8.1516220279643132</v>
      </c>
      <c r="W245" s="548">
        <f>SUM(R245:V245)</f>
        <v>260.3747864673112</v>
      </c>
    </row>
    <row r="246" spans="1:23">
      <c r="B246" t="s">
        <v>672</v>
      </c>
      <c r="D246" s="211">
        <f>VLOOKUP("1_R_Flow",mm_sum,D$25+1,FALSE)</f>
        <v>0</v>
      </c>
      <c r="E246" s="211">
        <f>VLOOKUP("1_R_Flow",mm_sum,E$25+1,FALSE)</f>
        <v>0</v>
      </c>
      <c r="F246" s="211">
        <f>VLOOKUP("1_R_Flow",mm_sum,F$25+1,FALSE)</f>
        <v>0</v>
      </c>
      <c r="G246" s="211">
        <f>VLOOKUP("1_R_Flow",mm_sum,G$25+1,FALSE)</f>
        <v>0</v>
      </c>
      <c r="H246" s="211">
        <f>VLOOKUP("1_R_Flow",mm_sum,H$25+1,FALSE)</f>
        <v>0</v>
      </c>
      <c r="I246" s="592">
        <f>SUM(D246:H246)</f>
        <v>0</v>
      </c>
      <c r="J246" s="210"/>
      <c r="K246" s="548">
        <f>VLOOKUP("1_R_TN",mm_sum,K$25+1,FALSE)/lb_mton</f>
        <v>0</v>
      </c>
      <c r="L246" s="548">
        <f>VLOOKUP("1_R_TN",mm_sum,L$25+1,FALSE)/lb_mton</f>
        <v>0</v>
      </c>
      <c r="M246" s="548">
        <f>VLOOKUP("1_R_TN",mm_sum,M$25+1,FALSE)/lb_mton</f>
        <v>0</v>
      </c>
      <c r="N246" s="548">
        <f>VLOOKUP("1_R_TN",mm_sum,N$25+1,FALSE)/lb_mton</f>
        <v>0</v>
      </c>
      <c r="O246" s="548">
        <f>VLOOKUP("1_R_TN",mm_sum,O$25+1,FALSE)/lb_mton</f>
        <v>0</v>
      </c>
      <c r="P246" s="548">
        <f t="shared" ref="P246:P247" si="133">SUM(K246:O246)</f>
        <v>0</v>
      </c>
      <c r="Q246" s="210"/>
      <c r="R246" s="548">
        <f>VLOOKUP("1_R_TP",mm_sum,R$25+1,FALSE)/lb_mton</f>
        <v>0</v>
      </c>
      <c r="S246" s="548">
        <f>VLOOKUP("1_R_TP",mm_sum,S$25+1,FALSE)/lb_mton</f>
        <v>0</v>
      </c>
      <c r="T246" s="548">
        <f>VLOOKUP("1_R_TP",mm_sum,T$25+1,FALSE)/lb_mton</f>
        <v>0</v>
      </c>
      <c r="U246" s="548">
        <f>VLOOKUP("1_R_TP",mm_sum,U$25+1,FALSE)/lb_mton</f>
        <v>0</v>
      </c>
      <c r="V246" s="548">
        <f>VLOOKUP("1_R_TP",mm_sum,V$25+1,FALSE)/lb_mton</f>
        <v>0</v>
      </c>
      <c r="W246" s="548">
        <f t="shared" ref="W246:W247" si="134">SUM(R246:V246)</f>
        <v>0</v>
      </c>
    </row>
    <row r="247" spans="1:23">
      <c r="B247" s="38" t="s">
        <v>669</v>
      </c>
      <c r="D247" s="550">
        <f>D245+D246</f>
        <v>222351.6538822767</v>
      </c>
      <c r="E247" s="550">
        <f t="shared" ref="E247:H247" si="135">E245+E246</f>
        <v>436972.92238569196</v>
      </c>
      <c r="F247" s="550">
        <f t="shared" si="135"/>
        <v>592268.25223140384</v>
      </c>
      <c r="G247" s="550">
        <f t="shared" si="135"/>
        <v>299038.44256774255</v>
      </c>
      <c r="H247" s="550">
        <f t="shared" si="135"/>
        <v>63034.099834710752</v>
      </c>
      <c r="I247" s="591">
        <f>SUM(D247:H247)</f>
        <v>1613665.3709018258</v>
      </c>
      <c r="J247" s="554"/>
      <c r="K247" s="551">
        <f>K245-K246</f>
        <v>279.87843689967673</v>
      </c>
      <c r="L247" s="551">
        <f t="shared" ref="L247:O247" si="136">L245-L246</f>
        <v>613.41444119437494</v>
      </c>
      <c r="M247" s="551">
        <f t="shared" si="136"/>
        <v>836.52003210814939</v>
      </c>
      <c r="N247" s="551">
        <f t="shared" si="136"/>
        <v>428.90177939729006</v>
      </c>
      <c r="O247" s="551">
        <f t="shared" si="136"/>
        <v>123.90739138351348</v>
      </c>
      <c r="P247" s="551">
        <f t="shared" si="133"/>
        <v>2282.6220809830047</v>
      </c>
      <c r="Q247" s="554"/>
      <c r="R247" s="551">
        <f>R245-R246</f>
        <v>29.539393704542103</v>
      </c>
      <c r="S247" s="551">
        <f t="shared" ref="S247:V247" si="137">S245-S246</f>
        <v>90.866994772711706</v>
      </c>
      <c r="T247" s="551">
        <f t="shared" si="137"/>
        <v>91.007526370333295</v>
      </c>
      <c r="U247" s="551">
        <f t="shared" si="137"/>
        <v>40.809249591759794</v>
      </c>
      <c r="V247" s="551">
        <f t="shared" si="137"/>
        <v>8.1516220279643132</v>
      </c>
      <c r="W247" s="551">
        <f t="shared" si="134"/>
        <v>260.3747864673112</v>
      </c>
    </row>
    <row r="248" spans="1:23">
      <c r="B248" s="249" t="s">
        <v>668</v>
      </c>
      <c r="D248" s="211"/>
      <c r="E248" s="211"/>
      <c r="F248" s="211"/>
      <c r="G248" s="211"/>
      <c r="H248" s="211"/>
      <c r="I248" s="211"/>
      <c r="J248" s="210"/>
      <c r="K248" s="558">
        <f t="shared" ref="K248:P248" si="138">K247/D247*mtonacft_mgl</f>
        <v>1.0204607768377447</v>
      </c>
      <c r="L248" s="558">
        <f t="shared" si="138"/>
        <v>1.1380640658978958</v>
      </c>
      <c r="M248" s="558">
        <f t="shared" si="138"/>
        <v>1.1450517976348809</v>
      </c>
      <c r="N248" s="558">
        <f t="shared" si="138"/>
        <v>1.1627813749016025</v>
      </c>
      <c r="O248" s="558">
        <f t="shared" si="138"/>
        <v>1.5936351477393293</v>
      </c>
      <c r="P248" s="555">
        <f t="shared" si="138"/>
        <v>1.1468002417718701</v>
      </c>
      <c r="Q248" s="556"/>
      <c r="R248" s="555">
        <f t="shared" ref="R248:W248" si="139">R247/D247*mtonacft_mgl</f>
        <v>0.10770316206195675</v>
      </c>
      <c r="S248" s="555">
        <f t="shared" si="139"/>
        <v>0.16858498036922875</v>
      </c>
      <c r="T248" s="555">
        <f t="shared" si="139"/>
        <v>0.12457362366569293</v>
      </c>
      <c r="U248" s="555">
        <f t="shared" si="139"/>
        <v>0.11063660173126559</v>
      </c>
      <c r="V248" s="555">
        <f t="shared" si="139"/>
        <v>0.10484210207155213</v>
      </c>
      <c r="W248" s="555">
        <f t="shared" si="139"/>
        <v>0.13081353701065626</v>
      </c>
    </row>
    <row r="249" spans="1:23" ht="15" customHeight="1"/>
    <row r="251" spans="1:23">
      <c r="A251" s="353" t="s">
        <v>730</v>
      </c>
      <c r="B251" s="229"/>
      <c r="C251" s="230"/>
      <c r="D251" s="231"/>
      <c r="E251" s="231"/>
      <c r="F251" s="231"/>
      <c r="G251" s="231"/>
      <c r="H251" s="231"/>
      <c r="I251" s="231"/>
      <c r="J251" s="230"/>
      <c r="K251" s="232"/>
      <c r="L251" s="232"/>
      <c r="M251" s="232"/>
      <c r="N251" s="232"/>
      <c r="O251" s="232"/>
      <c r="P251" s="232"/>
      <c r="Q251" s="230"/>
      <c r="R251" s="230"/>
      <c r="S251" s="354"/>
      <c r="T251" s="354"/>
      <c r="U251" s="354"/>
      <c r="V251" s="354"/>
      <c r="W251" s="594" t="s">
        <v>750</v>
      </c>
    </row>
    <row r="253" spans="1:23">
      <c r="D253" s="1440" t="s">
        <v>678</v>
      </c>
      <c r="E253" s="1440"/>
      <c r="F253" s="1440"/>
      <c r="G253" s="1440"/>
      <c r="H253" s="1440"/>
      <c r="I253" s="1440"/>
      <c r="K253" s="1441" t="s">
        <v>679</v>
      </c>
      <c r="L253" s="1441"/>
      <c r="M253" s="1441"/>
      <c r="N253" s="1441"/>
      <c r="O253" s="1441"/>
      <c r="P253" s="1441"/>
      <c r="R253" s="1442" t="s">
        <v>680</v>
      </c>
      <c r="S253" s="1442"/>
      <c r="T253" s="1442"/>
      <c r="U253" s="1442"/>
      <c r="V253" s="1442"/>
      <c r="W253" s="1442"/>
    </row>
    <row r="254" spans="1:23">
      <c r="D254" s="363" t="str">
        <f t="shared" ref="D254:I254" si="140">VLOOKUP(D$24,subwatgeog,2,FALSE)</f>
        <v>Coastal</v>
      </c>
      <c r="E254" s="363" t="str">
        <f t="shared" si="140"/>
        <v>Tidal Cal.</v>
      </c>
      <c r="F254" s="363" t="str">
        <f t="shared" si="140"/>
        <v>West Cal.</v>
      </c>
      <c r="G254" s="363" t="str">
        <f t="shared" si="140"/>
        <v>East Cal.</v>
      </c>
      <c r="H254" s="363" t="str">
        <f t="shared" si="140"/>
        <v>S-4</v>
      </c>
      <c r="I254" s="364" t="str">
        <f t="shared" si="140"/>
        <v>Total CRWPP</v>
      </c>
      <c r="K254" s="351" t="str">
        <f t="shared" ref="K254:W254" si="141">VLOOKUP(K$24,subwatgeog,2,FALSE)</f>
        <v>Coastal</v>
      </c>
      <c r="L254" s="351" t="str">
        <f t="shared" si="141"/>
        <v>Tidal Cal.</v>
      </c>
      <c r="M254" s="351" t="str">
        <f t="shared" si="141"/>
        <v>West Cal.</v>
      </c>
      <c r="N254" s="351" t="str">
        <f t="shared" si="141"/>
        <v>East Cal.</v>
      </c>
      <c r="O254" s="351" t="str">
        <f t="shared" si="141"/>
        <v>S-4</v>
      </c>
      <c r="P254" s="355" t="str">
        <f t="shared" si="141"/>
        <v>Total CRWPP</v>
      </c>
      <c r="R254" s="352" t="str">
        <f t="shared" si="141"/>
        <v>Coastal</v>
      </c>
      <c r="S254" s="352" t="str">
        <f t="shared" si="141"/>
        <v>Tidal Cal.</v>
      </c>
      <c r="T254" s="352" t="str">
        <f t="shared" si="141"/>
        <v>West Cal.</v>
      </c>
      <c r="U254" s="352" t="str">
        <f t="shared" si="141"/>
        <v>East Cal.</v>
      </c>
      <c r="V254" s="352" t="str">
        <f t="shared" si="141"/>
        <v>S-4</v>
      </c>
      <c r="W254" s="356" t="str">
        <f t="shared" si="141"/>
        <v>Total CRWPP</v>
      </c>
    </row>
    <row r="255" spans="1:23">
      <c r="B255" t="s">
        <v>720</v>
      </c>
      <c r="D255" s="211">
        <f>D$137</f>
        <v>222351.6538822767</v>
      </c>
      <c r="E255" s="211">
        <f t="shared" ref="E255:H255" si="142">E$137</f>
        <v>436972.92238569196</v>
      </c>
      <c r="F255" s="211">
        <f t="shared" si="142"/>
        <v>592883.25223140384</v>
      </c>
      <c r="G255" s="211">
        <f t="shared" si="142"/>
        <v>304048.44256774255</v>
      </c>
      <c r="H255" s="211">
        <f t="shared" si="142"/>
        <v>63034.099834710752</v>
      </c>
      <c r="I255" s="592">
        <f t="shared" ref="I255" si="143">SUM(D255:H255)</f>
        <v>1619290.3709018258</v>
      </c>
      <c r="J255" s="210"/>
      <c r="K255" s="548">
        <f>K$137</f>
        <v>282.43225947662467</v>
      </c>
      <c r="L255" s="548">
        <f t="shared" ref="L255:O255" si="144">L$137</f>
        <v>629.5347888603726</v>
      </c>
      <c r="M255" s="548">
        <f t="shared" si="144"/>
        <v>957.86749900000109</v>
      </c>
      <c r="N255" s="548">
        <f t="shared" si="144"/>
        <v>508.66752665601132</v>
      </c>
      <c r="O255" s="548">
        <f t="shared" si="144"/>
        <v>157.62772899999999</v>
      </c>
      <c r="P255" s="548">
        <f t="shared" ref="P255:P273" si="145">SUM(K255:O255)</f>
        <v>2536.1298029930094</v>
      </c>
      <c r="Q255" s="210"/>
      <c r="R255" s="548">
        <f>R$137</f>
        <v>29.651060564799756</v>
      </c>
      <c r="S255" s="548">
        <f t="shared" ref="S255:V255" si="146">S$137</f>
        <v>93.663108536234503</v>
      </c>
      <c r="T255" s="548">
        <f t="shared" si="146"/>
        <v>108.05345510000004</v>
      </c>
      <c r="U255" s="548">
        <f t="shared" si="146"/>
        <v>49.563984774778426</v>
      </c>
      <c r="V255" s="548">
        <f t="shared" si="146"/>
        <v>9.7744972000000026</v>
      </c>
      <c r="W255" s="548">
        <f t="shared" ref="W255:W273" si="147">SUM(R255:V255)</f>
        <v>290.70610617581269</v>
      </c>
    </row>
    <row r="256" spans="1:23">
      <c r="B256" s="596" t="s">
        <v>1245</v>
      </c>
      <c r="D256" s="211"/>
      <c r="E256" s="211"/>
      <c r="F256" s="211"/>
      <c r="G256" s="211"/>
      <c r="H256" s="211"/>
      <c r="I256" s="592"/>
      <c r="J256" s="210"/>
      <c r="K256" s="1229">
        <f>K$138</f>
        <v>1.0297722329100547</v>
      </c>
      <c r="L256" s="1229">
        <f t="shared" ref="L256:W256" si="148">L$138</f>
        <v>1.1679720484565255</v>
      </c>
      <c r="M256" s="1229">
        <f t="shared" si="148"/>
        <v>1.3097955059772124</v>
      </c>
      <c r="N256" s="1229">
        <f t="shared" si="148"/>
        <v>1.3563084606842892</v>
      </c>
      <c r="O256" s="1229">
        <f t="shared" si="148"/>
        <v>2.0273293335279883</v>
      </c>
      <c r="P256" s="1229">
        <f t="shared" si="148"/>
        <v>1.2697376143261829</v>
      </c>
      <c r="Q256" s="1229"/>
      <c r="R256" s="1229">
        <f t="shared" si="148"/>
        <v>0.1081103090084234</v>
      </c>
      <c r="S256" s="1229">
        <f t="shared" si="148"/>
        <v>0.17377259315550725</v>
      </c>
      <c r="T256" s="1229">
        <f t="shared" si="148"/>
        <v>0.14775313917952484</v>
      </c>
      <c r="U256" s="1229">
        <f t="shared" si="148"/>
        <v>0.13215715250625748</v>
      </c>
      <c r="V256" s="1229">
        <f t="shared" si="148"/>
        <v>0.1257147141544315</v>
      </c>
      <c r="W256" s="1229">
        <f t="shared" si="148"/>
        <v>0.14554478926516828</v>
      </c>
    </row>
    <row r="257" spans="2:23">
      <c r="B257" t="s">
        <v>1243</v>
      </c>
      <c r="D257" s="211"/>
      <c r="E257" s="211"/>
      <c r="F257" s="211"/>
      <c r="G257" s="211"/>
      <c r="H257" s="211"/>
      <c r="I257" s="592"/>
      <c r="J257" s="210"/>
      <c r="K257" s="548"/>
      <c r="L257" s="548"/>
      <c r="M257" s="548"/>
      <c r="N257" s="548"/>
      <c r="O257" s="548"/>
      <c r="P257" s="548"/>
      <c r="Q257" s="210"/>
      <c r="R257" s="548"/>
      <c r="S257" s="548"/>
      <c r="T257" s="548"/>
      <c r="U257" s="548"/>
      <c r="V257" s="548"/>
      <c r="W257" s="548"/>
    </row>
    <row r="258" spans="2:23">
      <c r="B258" s="221" t="s">
        <v>947</v>
      </c>
      <c r="D258" s="211"/>
      <c r="E258" s="211"/>
      <c r="F258" s="211"/>
      <c r="G258" s="211"/>
      <c r="H258" s="211"/>
      <c r="I258" s="592"/>
      <c r="J258" s="210"/>
      <c r="K258" s="210">
        <f>K$214</f>
        <v>2.4610772478602554</v>
      </c>
      <c r="L258" s="210">
        <f t="shared" ref="L258:O258" si="149">L$214</f>
        <v>4.6520190734990354</v>
      </c>
      <c r="M258" s="210">
        <f t="shared" si="149"/>
        <v>1.1855259401890992</v>
      </c>
      <c r="N258" s="210">
        <f t="shared" si="149"/>
        <v>0.21252526729100527</v>
      </c>
      <c r="O258" s="210">
        <f t="shared" si="149"/>
        <v>0.26254892451335432</v>
      </c>
      <c r="P258" s="548">
        <f>SUM(K258:O258)</f>
        <v>8.7736964533527484</v>
      </c>
      <c r="Q258" s="210"/>
      <c r="R258" s="210">
        <f>R$214</f>
        <v>9.4034065337981559E-2</v>
      </c>
      <c r="S258" s="210">
        <f t="shared" ref="S258:V258" si="150">S$214</f>
        <v>0.20711612283321784</v>
      </c>
      <c r="T258" s="210">
        <f t="shared" si="150"/>
        <v>4.8709946853973882E-2</v>
      </c>
      <c r="U258" s="210">
        <f t="shared" si="150"/>
        <v>1.2914712236664933E-2</v>
      </c>
      <c r="V258" s="210">
        <f t="shared" si="150"/>
        <v>1.0543897624112619E-2</v>
      </c>
      <c r="W258" s="548">
        <f>SUM(R258:V258)</f>
        <v>0.3733187448859509</v>
      </c>
    </row>
    <row r="259" spans="2:23">
      <c r="B259" s="221" t="s">
        <v>948</v>
      </c>
      <c r="D259" s="211"/>
      <c r="E259" s="211"/>
      <c r="F259" s="211"/>
      <c r="G259" s="211"/>
      <c r="H259" s="211"/>
      <c r="I259" s="592"/>
      <c r="J259" s="210"/>
      <c r="K259" s="210">
        <f>K$215</f>
        <v>9.2745329087671829E-2</v>
      </c>
      <c r="L259" s="210">
        <f t="shared" ref="L259:O259" si="151">L$215</f>
        <v>0.17160987049863899</v>
      </c>
      <c r="M259" s="210">
        <f t="shared" si="151"/>
        <v>118.95294733592203</v>
      </c>
      <c r="N259" s="210">
        <f t="shared" si="151"/>
        <v>72.390757795494224</v>
      </c>
      <c r="O259" s="210">
        <f t="shared" si="151"/>
        <v>33.450018654161155</v>
      </c>
      <c r="P259" s="548">
        <f t="shared" ref="P259:P262" si="152">SUM(K259:O259)</f>
        <v>225.05807898516372</v>
      </c>
      <c r="Q259" s="210"/>
      <c r="R259" s="210">
        <f>R$215</f>
        <v>1.763279491967213E-2</v>
      </c>
      <c r="S259" s="210">
        <f t="shared" ref="S259:V259" si="153">S$215</f>
        <v>3.3140544409592618E-2</v>
      </c>
      <c r="T259" s="210">
        <f t="shared" si="153"/>
        <v>16.917642881678109</v>
      </c>
      <c r="U259" s="210">
        <f t="shared" si="153"/>
        <v>7.6707049304681663</v>
      </c>
      <c r="V259" s="210">
        <f t="shared" si="153"/>
        <v>1.6078633892715768</v>
      </c>
      <c r="W259" s="548">
        <f>SUM(R259:V259)</f>
        <v>26.246984540747114</v>
      </c>
    </row>
    <row r="260" spans="2:23">
      <c r="B260" s="221" t="s">
        <v>673</v>
      </c>
      <c r="D260" s="211">
        <f>D$226</f>
        <v>0</v>
      </c>
      <c r="E260" s="211">
        <f t="shared" ref="E260:H260" si="154">E$226</f>
        <v>0</v>
      </c>
      <c r="F260" s="211">
        <f t="shared" si="154"/>
        <v>-615</v>
      </c>
      <c r="G260" s="211">
        <f t="shared" si="154"/>
        <v>-5010</v>
      </c>
      <c r="H260" s="211">
        <f t="shared" si="154"/>
        <v>0</v>
      </c>
      <c r="I260" s="592">
        <f>SUM(D260:H260)</f>
        <v>-5625</v>
      </c>
      <c r="J260" s="210"/>
      <c r="K260" s="210">
        <f>K$226</f>
        <v>0</v>
      </c>
      <c r="L260" s="210">
        <f t="shared" ref="L260:O260" si="155">L$226</f>
        <v>0</v>
      </c>
      <c r="M260" s="210">
        <f t="shared" si="155"/>
        <v>1.208993615740509</v>
      </c>
      <c r="N260" s="210">
        <f t="shared" si="155"/>
        <v>7.162464195935998</v>
      </c>
      <c r="O260" s="210">
        <f t="shared" si="155"/>
        <v>0</v>
      </c>
      <c r="P260" s="548">
        <f t="shared" si="152"/>
        <v>8.3714578116765068</v>
      </c>
      <c r="Q260" s="210"/>
      <c r="R260" s="210">
        <f>R$226</f>
        <v>0</v>
      </c>
      <c r="S260" s="210">
        <f t="shared" ref="S260:V260" si="156">S$226</f>
        <v>0</v>
      </c>
      <c r="T260" s="210">
        <f t="shared" si="156"/>
        <v>7.9575901134658747E-2</v>
      </c>
      <c r="U260" s="210">
        <f t="shared" si="156"/>
        <v>1.0711155403137951</v>
      </c>
      <c r="V260" s="210">
        <f t="shared" si="156"/>
        <v>0</v>
      </c>
      <c r="W260" s="548">
        <f>SUM(R260:V260)</f>
        <v>1.1506914414484539</v>
      </c>
    </row>
    <row r="261" spans="2:23">
      <c r="B261" s="221" t="s">
        <v>691</v>
      </c>
      <c r="D261" s="211">
        <f>D$236</f>
        <v>0</v>
      </c>
      <c r="E261" s="211">
        <f t="shared" ref="E261:H261" si="157">E$236</f>
        <v>0</v>
      </c>
      <c r="F261" s="211">
        <f t="shared" si="157"/>
        <v>0</v>
      </c>
      <c r="G261" s="211">
        <f t="shared" si="157"/>
        <v>0</v>
      </c>
      <c r="H261" s="211">
        <f t="shared" si="157"/>
        <v>0</v>
      </c>
      <c r="I261" s="592">
        <f t="shared" ref="I261:I273" si="158">SUM(D261:H261)</f>
        <v>0</v>
      </c>
      <c r="J261" s="210"/>
      <c r="K261" s="548">
        <f>K$236</f>
        <v>0</v>
      </c>
      <c r="L261" s="548">
        <f t="shared" ref="L261:O261" si="159">L$236</f>
        <v>11.296718721999998</v>
      </c>
      <c r="M261" s="548">
        <f t="shared" si="159"/>
        <v>0</v>
      </c>
      <c r="N261" s="548">
        <f t="shared" si="159"/>
        <v>0</v>
      </c>
      <c r="O261" s="548">
        <f t="shared" si="159"/>
        <v>7.7700378119999998E-3</v>
      </c>
      <c r="P261" s="548">
        <f t="shared" si="152"/>
        <v>11.304488759811997</v>
      </c>
      <c r="Q261" s="210"/>
      <c r="R261" s="548">
        <f>R$236</f>
        <v>0</v>
      </c>
      <c r="S261" s="548">
        <f t="shared" ref="S261:V261" si="160">S$236</f>
        <v>2.5558570962799996</v>
      </c>
      <c r="T261" s="548">
        <f t="shared" si="160"/>
        <v>0</v>
      </c>
      <c r="U261" s="548">
        <f t="shared" si="160"/>
        <v>0</v>
      </c>
      <c r="V261" s="548">
        <f t="shared" si="160"/>
        <v>4.467885139999999E-3</v>
      </c>
      <c r="W261" s="548">
        <f>SUM(R261:V261)</f>
        <v>2.5603249814199995</v>
      </c>
    </row>
    <row r="262" spans="2:23">
      <c r="B262" s="221" t="s">
        <v>672</v>
      </c>
      <c r="D262" s="211">
        <f>D$246</f>
        <v>0</v>
      </c>
      <c r="E262" s="211">
        <f>E$246</f>
        <v>0</v>
      </c>
      <c r="F262" s="211">
        <f>F$246</f>
        <v>0</v>
      </c>
      <c r="G262" s="211">
        <f>G$246</f>
        <v>0</v>
      </c>
      <c r="H262" s="211">
        <f>H$246</f>
        <v>0</v>
      </c>
      <c r="I262" s="592">
        <f t="shared" si="158"/>
        <v>0</v>
      </c>
      <c r="J262" s="210"/>
      <c r="K262" s="548">
        <f>K$246</f>
        <v>0</v>
      </c>
      <c r="L262" s="548">
        <f>L$246</f>
        <v>0</v>
      </c>
      <c r="M262" s="548">
        <f>M$246</f>
        <v>0</v>
      </c>
      <c r="N262" s="548">
        <f>N$246</f>
        <v>0</v>
      </c>
      <c r="O262" s="548">
        <f>O$246</f>
        <v>0</v>
      </c>
      <c r="P262" s="548">
        <f t="shared" si="152"/>
        <v>0</v>
      </c>
      <c r="Q262" s="210"/>
      <c r="R262" s="548">
        <f>R$246</f>
        <v>0</v>
      </c>
      <c r="S262" s="548">
        <f>S$246</f>
        <v>0</v>
      </c>
      <c r="T262" s="548">
        <f>T$246</f>
        <v>0</v>
      </c>
      <c r="U262" s="548">
        <f>U$246</f>
        <v>0</v>
      </c>
      <c r="V262" s="548">
        <f>V$246</f>
        <v>0</v>
      </c>
      <c r="W262" s="548">
        <f t="shared" si="147"/>
        <v>0</v>
      </c>
    </row>
    <row r="263" spans="2:23">
      <c r="B263" s="61" t="s">
        <v>684</v>
      </c>
      <c r="D263" s="211">
        <f>SUM(D258:D262)</f>
        <v>0</v>
      </c>
      <c r="E263" s="211">
        <f>SUM(E258:E262)</f>
        <v>0</v>
      </c>
      <c r="F263" s="211">
        <f>SUM(F258:F262)</f>
        <v>-615</v>
      </c>
      <c r="G263" s="211">
        <f>SUM(G258:G262)</f>
        <v>-5010</v>
      </c>
      <c r="H263" s="211">
        <f>SUM(H258:H262)</f>
        <v>0</v>
      </c>
      <c r="I263" s="592">
        <f t="shared" si="158"/>
        <v>-5625</v>
      </c>
      <c r="J263" s="210"/>
      <c r="K263" s="548">
        <f>SUM(K258:K262)</f>
        <v>2.553822576947927</v>
      </c>
      <c r="L263" s="548">
        <f>SUM(L258:L262)</f>
        <v>16.12034766599767</v>
      </c>
      <c r="M263" s="548">
        <f>SUM(M258:M262)</f>
        <v>121.34746689185164</v>
      </c>
      <c r="N263" s="548">
        <f>SUM(N258:N262)</f>
        <v>79.76574725872122</v>
      </c>
      <c r="O263" s="548">
        <f>SUM(O258:O262)</f>
        <v>33.720337616486511</v>
      </c>
      <c r="P263" s="548">
        <f t="shared" si="145"/>
        <v>253.50772201000495</v>
      </c>
      <c r="Q263" s="210"/>
      <c r="R263" s="548">
        <f>SUM(R258:R262)</f>
        <v>0.11166686025765368</v>
      </c>
      <c r="S263" s="548">
        <f>SUM(S258:S262)</f>
        <v>2.7961137635228099</v>
      </c>
      <c r="T263" s="548">
        <f>SUM(T258:T262)</f>
        <v>17.045928729666745</v>
      </c>
      <c r="U263" s="548">
        <f>SUM(U258:U262)</f>
        <v>8.7547351830186262</v>
      </c>
      <c r="V263" s="548">
        <f>SUM(V258:V262)</f>
        <v>1.6228751720356893</v>
      </c>
      <c r="W263" s="548">
        <f t="shared" si="147"/>
        <v>30.331319708501525</v>
      </c>
    </row>
    <row r="264" spans="2:23">
      <c r="B264" s="59" t="s">
        <v>674</v>
      </c>
      <c r="D264" s="241">
        <f>D255+D263</f>
        <v>222351.6538822767</v>
      </c>
      <c r="E264" s="241">
        <f>E255+E263</f>
        <v>436972.92238569196</v>
      </c>
      <c r="F264" s="241">
        <f>F255+F263</f>
        <v>592268.25223140384</v>
      </c>
      <c r="G264" s="241">
        <f>G255+G263</f>
        <v>299038.44256774255</v>
      </c>
      <c r="H264" s="241">
        <f>H255+H263</f>
        <v>63034.099834710752</v>
      </c>
      <c r="I264" s="592">
        <f t="shared" si="158"/>
        <v>1613665.3709018258</v>
      </c>
      <c r="J264" s="210"/>
      <c r="K264" s="210">
        <f>K255-K263</f>
        <v>279.87843689967673</v>
      </c>
      <c r="L264" s="210">
        <f>L255-L263</f>
        <v>613.41444119437494</v>
      </c>
      <c r="M264" s="210">
        <f>M255-M263</f>
        <v>836.52003210814951</v>
      </c>
      <c r="N264" s="210">
        <f>N255-N263</f>
        <v>428.90177939729011</v>
      </c>
      <c r="O264" s="210">
        <f>O255-O263</f>
        <v>123.90739138351347</v>
      </c>
      <c r="P264" s="548">
        <f t="shared" si="145"/>
        <v>2282.6220809830052</v>
      </c>
      <c r="Q264" s="210"/>
      <c r="R264" s="210">
        <f>R255-R263</f>
        <v>29.539393704542103</v>
      </c>
      <c r="S264" s="210">
        <f>S255-S263</f>
        <v>90.866994772711692</v>
      </c>
      <c r="T264" s="210">
        <f>T255-T263</f>
        <v>91.007526370333295</v>
      </c>
      <c r="U264" s="210">
        <f>U255-U263</f>
        <v>40.809249591759801</v>
      </c>
      <c r="V264" s="210">
        <f>V255-V263</f>
        <v>8.1516220279643132</v>
      </c>
      <c r="W264" s="548">
        <f t="shared" si="147"/>
        <v>260.3747864673112</v>
      </c>
    </row>
    <row r="265" spans="2:23">
      <c r="B265" s="596" t="s">
        <v>675</v>
      </c>
      <c r="D265" s="559"/>
      <c r="E265" s="559"/>
      <c r="F265" s="559"/>
      <c r="G265" s="559"/>
      <c r="H265" s="559"/>
      <c r="I265" s="592"/>
      <c r="J265" s="560"/>
      <c r="K265" s="556">
        <f t="shared" ref="K265:P265" si="161">K264/D264*mtonacft_mgl</f>
        <v>1.0204607768377447</v>
      </c>
      <c r="L265" s="556">
        <f t="shared" si="161"/>
        <v>1.1380640658978958</v>
      </c>
      <c r="M265" s="556">
        <f t="shared" si="161"/>
        <v>1.1450517976348811</v>
      </c>
      <c r="N265" s="556">
        <f t="shared" si="161"/>
        <v>1.1627813749016025</v>
      </c>
      <c r="O265" s="556">
        <f t="shared" si="161"/>
        <v>1.5936351477393291</v>
      </c>
      <c r="P265" s="556">
        <f t="shared" si="161"/>
        <v>1.1468002417718701</v>
      </c>
      <c r="Q265" s="556"/>
      <c r="R265" s="556">
        <f t="shared" ref="R265:W265" si="162">R264/D264*mtonacft_mgl</f>
        <v>0.10770316206195675</v>
      </c>
      <c r="S265" s="556">
        <f t="shared" si="162"/>
        <v>0.16858498036922873</v>
      </c>
      <c r="T265" s="556">
        <f t="shared" si="162"/>
        <v>0.12457362366569293</v>
      </c>
      <c r="U265" s="556">
        <f t="shared" si="162"/>
        <v>0.1106366017312656</v>
      </c>
      <c r="V265" s="556">
        <f t="shared" si="162"/>
        <v>0.10484210207155213</v>
      </c>
      <c r="W265" s="556">
        <f t="shared" si="162"/>
        <v>0.13081353701065626</v>
      </c>
    </row>
    <row r="266" spans="2:23">
      <c r="B266" s="1227" t="s">
        <v>1244</v>
      </c>
      <c r="D266" s="559"/>
      <c r="E266" s="559"/>
      <c r="F266" s="559"/>
      <c r="G266" s="559"/>
      <c r="H266" s="559"/>
      <c r="I266" s="592"/>
      <c r="J266" s="560"/>
      <c r="K266" s="242"/>
      <c r="L266" s="242"/>
      <c r="M266" s="242"/>
      <c r="N266" s="242"/>
      <c r="O266" s="242"/>
      <c r="P266" s="242"/>
      <c r="Q266" s="556"/>
      <c r="R266" s="556"/>
      <c r="S266" s="556"/>
      <c r="T266" s="556"/>
      <c r="U266" s="556"/>
      <c r="V266" s="556"/>
      <c r="W266" s="556"/>
    </row>
    <row r="267" spans="2:23">
      <c r="B267" s="61" t="s">
        <v>947</v>
      </c>
      <c r="D267" s="559"/>
      <c r="E267" s="559"/>
      <c r="F267" s="559"/>
      <c r="G267" s="559"/>
      <c r="H267" s="559"/>
      <c r="I267" s="592"/>
      <c r="J267" s="560"/>
      <c r="K267" s="242">
        <f t="shared" ref="K267:O271" si="163">IF(K$263&gt;0,K258*K$272/K$263,0)</f>
        <v>2.4610772478602647</v>
      </c>
      <c r="L267" s="242">
        <f t="shared" si="163"/>
        <v>4.6520190734990319</v>
      </c>
      <c r="M267" s="242">
        <f t="shared" si="163"/>
        <v>1.1855259401890974</v>
      </c>
      <c r="N267" s="242">
        <f t="shared" si="163"/>
        <v>0.2125252672910054</v>
      </c>
      <c r="O267" s="242">
        <f t="shared" si="163"/>
        <v>0.26254892451335449</v>
      </c>
      <c r="P267" s="561">
        <f t="shared" si="145"/>
        <v>8.7736964533527537</v>
      </c>
      <c r="Q267" s="556"/>
      <c r="R267" s="242">
        <f t="shared" ref="R267:V271" si="164">IF(R$263&gt;0,R258*R$272/R$263,0)</f>
        <v>9.4034065337984113E-2</v>
      </c>
      <c r="S267" s="242">
        <f t="shared" si="164"/>
        <v>0.20711612283321795</v>
      </c>
      <c r="T267" s="242">
        <f t="shared" si="164"/>
        <v>4.8709946853973875E-2</v>
      </c>
      <c r="U267" s="242">
        <f t="shared" si="164"/>
        <v>1.2914712236664919E-2</v>
      </c>
      <c r="V267" s="242">
        <f t="shared" si="164"/>
        <v>1.0543897624112619E-2</v>
      </c>
      <c r="W267" s="561">
        <f t="shared" ref="W267:W272" si="165">SUM(R267:V267)</f>
        <v>0.37331874488595351</v>
      </c>
    </row>
    <row r="268" spans="2:23">
      <c r="B268" s="61" t="s">
        <v>948</v>
      </c>
      <c r="D268" s="559"/>
      <c r="E268" s="559"/>
      <c r="F268" s="559"/>
      <c r="G268" s="559"/>
      <c r="H268" s="559"/>
      <c r="I268" s="592"/>
      <c r="J268" s="560"/>
      <c r="K268" s="242">
        <f t="shared" si="163"/>
        <v>9.2745329087672176E-2</v>
      </c>
      <c r="L268" s="242">
        <f t="shared" si="163"/>
        <v>0.17160987049863885</v>
      </c>
      <c r="M268" s="242">
        <f t="shared" si="163"/>
        <v>118.95294733592186</v>
      </c>
      <c r="N268" s="242">
        <f t="shared" si="163"/>
        <v>72.390757795494267</v>
      </c>
      <c r="O268" s="242">
        <f t="shared" si="163"/>
        <v>33.450018654161177</v>
      </c>
      <c r="P268" s="561">
        <f t="shared" si="145"/>
        <v>225.0580789851636</v>
      </c>
      <c r="Q268" s="556"/>
      <c r="R268" s="242">
        <f t="shared" si="164"/>
        <v>1.7632794919672609E-2</v>
      </c>
      <c r="S268" s="242">
        <f t="shared" si="164"/>
        <v>3.3140544409592632E-2</v>
      </c>
      <c r="T268" s="242">
        <f t="shared" si="164"/>
        <v>16.917642881678105</v>
      </c>
      <c r="U268" s="242">
        <f t="shared" si="164"/>
        <v>7.6707049304681592</v>
      </c>
      <c r="V268" s="242">
        <f t="shared" si="164"/>
        <v>1.6078633892715768</v>
      </c>
      <c r="W268" s="561">
        <f t="shared" si="165"/>
        <v>26.246984540747107</v>
      </c>
    </row>
    <row r="269" spans="2:23">
      <c r="B269" s="61" t="s">
        <v>673</v>
      </c>
      <c r="D269" s="211">
        <f>D$226</f>
        <v>0</v>
      </c>
      <c r="E269" s="211">
        <f t="shared" ref="E269:H269" si="166">E$226</f>
        <v>0</v>
      </c>
      <c r="F269" s="211">
        <f t="shared" si="166"/>
        <v>-615</v>
      </c>
      <c r="G269" s="211">
        <f t="shared" si="166"/>
        <v>-5010</v>
      </c>
      <c r="H269" s="211">
        <f t="shared" si="166"/>
        <v>0</v>
      </c>
      <c r="I269" s="592">
        <f t="shared" si="158"/>
        <v>-5625</v>
      </c>
      <c r="J269" s="560"/>
      <c r="K269" s="242">
        <f t="shared" si="163"/>
        <v>0</v>
      </c>
      <c r="L269" s="242">
        <f t="shared" si="163"/>
        <v>0</v>
      </c>
      <c r="M269" s="242">
        <f t="shared" si="163"/>
        <v>1.2089936157405072</v>
      </c>
      <c r="N269" s="242">
        <f t="shared" si="163"/>
        <v>7.1624641959360016</v>
      </c>
      <c r="O269" s="242">
        <f t="shared" si="163"/>
        <v>0</v>
      </c>
      <c r="P269" s="561">
        <f t="shared" si="145"/>
        <v>8.3714578116765086</v>
      </c>
      <c r="Q269" s="556"/>
      <c r="R269" s="242">
        <f t="shared" si="164"/>
        <v>0</v>
      </c>
      <c r="S269" s="242">
        <f t="shared" si="164"/>
        <v>0</v>
      </c>
      <c r="T269" s="242">
        <f t="shared" si="164"/>
        <v>7.9575901134658733E-2</v>
      </c>
      <c r="U269" s="242">
        <f t="shared" si="164"/>
        <v>1.071115540313794</v>
      </c>
      <c r="V269" s="242">
        <f t="shared" si="164"/>
        <v>0</v>
      </c>
      <c r="W269" s="561">
        <f t="shared" si="165"/>
        <v>1.1506914414484526</v>
      </c>
    </row>
    <row r="270" spans="2:23">
      <c r="B270" s="61" t="s">
        <v>691</v>
      </c>
      <c r="D270" s="211">
        <f>D$236</f>
        <v>0</v>
      </c>
      <c r="E270" s="211">
        <f t="shared" ref="E270:H270" si="167">E$236</f>
        <v>0</v>
      </c>
      <c r="F270" s="211">
        <f t="shared" si="167"/>
        <v>0</v>
      </c>
      <c r="G270" s="211">
        <f t="shared" si="167"/>
        <v>0</v>
      </c>
      <c r="H270" s="211">
        <f t="shared" si="167"/>
        <v>0</v>
      </c>
      <c r="I270" s="592">
        <f t="shared" si="158"/>
        <v>0</v>
      </c>
      <c r="J270" s="560"/>
      <c r="K270" s="242">
        <f t="shared" si="163"/>
        <v>0</v>
      </c>
      <c r="L270" s="242">
        <f t="shared" si="163"/>
        <v>11.296718721999987</v>
      </c>
      <c r="M270" s="242">
        <f t="shared" si="163"/>
        <v>0</v>
      </c>
      <c r="N270" s="242">
        <f t="shared" si="163"/>
        <v>0</v>
      </c>
      <c r="O270" s="242">
        <f t="shared" si="163"/>
        <v>7.770037812000005E-3</v>
      </c>
      <c r="P270" s="561">
        <f t="shared" si="145"/>
        <v>11.304488759811987</v>
      </c>
      <c r="Q270" s="556"/>
      <c r="R270" s="242">
        <f t="shared" si="164"/>
        <v>0</v>
      </c>
      <c r="S270" s="242">
        <f t="shared" si="164"/>
        <v>2.5558570962800009</v>
      </c>
      <c r="T270" s="242">
        <f t="shared" si="164"/>
        <v>0</v>
      </c>
      <c r="U270" s="242">
        <f t="shared" si="164"/>
        <v>0</v>
      </c>
      <c r="V270" s="242">
        <f t="shared" si="164"/>
        <v>4.467885139999999E-3</v>
      </c>
      <c r="W270" s="561">
        <f t="shared" si="165"/>
        <v>2.5603249814200009</v>
      </c>
    </row>
    <row r="271" spans="2:23">
      <c r="B271" s="61" t="s">
        <v>672</v>
      </c>
      <c r="D271" s="211">
        <f>D$246</f>
        <v>0</v>
      </c>
      <c r="E271" s="211">
        <f>E$246</f>
        <v>0</v>
      </c>
      <c r="F271" s="211">
        <f>F$246</f>
        <v>0</v>
      </c>
      <c r="G271" s="211">
        <f>G$246</f>
        <v>0</v>
      </c>
      <c r="H271" s="211">
        <f>H$246</f>
        <v>0</v>
      </c>
      <c r="I271" s="592">
        <f t="shared" si="158"/>
        <v>0</v>
      </c>
      <c r="J271" s="560"/>
      <c r="K271" s="242">
        <f t="shared" si="163"/>
        <v>0</v>
      </c>
      <c r="L271" s="242">
        <f t="shared" si="163"/>
        <v>0</v>
      </c>
      <c r="M271" s="242">
        <f t="shared" si="163"/>
        <v>0</v>
      </c>
      <c r="N271" s="242">
        <f t="shared" si="163"/>
        <v>0</v>
      </c>
      <c r="O271" s="242">
        <f t="shared" si="163"/>
        <v>0</v>
      </c>
      <c r="P271" s="561">
        <f t="shared" si="145"/>
        <v>0</v>
      </c>
      <c r="Q271" s="556"/>
      <c r="R271" s="242">
        <f t="shared" si="164"/>
        <v>0</v>
      </c>
      <c r="S271" s="242">
        <f t="shared" si="164"/>
        <v>0</v>
      </c>
      <c r="T271" s="242">
        <f t="shared" si="164"/>
        <v>0</v>
      </c>
      <c r="U271" s="242">
        <f t="shared" si="164"/>
        <v>0</v>
      </c>
      <c r="V271" s="242">
        <f t="shared" si="164"/>
        <v>0</v>
      </c>
      <c r="W271" s="561">
        <f t="shared" si="165"/>
        <v>0</v>
      </c>
    </row>
    <row r="272" spans="2:23">
      <c r="B272" s="38" t="s">
        <v>683</v>
      </c>
      <c r="D272" s="550">
        <f>SUM(D267:D271)</f>
        <v>0</v>
      </c>
      <c r="E272" s="550">
        <f t="shared" ref="E272:H272" si="168">SUM(E267:E271)</f>
        <v>0</v>
      </c>
      <c r="F272" s="550">
        <f t="shared" si="168"/>
        <v>-615</v>
      </c>
      <c r="G272" s="550">
        <f t="shared" si="168"/>
        <v>-5010</v>
      </c>
      <c r="H272" s="550">
        <f t="shared" si="168"/>
        <v>0</v>
      </c>
      <c r="I272" s="591">
        <f t="shared" si="158"/>
        <v>-5625</v>
      </c>
      <c r="J272" s="554"/>
      <c r="K272" s="551">
        <f>K255-K273</f>
        <v>2.5538225769479368</v>
      </c>
      <c r="L272" s="551">
        <f>L255-L273</f>
        <v>16.120347665997656</v>
      </c>
      <c r="M272" s="551">
        <f>M255-M273</f>
        <v>121.34746689185147</v>
      </c>
      <c r="N272" s="551">
        <f>N255-N273</f>
        <v>79.765747258721262</v>
      </c>
      <c r="O272" s="551">
        <f>O255-O273</f>
        <v>33.720337616486532</v>
      </c>
      <c r="P272" s="551">
        <f t="shared" si="145"/>
        <v>253.50772201000484</v>
      </c>
      <c r="Q272" s="554"/>
      <c r="R272" s="551">
        <f>R255-R273</f>
        <v>0.11166686025765671</v>
      </c>
      <c r="S272" s="551">
        <f>S255-S273</f>
        <v>2.7961137635228113</v>
      </c>
      <c r="T272" s="551">
        <f>T255-T273</f>
        <v>17.045928729666741</v>
      </c>
      <c r="U272" s="551">
        <f>U255-U273</f>
        <v>8.7547351830186173</v>
      </c>
      <c r="V272" s="551">
        <f>V255-V273</f>
        <v>1.6228751720356893</v>
      </c>
      <c r="W272" s="551">
        <f t="shared" si="165"/>
        <v>30.331319708501518</v>
      </c>
    </row>
    <row r="273" spans="1:23">
      <c r="B273" s="38" t="s">
        <v>676</v>
      </c>
      <c r="D273" s="550">
        <f>D255+D272</f>
        <v>222351.6538822767</v>
      </c>
      <c r="E273" s="550">
        <f t="shared" ref="E273:H273" si="169">E255+E272</f>
        <v>436972.92238569196</v>
      </c>
      <c r="F273" s="550">
        <f t="shared" si="169"/>
        <v>592268.25223140384</v>
      </c>
      <c r="G273" s="550">
        <f t="shared" si="169"/>
        <v>299038.44256774255</v>
      </c>
      <c r="H273" s="550">
        <f t="shared" si="169"/>
        <v>63034.099834710752</v>
      </c>
      <c r="I273" s="591">
        <f t="shared" si="158"/>
        <v>1613665.3709018258</v>
      </c>
      <c r="J273" s="210"/>
      <c r="K273" s="551">
        <f>D273*K274/mtonacft_mgl</f>
        <v>279.87843689967673</v>
      </c>
      <c r="L273" s="551">
        <f>E273*L274/mtonacft_mgl</f>
        <v>613.41444119437494</v>
      </c>
      <c r="M273" s="551">
        <f>F273*M274/mtonacft_mgl</f>
        <v>836.52003210814962</v>
      </c>
      <c r="N273" s="551">
        <f>G273*N274/mtonacft_mgl</f>
        <v>428.90177939729006</v>
      </c>
      <c r="O273" s="551">
        <f>H273*O274/mtonacft_mgl</f>
        <v>123.90739138351346</v>
      </c>
      <c r="P273" s="551">
        <f t="shared" si="145"/>
        <v>2282.6220809830047</v>
      </c>
      <c r="Q273" s="210"/>
      <c r="R273" s="551">
        <f>D273*R274/mtonacft_mgl</f>
        <v>29.5393937045421</v>
      </c>
      <c r="S273" s="551">
        <f>E273*S274/mtonacft_mgl</f>
        <v>90.866994772711692</v>
      </c>
      <c r="T273" s="551">
        <f>F273*T274/mtonacft_mgl</f>
        <v>91.007526370333295</v>
      </c>
      <c r="U273" s="551">
        <f>G273*U274/mtonacft_mgl</f>
        <v>40.809249591759809</v>
      </c>
      <c r="V273" s="551">
        <f>H273*V274/mtonacft_mgl</f>
        <v>8.1516220279643132</v>
      </c>
      <c r="W273" s="551">
        <f t="shared" si="147"/>
        <v>260.3747864673112</v>
      </c>
    </row>
    <row r="274" spans="1:23">
      <c r="B274" s="249" t="s">
        <v>677</v>
      </c>
      <c r="D274" s="211"/>
      <c r="E274" s="211"/>
      <c r="F274" s="211"/>
      <c r="G274" s="211"/>
      <c r="H274" s="211"/>
      <c r="I274" s="211"/>
      <c r="J274" s="210"/>
      <c r="K274" s="555">
        <f>MAX(K265,MIN(TNBase,K256))</f>
        <v>1.0204607768377447</v>
      </c>
      <c r="L274" s="555">
        <f>MAX(L265,MIN(TNBase,L256))</f>
        <v>1.1380640658978958</v>
      </c>
      <c r="M274" s="555">
        <f>MAX(M265,MIN(TNBase,M256))</f>
        <v>1.1450517976348811</v>
      </c>
      <c r="N274" s="555">
        <f>MAX(N265,MIN(TNBase,N256))</f>
        <v>1.1627813749016025</v>
      </c>
      <c r="O274" s="555">
        <f>MAX(O265,MIN(TNBase,O256))</f>
        <v>1.5936351477393291</v>
      </c>
      <c r="P274" s="555">
        <f>P273/I273*mtonacft_mgl</f>
        <v>1.1468002417718701</v>
      </c>
      <c r="Q274" s="556"/>
      <c r="R274" s="555">
        <f>MAX(R265,MIN(TPBase,R256))</f>
        <v>0.10770316206195675</v>
      </c>
      <c r="S274" s="555">
        <f>MAX(S265,MIN(TPBase,S256))</f>
        <v>0.16858498036922873</v>
      </c>
      <c r="T274" s="555">
        <f>MAX(T265,MIN(TPBase,T256))</f>
        <v>0.12457362366569293</v>
      </c>
      <c r="U274" s="555">
        <f>MAX(U265,MIN(TPBase,U256))</f>
        <v>0.1106366017312656</v>
      </c>
      <c r="V274" s="555">
        <f>MAX(V265,MIN(TPBase,V256))</f>
        <v>0.10484210207155213</v>
      </c>
      <c r="W274" s="555">
        <f>W273/I273*mtonacft_mgl</f>
        <v>0.13081353701065626</v>
      </c>
    </row>
    <row r="276" spans="1:23">
      <c r="K276" s="1228"/>
      <c r="L276" s="1228"/>
      <c r="M276" s="1228"/>
      <c r="N276" s="1228"/>
      <c r="O276" s="1228"/>
    </row>
    <row r="277" spans="1:23">
      <c r="K277" s="555"/>
      <c r="L277" s="555"/>
      <c r="M277" s="555"/>
      <c r="N277" s="555"/>
      <c r="O277" s="555"/>
    </row>
    <row r="278" spans="1:23">
      <c r="A278" s="779" t="s">
        <v>913</v>
      </c>
      <c r="B278" s="838" t="s">
        <v>976</v>
      </c>
    </row>
    <row r="279" spans="1:23">
      <c r="A279" s="567" t="s">
        <v>949</v>
      </c>
      <c r="B279" s="568"/>
      <c r="C279" s="569"/>
      <c r="D279" s="570"/>
      <c r="E279" s="570"/>
      <c r="F279" s="570"/>
      <c r="G279" s="570"/>
      <c r="H279" s="570"/>
      <c r="I279" s="570"/>
      <c r="J279" s="569"/>
      <c r="K279" s="571"/>
      <c r="L279" s="571"/>
      <c r="M279" s="571"/>
      <c r="N279" s="571"/>
      <c r="O279" s="571"/>
      <c r="P279" s="571"/>
      <c r="Q279" s="569"/>
      <c r="R279" s="569"/>
      <c r="S279" s="572"/>
      <c r="T279" s="572"/>
      <c r="U279" s="572"/>
      <c r="V279" s="572"/>
      <c r="W279" s="606" t="s">
        <v>950</v>
      </c>
    </row>
    <row r="281" spans="1:23">
      <c r="A281" s="353" t="s">
        <v>955</v>
      </c>
      <c r="B281" s="229"/>
      <c r="C281" s="230"/>
      <c r="D281" s="231"/>
      <c r="E281" s="231"/>
      <c r="F281" s="231"/>
      <c r="G281" s="231"/>
      <c r="H281" s="231"/>
      <c r="I281" s="231"/>
      <c r="J281" s="230"/>
      <c r="K281" s="232"/>
      <c r="L281" s="232"/>
      <c r="M281" s="232"/>
      <c r="N281" s="232"/>
      <c r="O281" s="232"/>
      <c r="P281" s="232"/>
      <c r="Q281" s="230"/>
      <c r="R281" s="230"/>
      <c r="S281" s="354"/>
      <c r="T281" s="354"/>
      <c r="U281" s="354"/>
      <c r="V281" s="354"/>
      <c r="W281" s="594"/>
    </row>
    <row r="282" spans="1:23">
      <c r="K282">
        <f>VLOOKUP($A285,bottbmp_near,K$25+2,FALSE)</f>
        <v>0.21249999999999999</v>
      </c>
      <c r="L282">
        <f>VLOOKUP($A285,bottbmp_near,L$25+2,FALSE)</f>
        <v>0.21249999999999999</v>
      </c>
      <c r="M282">
        <f>VLOOKUP($A285,bottbmp_near,M$25+2,FALSE)</f>
        <v>0.21249999999999999</v>
      </c>
      <c r="N282">
        <f>VLOOKUP($A285,bottbmp_near,N$25+2,FALSE)</f>
        <v>0.21249999999999999</v>
      </c>
      <c r="O282">
        <f>VLOOKUP($A285,bottbmp_near,O$25+2,FALSE)</f>
        <v>0.21249999999999999</v>
      </c>
    </row>
    <row r="283" spans="1:23">
      <c r="C283" s="99"/>
      <c r="D283" s="1440" t="s">
        <v>488</v>
      </c>
      <c r="E283" s="1440"/>
      <c r="F283" s="1440"/>
      <c r="G283" s="1440"/>
      <c r="H283" s="1440"/>
      <c r="I283" s="1440"/>
      <c r="K283" s="1441" t="s">
        <v>951</v>
      </c>
      <c r="L283" s="1441"/>
      <c r="M283" s="1441"/>
      <c r="N283" s="1441"/>
      <c r="O283" s="1441"/>
      <c r="P283" s="1441"/>
      <c r="R283" s="1442" t="s">
        <v>952</v>
      </c>
      <c r="S283" s="1442"/>
      <c r="T283" s="1442"/>
      <c r="U283" s="1442"/>
      <c r="V283" s="1442"/>
      <c r="W283" s="1442"/>
    </row>
    <row r="284" spans="1:23" ht="30">
      <c r="A284" s="521" t="s">
        <v>630</v>
      </c>
      <c r="B284" s="544" t="s">
        <v>214</v>
      </c>
      <c r="D284" s="363"/>
      <c r="E284" s="363"/>
      <c r="F284" s="363"/>
      <c r="G284" s="363"/>
      <c r="H284" s="363"/>
      <c r="I284" s="364"/>
      <c r="K284" s="351" t="str">
        <f t="shared" ref="K284:W284" si="170">VLOOKUP(K$24,subwatgeog,2,FALSE)</f>
        <v>Coastal</v>
      </c>
      <c r="L284" s="351" t="str">
        <f t="shared" si="170"/>
        <v>Tidal Cal.</v>
      </c>
      <c r="M284" s="351" t="str">
        <f t="shared" si="170"/>
        <v>West Cal.</v>
      </c>
      <c r="N284" s="351" t="str">
        <f t="shared" si="170"/>
        <v>East Cal.</v>
      </c>
      <c r="O284" s="351" t="str">
        <f t="shared" si="170"/>
        <v>S-4</v>
      </c>
      <c r="P284" s="355" t="str">
        <f t="shared" si="170"/>
        <v>Total CRWPP</v>
      </c>
      <c r="R284" s="352" t="str">
        <f t="shared" si="170"/>
        <v>Coastal</v>
      </c>
      <c r="S284" s="352" t="str">
        <f t="shared" si="170"/>
        <v>Tidal Cal.</v>
      </c>
      <c r="T284" s="352" t="str">
        <f t="shared" si="170"/>
        <v>West Cal.</v>
      </c>
      <c r="U284" s="352" t="str">
        <f t="shared" si="170"/>
        <v>East Cal.</v>
      </c>
      <c r="V284" s="352" t="str">
        <f t="shared" si="170"/>
        <v>S-4</v>
      </c>
      <c r="W284" s="356" t="str">
        <f t="shared" si="170"/>
        <v>Total CRWPP</v>
      </c>
    </row>
    <row r="285" spans="1:23">
      <c r="A285" s="777">
        <v>1</v>
      </c>
      <c r="B285" t="str">
        <f t="shared" ref="B285:B304" si="171">VLOOKUP($A285,bott_bmpeff,2,FALSE)</f>
        <v>Residential Low Density</v>
      </c>
      <c r="K285" s="199">
        <f t="shared" ref="K285:O294" si="172">K117*VLOOKUP($A285,bott_bmpeff,$K$616,FALSE)*VLOOKUP($A285,bottbmp_near,K$25+2,FALSE)</f>
        <v>2.3346621523912181</v>
      </c>
      <c r="L285" s="199">
        <f t="shared" si="172"/>
        <v>2.4891121587625697</v>
      </c>
      <c r="M285" s="199">
        <f t="shared" si="172"/>
        <v>1.2223920993952817</v>
      </c>
      <c r="N285" s="199">
        <f t="shared" si="172"/>
        <v>0.19603817346118846</v>
      </c>
      <c r="O285" s="199">
        <f t="shared" si="172"/>
        <v>4.6398646895320354E-2</v>
      </c>
      <c r="P285" s="199">
        <f>SUM(K285:O285)</f>
        <v>6.2886032309055775</v>
      </c>
      <c r="R285" s="199">
        <f t="shared" ref="R285:R304" si="173">R117*VLOOKUP($A285,bott_bmpeff,$K$616,FALSE)*VLOOKUP($A285,bottbmp_near,K$25+2,FALSE)</f>
        <v>0.23925825559147415</v>
      </c>
      <c r="S285" s="199">
        <f t="shared" ref="S285:S304" si="174">S117*VLOOKUP($A285,bott_bmpeff,$K$616,FALSE)*VLOOKUP($A285,bottbmp_near,L$25+2,FALSE)</f>
        <v>0.25508642972906964</v>
      </c>
      <c r="T285" s="199">
        <f t="shared" ref="T285:T304" si="175">T117*VLOOKUP($A285,bott_bmpeff,$K$616,FALSE)*VLOOKUP($A285,bottbmp_near,M$25+2,FALSE)</f>
        <v>0.1252367386244401</v>
      </c>
      <c r="U285" s="199">
        <f t="shared" ref="U285:U304" si="176">U117*VLOOKUP($A285,bott_bmpeff,$K$616,FALSE)*VLOOKUP($A285,bottbmp_near,N$25+2,FALSE)</f>
        <v>2.0090166520934438E-2</v>
      </c>
      <c r="V285" s="199">
        <f t="shared" ref="V285:V304" si="177">V117*VLOOKUP($A285,bott_bmpeff,$K$616,FALSE)*VLOOKUP($A285,bottbmp_near,O$25+2,FALSE)</f>
        <v>3.569479775098805E-3</v>
      </c>
      <c r="W285" s="199">
        <f>SUM(R285:V285)</f>
        <v>0.64324107024101707</v>
      </c>
    </row>
    <row r="286" spans="1:23">
      <c r="A286" s="777">
        <v>2</v>
      </c>
      <c r="B286" t="str">
        <f t="shared" si="171"/>
        <v>Residential Medium Density</v>
      </c>
      <c r="K286" s="199">
        <f t="shared" si="172"/>
        <v>0.59682148067161234</v>
      </c>
      <c r="L286" s="199">
        <f t="shared" si="172"/>
        <v>4.1146954020574293</v>
      </c>
      <c r="M286" s="199">
        <f t="shared" si="172"/>
        <v>0.28084532334882933</v>
      </c>
      <c r="N286" s="199">
        <f t="shared" si="172"/>
        <v>4.8453848418901595E-2</v>
      </c>
      <c r="O286" s="199">
        <f t="shared" si="172"/>
        <v>0.24720009514178104</v>
      </c>
      <c r="P286" s="199">
        <f t="shared" ref="P286:P304" si="178">SUM(K286:O286)</f>
        <v>5.2880161496385538</v>
      </c>
      <c r="R286" s="199">
        <f t="shared" si="173"/>
        <v>0.12014120761436875</v>
      </c>
      <c r="S286" s="199">
        <f t="shared" si="174"/>
        <v>0.82829537906741679</v>
      </c>
      <c r="T286" s="199">
        <f t="shared" si="175"/>
        <v>5.6518817852376051E-2</v>
      </c>
      <c r="U286" s="199">
        <f t="shared" si="176"/>
        <v>9.7538444093191942E-3</v>
      </c>
      <c r="V286" s="199">
        <f t="shared" si="177"/>
        <v>3.7355357897535468E-2</v>
      </c>
      <c r="W286" s="199">
        <f t="shared" ref="W286:W304" si="179">SUM(R286:V286)</f>
        <v>1.0520646068410162</v>
      </c>
    </row>
    <row r="287" spans="1:23">
      <c r="A287" s="777">
        <v>3</v>
      </c>
      <c r="B287" t="str">
        <f t="shared" si="171"/>
        <v>Residential High Density</v>
      </c>
      <c r="K287" s="199">
        <f t="shared" si="172"/>
        <v>0.35949670871284523</v>
      </c>
      <c r="L287" s="199">
        <f t="shared" si="172"/>
        <v>1.2749038932602672</v>
      </c>
      <c r="M287" s="199">
        <f t="shared" si="172"/>
        <v>5.8493480291237236E-2</v>
      </c>
      <c r="N287" s="199">
        <f t="shared" si="172"/>
        <v>6.9355697632992007E-3</v>
      </c>
      <c r="O287" s="199">
        <f t="shared" si="172"/>
        <v>1.1776188496849834E-2</v>
      </c>
      <c r="P287" s="199">
        <f t="shared" si="178"/>
        <v>1.7116058405244987</v>
      </c>
      <c r="R287" s="199">
        <f t="shared" si="173"/>
        <v>0.10338188007372803</v>
      </c>
      <c r="S287" s="199">
        <f t="shared" si="174"/>
        <v>0.36662911844303192</v>
      </c>
      <c r="T287" s="199">
        <f t="shared" si="175"/>
        <v>1.6816487751595804E-2</v>
      </c>
      <c r="U287" s="199">
        <f t="shared" si="176"/>
        <v>1.9944890290639612E-3</v>
      </c>
      <c r="V287" s="199">
        <f t="shared" si="177"/>
        <v>2.5422073893872441E-3</v>
      </c>
      <c r="W287" s="199">
        <f t="shared" si="179"/>
        <v>0.49136418268680704</v>
      </c>
    </row>
    <row r="288" spans="1:23">
      <c r="A288" s="777">
        <v>4</v>
      </c>
      <c r="B288" t="str">
        <f t="shared" si="171"/>
        <v>Other Urban</v>
      </c>
      <c r="K288" s="199">
        <f t="shared" si="172"/>
        <v>0.18313316850922878</v>
      </c>
      <c r="L288" s="199">
        <f t="shared" si="172"/>
        <v>0.76669019764419855</v>
      </c>
      <c r="M288" s="199">
        <f t="shared" si="172"/>
        <v>0.10091065140512519</v>
      </c>
      <c r="N288" s="199">
        <f t="shared" si="172"/>
        <v>4.5161991549469184E-2</v>
      </c>
      <c r="O288" s="199">
        <f t="shared" si="172"/>
        <v>0.12742559733122927</v>
      </c>
      <c r="P288" s="199">
        <f t="shared" si="178"/>
        <v>1.2233216064392509</v>
      </c>
      <c r="R288" s="199">
        <f t="shared" si="173"/>
        <v>3.3304206804277425E-2</v>
      </c>
      <c r="S288" s="199">
        <f t="shared" si="174"/>
        <v>0.14291012216992627</v>
      </c>
      <c r="T288" s="199">
        <f t="shared" si="175"/>
        <v>2.0842987500632279E-2</v>
      </c>
      <c r="U288" s="199">
        <f t="shared" si="176"/>
        <v>8.368083582384115E-3</v>
      </c>
      <c r="V288" s="199">
        <f t="shared" si="177"/>
        <v>2.3117413236071013E-2</v>
      </c>
      <c r="W288" s="199">
        <f t="shared" si="179"/>
        <v>0.22854281329329112</v>
      </c>
    </row>
    <row r="289" spans="1:23">
      <c r="A289" s="777">
        <v>5</v>
      </c>
      <c r="B289" t="str">
        <f t="shared" si="171"/>
        <v>Improved Pasture</v>
      </c>
      <c r="K289" s="199">
        <f t="shared" si="172"/>
        <v>0.68719663637173212</v>
      </c>
      <c r="L289" s="199">
        <f t="shared" si="172"/>
        <v>5.7634433540383982</v>
      </c>
      <c r="M289" s="199">
        <f t="shared" si="172"/>
        <v>12.060871259065243</v>
      </c>
      <c r="N289" s="199">
        <f t="shared" si="172"/>
        <v>6.5967494052143651</v>
      </c>
      <c r="O289" s="199">
        <f t="shared" si="172"/>
        <v>3.0475762182713157E-2</v>
      </c>
      <c r="P289" s="199">
        <f t="shared" si="178"/>
        <v>25.138736416872451</v>
      </c>
      <c r="R289" s="199">
        <f t="shared" si="173"/>
        <v>9.9700096922308468E-2</v>
      </c>
      <c r="S289" s="199">
        <f t="shared" si="174"/>
        <v>0.83617385561973323</v>
      </c>
      <c r="T289" s="199">
        <f t="shared" si="175"/>
        <v>1.7493292709510915</v>
      </c>
      <c r="U289" s="199">
        <f t="shared" si="176"/>
        <v>0.95707184852441385</v>
      </c>
      <c r="V289" s="199">
        <f t="shared" si="177"/>
        <v>3.3191421481036077E-3</v>
      </c>
      <c r="W289" s="199">
        <f t="shared" si="179"/>
        <v>3.6455942141656505</v>
      </c>
    </row>
    <row r="290" spans="1:23">
      <c r="A290" s="777">
        <v>6</v>
      </c>
      <c r="B290" t="str">
        <f t="shared" si="171"/>
        <v>Unimproved Pasture</v>
      </c>
      <c r="K290" s="199">
        <f t="shared" si="172"/>
        <v>3.9581582840343688E-2</v>
      </c>
      <c r="L290" s="199">
        <f t="shared" si="172"/>
        <v>0.41250378654394537</v>
      </c>
      <c r="M290" s="199">
        <f t="shared" si="172"/>
        <v>0.88571925380674821</v>
      </c>
      <c r="N290" s="199">
        <f t="shared" si="172"/>
        <v>0.33063205888114261</v>
      </c>
      <c r="O290" s="199">
        <f t="shared" si="172"/>
        <v>0</v>
      </c>
      <c r="P290" s="199">
        <f t="shared" si="178"/>
        <v>1.6684366820721799</v>
      </c>
      <c r="R290" s="199">
        <f t="shared" si="173"/>
        <v>5.9603596064480135E-3</v>
      </c>
      <c r="S290" s="199">
        <f t="shared" si="174"/>
        <v>6.211653830875543E-2</v>
      </c>
      <c r="T290" s="199">
        <f t="shared" si="175"/>
        <v>0.13333793254297333</v>
      </c>
      <c r="U290" s="199">
        <f t="shared" si="176"/>
        <v>4.9787952551085798E-2</v>
      </c>
      <c r="V290" s="199">
        <f t="shared" si="177"/>
        <v>0</v>
      </c>
      <c r="W290" s="199">
        <f t="shared" si="179"/>
        <v>0.25120278300926258</v>
      </c>
    </row>
    <row r="291" spans="1:23">
      <c r="A291" s="777">
        <v>7</v>
      </c>
      <c r="B291" t="str">
        <f t="shared" si="171"/>
        <v>Rangeland, Woodland Pasture</v>
      </c>
      <c r="K291" s="199">
        <f t="shared" si="172"/>
        <v>0.27243791128604566</v>
      </c>
      <c r="L291" s="199">
        <f t="shared" si="172"/>
        <v>0.54181864665787649</v>
      </c>
      <c r="M291" s="199">
        <f t="shared" si="172"/>
        <v>0.59399744755614448</v>
      </c>
      <c r="N291" s="199">
        <f t="shared" si="172"/>
        <v>0.17141969296407594</v>
      </c>
      <c r="O291" s="199">
        <f t="shared" si="172"/>
        <v>9.2283149721708851E-4</v>
      </c>
      <c r="P291" s="199">
        <f t="shared" si="178"/>
        <v>1.5805965299613596</v>
      </c>
      <c r="R291" s="199">
        <f t="shared" si="173"/>
        <v>1.4155463172135464E-2</v>
      </c>
      <c r="S291" s="199">
        <f t="shared" si="174"/>
        <v>3.8732482644866721E-2</v>
      </c>
      <c r="T291" s="199">
        <f t="shared" si="175"/>
        <v>5.2207769520582169E-2</v>
      </c>
      <c r="U291" s="199">
        <f t="shared" si="176"/>
        <v>1.9560838459464179E-2</v>
      </c>
      <c r="V291" s="199">
        <f t="shared" si="177"/>
        <v>3.4984629332457203E-5</v>
      </c>
      <c r="W291" s="199">
        <f t="shared" si="179"/>
        <v>0.124691538426381</v>
      </c>
    </row>
    <row r="292" spans="1:23">
      <c r="A292" s="777">
        <v>8</v>
      </c>
      <c r="B292" t="str">
        <f t="shared" si="171"/>
        <v>Row Crops</v>
      </c>
      <c r="K292" s="199">
        <f t="shared" si="172"/>
        <v>0.36629870608242693</v>
      </c>
      <c r="L292" s="199">
        <f t="shared" si="172"/>
        <v>1.1801653002481409</v>
      </c>
      <c r="M292" s="199">
        <f t="shared" si="172"/>
        <v>3.3106215949375888</v>
      </c>
      <c r="N292" s="199">
        <f t="shared" si="172"/>
        <v>0.46182807295587824</v>
      </c>
      <c r="O292" s="199">
        <f t="shared" si="172"/>
        <v>0</v>
      </c>
      <c r="P292" s="199">
        <f t="shared" si="178"/>
        <v>5.318913674224035</v>
      </c>
      <c r="R292" s="199">
        <f t="shared" si="173"/>
        <v>7.0225304776709366E-2</v>
      </c>
      <c r="S292" s="199">
        <f t="shared" si="174"/>
        <v>0.22625651284220694</v>
      </c>
      <c r="T292" s="199">
        <f t="shared" si="175"/>
        <v>0.6345211719806747</v>
      </c>
      <c r="U292" s="199">
        <f t="shared" si="176"/>
        <v>8.8539808192685393E-2</v>
      </c>
      <c r="V292" s="199">
        <f t="shared" si="177"/>
        <v>0</v>
      </c>
      <c r="W292" s="199">
        <f t="shared" si="179"/>
        <v>1.0195427977922764</v>
      </c>
    </row>
    <row r="293" spans="1:23">
      <c r="A293" s="777">
        <v>9</v>
      </c>
      <c r="B293" t="str">
        <f t="shared" si="171"/>
        <v>Sugar Cane</v>
      </c>
      <c r="K293" s="199">
        <f t="shared" si="172"/>
        <v>0</v>
      </c>
      <c r="L293" s="199">
        <f t="shared" si="172"/>
        <v>0</v>
      </c>
      <c r="M293" s="199">
        <f t="shared" si="172"/>
        <v>0.18946565011420416</v>
      </c>
      <c r="N293" s="199">
        <f t="shared" si="172"/>
        <v>4.4001855515301402</v>
      </c>
      <c r="O293" s="199">
        <f t="shared" si="172"/>
        <v>0.53633969815999905</v>
      </c>
      <c r="P293" s="199">
        <f t="shared" si="178"/>
        <v>5.1259908998043437</v>
      </c>
      <c r="R293" s="199">
        <f t="shared" si="173"/>
        <v>0</v>
      </c>
      <c r="S293" s="199">
        <f t="shared" si="174"/>
        <v>0</v>
      </c>
      <c r="T293" s="199">
        <f t="shared" si="175"/>
        <v>1.0894023636924743E-2</v>
      </c>
      <c r="U293" s="199">
        <f t="shared" si="176"/>
        <v>0.25307572724055133</v>
      </c>
      <c r="V293" s="199">
        <f t="shared" si="177"/>
        <v>2.3156673218143718E-2</v>
      </c>
      <c r="W293" s="199">
        <f t="shared" si="179"/>
        <v>0.28712642409561984</v>
      </c>
    </row>
    <row r="294" spans="1:23">
      <c r="A294" s="777">
        <v>10</v>
      </c>
      <c r="B294" t="str">
        <f t="shared" si="171"/>
        <v>Citrus</v>
      </c>
      <c r="K294" s="199">
        <f t="shared" si="172"/>
        <v>2.2637434371279498E-2</v>
      </c>
      <c r="L294" s="199">
        <f t="shared" si="172"/>
        <v>9.9677545081954519E-2</v>
      </c>
      <c r="M294" s="199">
        <f t="shared" si="172"/>
        <v>6.7495278193205124</v>
      </c>
      <c r="N294" s="199">
        <f t="shared" si="172"/>
        <v>2.1473884558220262</v>
      </c>
      <c r="O294" s="199">
        <f t="shared" si="172"/>
        <v>1.1317321892370677E-3</v>
      </c>
      <c r="P294" s="199">
        <f t="shared" si="178"/>
        <v>9.0203629867850097</v>
      </c>
      <c r="R294" s="199">
        <f t="shared" si="173"/>
        <v>1.991274506646113E-3</v>
      </c>
      <c r="S294" s="199">
        <f t="shared" si="174"/>
        <v>8.7680145705286462E-3</v>
      </c>
      <c r="T294" s="199">
        <f t="shared" si="175"/>
        <v>0.59354772829095392</v>
      </c>
      <c r="U294" s="199">
        <f t="shared" si="176"/>
        <v>0.18889242560851546</v>
      </c>
      <c r="V294" s="199">
        <f t="shared" si="177"/>
        <v>7.4731606581958084E-5</v>
      </c>
      <c r="W294" s="199">
        <f t="shared" si="179"/>
        <v>0.79327417458322613</v>
      </c>
    </row>
    <row r="295" spans="1:23">
      <c r="A295" s="777">
        <v>11</v>
      </c>
      <c r="B295" t="str">
        <f t="shared" si="171"/>
        <v>Sod</v>
      </c>
      <c r="K295" s="199">
        <f t="shared" ref="K295:O304" si="180">K127*VLOOKUP($A295,bott_bmpeff,$K$616,FALSE)*VLOOKUP($A295,bottbmp_near,K$25+2,FALSE)</f>
        <v>0</v>
      </c>
      <c r="L295" s="199">
        <f t="shared" si="180"/>
        <v>0.36092655809473601</v>
      </c>
      <c r="M295" s="199">
        <f t="shared" si="180"/>
        <v>0.69282808843432397</v>
      </c>
      <c r="N295" s="199">
        <f t="shared" si="180"/>
        <v>4.9452142827675988E-2</v>
      </c>
      <c r="O295" s="199">
        <f t="shared" si="180"/>
        <v>0</v>
      </c>
      <c r="P295" s="199">
        <f t="shared" si="178"/>
        <v>1.1032067893567359</v>
      </c>
      <c r="R295" s="199">
        <f t="shared" si="173"/>
        <v>0</v>
      </c>
      <c r="S295" s="199">
        <f t="shared" si="174"/>
        <v>9.3183109466196373E-2</v>
      </c>
      <c r="T295" s="199">
        <f t="shared" si="175"/>
        <v>0.17882250360072457</v>
      </c>
      <c r="U295" s="199">
        <f t="shared" si="176"/>
        <v>1.2767429647667474E-2</v>
      </c>
      <c r="V295" s="199">
        <f t="shared" si="177"/>
        <v>0</v>
      </c>
      <c r="W295" s="199">
        <f t="shared" si="179"/>
        <v>0.28477304271458842</v>
      </c>
    </row>
    <row r="296" spans="1:23">
      <c r="A296" s="777">
        <v>12</v>
      </c>
      <c r="B296" t="str">
        <f t="shared" si="171"/>
        <v>Ornamentals</v>
      </c>
      <c r="K296" s="199">
        <f t="shared" si="180"/>
        <v>7.2516723765089552E-2</v>
      </c>
      <c r="L296" s="199">
        <f t="shared" si="180"/>
        <v>0.12581243551270641</v>
      </c>
      <c r="M296" s="199">
        <f t="shared" si="180"/>
        <v>0.12738621820435339</v>
      </c>
      <c r="N296" s="199">
        <f t="shared" si="180"/>
        <v>4.5698051421938944E-3</v>
      </c>
      <c r="O296" s="199">
        <f t="shared" si="180"/>
        <v>0</v>
      </c>
      <c r="P296" s="199">
        <f t="shared" si="178"/>
        <v>0.33028518262434325</v>
      </c>
      <c r="R296" s="199">
        <f t="shared" si="173"/>
        <v>2.0158788354184269E-2</v>
      </c>
      <c r="S296" s="199">
        <f t="shared" si="174"/>
        <v>3.4974363541863104E-2</v>
      </c>
      <c r="T296" s="199">
        <f t="shared" si="175"/>
        <v>3.5401936681491164E-2</v>
      </c>
      <c r="U296" s="199">
        <f t="shared" si="176"/>
        <v>1.2703515809645309E-3</v>
      </c>
      <c r="V296" s="199">
        <f t="shared" si="177"/>
        <v>0</v>
      </c>
      <c r="W296" s="199">
        <f t="shared" si="179"/>
        <v>9.180544015850306E-2</v>
      </c>
    </row>
    <row r="297" spans="1:23">
      <c r="A297" s="777">
        <v>13</v>
      </c>
      <c r="B297" t="str">
        <f t="shared" si="171"/>
        <v>Horse Farms</v>
      </c>
      <c r="K297" s="199">
        <f t="shared" si="180"/>
        <v>0</v>
      </c>
      <c r="L297" s="199">
        <f t="shared" si="180"/>
        <v>1.6280537248465465E-2</v>
      </c>
      <c r="M297" s="199">
        <f t="shared" si="180"/>
        <v>2.1173609917785958E-2</v>
      </c>
      <c r="N297" s="199">
        <f t="shared" si="180"/>
        <v>6.3735443411432863E-2</v>
      </c>
      <c r="O297" s="199">
        <f t="shared" si="180"/>
        <v>0</v>
      </c>
      <c r="P297" s="199">
        <f t="shared" si="178"/>
        <v>0.10118959057768429</v>
      </c>
      <c r="R297" s="199">
        <f t="shared" si="173"/>
        <v>0</v>
      </c>
      <c r="S297" s="199">
        <f t="shared" si="174"/>
        <v>2.1302453997402715E-3</v>
      </c>
      <c r="T297" s="199">
        <f t="shared" si="175"/>
        <v>2.7697089706465909E-3</v>
      </c>
      <c r="U297" s="199">
        <f t="shared" si="176"/>
        <v>8.3395365309832468E-3</v>
      </c>
      <c r="V297" s="199">
        <f t="shared" si="177"/>
        <v>0</v>
      </c>
      <c r="W297" s="199">
        <f t="shared" si="179"/>
        <v>1.323949090137011E-2</v>
      </c>
    </row>
    <row r="298" spans="1:23">
      <c r="A298" s="777">
        <v>14</v>
      </c>
      <c r="B298" t="str">
        <f t="shared" si="171"/>
        <v>Dairies</v>
      </c>
      <c r="K298" s="199">
        <f t="shared" si="180"/>
        <v>0</v>
      </c>
      <c r="L298" s="199">
        <f t="shared" si="180"/>
        <v>2.1172848495058353E-2</v>
      </c>
      <c r="M298" s="199">
        <f t="shared" si="180"/>
        <v>0</v>
      </c>
      <c r="N298" s="199">
        <f t="shared" si="180"/>
        <v>6.8628749523662273E-3</v>
      </c>
      <c r="O298" s="199">
        <f t="shared" si="180"/>
        <v>0</v>
      </c>
      <c r="P298" s="199">
        <f t="shared" si="178"/>
        <v>2.8035723447424582E-2</v>
      </c>
      <c r="R298" s="199">
        <f t="shared" si="173"/>
        <v>0</v>
      </c>
      <c r="S298" s="199">
        <f t="shared" si="174"/>
        <v>1.1422512214270973E-2</v>
      </c>
      <c r="T298" s="199">
        <f t="shared" si="175"/>
        <v>0</v>
      </c>
      <c r="U298" s="199">
        <f t="shared" si="176"/>
        <v>3.7024433904920121E-3</v>
      </c>
      <c r="V298" s="199">
        <f t="shared" si="177"/>
        <v>0</v>
      </c>
      <c r="W298" s="199">
        <f t="shared" si="179"/>
        <v>1.5124955604762985E-2</v>
      </c>
    </row>
    <row r="299" spans="1:23">
      <c r="A299" s="777">
        <v>15</v>
      </c>
      <c r="B299" t="str">
        <f t="shared" si="171"/>
        <v>Other Agriculture</v>
      </c>
      <c r="K299" s="199">
        <f t="shared" si="180"/>
        <v>0.41085690281418502</v>
      </c>
      <c r="L299" s="199">
        <f t="shared" si="180"/>
        <v>0.7191435787958258</v>
      </c>
      <c r="M299" s="199">
        <f t="shared" si="180"/>
        <v>0.34670705865952345</v>
      </c>
      <c r="N299" s="199">
        <f t="shared" si="180"/>
        <v>9.4209168186585548E-2</v>
      </c>
      <c r="O299" s="199">
        <f t="shared" si="180"/>
        <v>1.1026932154153323E-2</v>
      </c>
      <c r="P299" s="199">
        <f t="shared" si="178"/>
        <v>1.5819436406102731</v>
      </c>
      <c r="R299" s="199">
        <f t="shared" si="173"/>
        <v>0.11814118209485815</v>
      </c>
      <c r="S299" s="199">
        <f t="shared" si="174"/>
        <v>0.29180487850888076</v>
      </c>
      <c r="T299" s="199">
        <f t="shared" si="175"/>
        <v>0.10678685648441678</v>
      </c>
      <c r="U299" s="199">
        <f t="shared" si="176"/>
        <v>3.4519240299053754E-2</v>
      </c>
      <c r="V299" s="199">
        <f t="shared" si="177"/>
        <v>2.4334206984515179E-3</v>
      </c>
      <c r="W299" s="199">
        <f t="shared" si="179"/>
        <v>0.55368557808566099</v>
      </c>
    </row>
    <row r="300" spans="1:23">
      <c r="A300" s="777">
        <v>16</v>
      </c>
      <c r="B300" t="str">
        <f t="shared" si="171"/>
        <v>Tree Plantations</v>
      </c>
      <c r="K300" s="199">
        <f t="shared" si="180"/>
        <v>0</v>
      </c>
      <c r="L300" s="199">
        <f t="shared" si="180"/>
        <v>0</v>
      </c>
      <c r="M300" s="199">
        <f t="shared" si="180"/>
        <v>3.8399216125697603E-4</v>
      </c>
      <c r="N300" s="199">
        <f t="shared" si="180"/>
        <v>0</v>
      </c>
      <c r="O300" s="199">
        <f t="shared" si="180"/>
        <v>0</v>
      </c>
      <c r="P300" s="199">
        <f t="shared" si="178"/>
        <v>3.8399216125697603E-4</v>
      </c>
      <c r="R300" s="199">
        <f t="shared" si="173"/>
        <v>0</v>
      </c>
      <c r="S300" s="199">
        <f t="shared" si="174"/>
        <v>0</v>
      </c>
      <c r="T300" s="199">
        <f t="shared" si="175"/>
        <v>2.1366812972843306E-5</v>
      </c>
      <c r="U300" s="199">
        <f t="shared" si="176"/>
        <v>0</v>
      </c>
      <c r="V300" s="199">
        <f t="shared" si="177"/>
        <v>0</v>
      </c>
      <c r="W300" s="199">
        <f t="shared" si="179"/>
        <v>2.1366812972843306E-5</v>
      </c>
    </row>
    <row r="301" spans="1:23">
      <c r="A301" s="777">
        <v>17</v>
      </c>
      <c r="B301" t="str">
        <f t="shared" si="171"/>
        <v>Water</v>
      </c>
      <c r="K301" s="199">
        <f t="shared" si="180"/>
        <v>0</v>
      </c>
      <c r="L301" s="199">
        <f t="shared" si="180"/>
        <v>0</v>
      </c>
      <c r="M301" s="199">
        <f t="shared" si="180"/>
        <v>0</v>
      </c>
      <c r="N301" s="199">
        <f t="shared" si="180"/>
        <v>0</v>
      </c>
      <c r="O301" s="199">
        <f t="shared" si="180"/>
        <v>0</v>
      </c>
      <c r="P301" s="199">
        <f t="shared" si="178"/>
        <v>0</v>
      </c>
      <c r="R301" s="199">
        <f t="shared" si="173"/>
        <v>0</v>
      </c>
      <c r="S301" s="199">
        <f t="shared" si="174"/>
        <v>0</v>
      </c>
      <c r="T301" s="199">
        <f t="shared" si="175"/>
        <v>0</v>
      </c>
      <c r="U301" s="199">
        <f t="shared" si="176"/>
        <v>0</v>
      </c>
      <c r="V301" s="199">
        <f t="shared" si="177"/>
        <v>0</v>
      </c>
      <c r="W301" s="199">
        <f t="shared" si="179"/>
        <v>0</v>
      </c>
    </row>
    <row r="302" spans="1:23">
      <c r="A302" s="777">
        <v>18</v>
      </c>
      <c r="B302" t="str">
        <f t="shared" si="171"/>
        <v>Natural Areas</v>
      </c>
      <c r="K302" s="199">
        <f t="shared" si="180"/>
        <v>0</v>
      </c>
      <c r="L302" s="199">
        <f t="shared" si="180"/>
        <v>0</v>
      </c>
      <c r="M302" s="199">
        <f t="shared" si="180"/>
        <v>0</v>
      </c>
      <c r="N302" s="199">
        <f t="shared" si="180"/>
        <v>0</v>
      </c>
      <c r="O302" s="199">
        <f t="shared" si="180"/>
        <v>0</v>
      </c>
      <c r="P302" s="199">
        <f t="shared" si="178"/>
        <v>0</v>
      </c>
      <c r="R302" s="199">
        <f t="shared" si="173"/>
        <v>0</v>
      </c>
      <c r="S302" s="199">
        <f t="shared" si="174"/>
        <v>0</v>
      </c>
      <c r="T302" s="199">
        <f t="shared" si="175"/>
        <v>0</v>
      </c>
      <c r="U302" s="199">
        <f t="shared" si="176"/>
        <v>0</v>
      </c>
      <c r="V302" s="199">
        <f t="shared" si="177"/>
        <v>0</v>
      </c>
      <c r="W302" s="199">
        <f t="shared" si="179"/>
        <v>0</v>
      </c>
    </row>
    <row r="303" spans="1:23">
      <c r="A303" s="777">
        <v>19</v>
      </c>
      <c r="B303" t="str">
        <f t="shared" si="171"/>
        <v>Transportation</v>
      </c>
      <c r="K303" s="199">
        <f t="shared" si="180"/>
        <v>4.1680550761189546E-2</v>
      </c>
      <c r="L303" s="199">
        <f t="shared" si="180"/>
        <v>0.22352022503348198</v>
      </c>
      <c r="M303" s="199">
        <f t="shared" si="180"/>
        <v>5.2812728249195896E-2</v>
      </c>
      <c r="N303" s="199">
        <f t="shared" si="180"/>
        <v>4.8281025939699976E-2</v>
      </c>
      <c r="O303" s="199">
        <f t="shared" si="180"/>
        <v>2.7828305115863324E-2</v>
      </c>
      <c r="P303" s="199">
        <f t="shared" si="178"/>
        <v>0.39412283509943075</v>
      </c>
      <c r="R303" s="199">
        <f t="shared" si="173"/>
        <v>8.5988240891197963E-3</v>
      </c>
      <c r="S303" s="199">
        <f t="shared" si="174"/>
        <v>4.6112900629255729E-2</v>
      </c>
      <c r="T303" s="199">
        <f t="shared" si="175"/>
        <v>1.0892373994799717E-2</v>
      </c>
      <c r="U303" s="199">
        <f t="shared" si="176"/>
        <v>9.9605221456018338E-3</v>
      </c>
      <c r="V303" s="199">
        <f t="shared" si="177"/>
        <v>4.3097203721797718E-3</v>
      </c>
      <c r="W303" s="199">
        <f t="shared" si="179"/>
        <v>7.9874341230956852E-2</v>
      </c>
    </row>
    <row r="304" spans="1:23">
      <c r="A304" s="777">
        <v>20</v>
      </c>
      <c r="B304" t="str">
        <f t="shared" si="171"/>
        <v>Communication, Utilities</v>
      </c>
      <c r="K304" s="199">
        <f t="shared" si="180"/>
        <v>6.90729332128089E-3</v>
      </c>
      <c r="L304" s="199">
        <f t="shared" si="180"/>
        <v>1.1154850160624164E-2</v>
      </c>
      <c r="M304" s="199">
        <f t="shared" si="180"/>
        <v>2.6107100443217767E-3</v>
      </c>
      <c r="N304" s="199">
        <f t="shared" si="180"/>
        <v>4.7044518053790249E-3</v>
      </c>
      <c r="O304" s="199">
        <f t="shared" si="180"/>
        <v>1.8430973745603403E-3</v>
      </c>
      <c r="P304" s="199">
        <f t="shared" si="178"/>
        <v>2.7220402706166196E-2</v>
      </c>
      <c r="R304" s="199">
        <f t="shared" si="173"/>
        <v>6.3563438771406652E-4</v>
      </c>
      <c r="S304" s="199">
        <f t="shared" si="174"/>
        <v>1.0265100991216703E-3</v>
      </c>
      <c r="T304" s="199">
        <f t="shared" si="175"/>
        <v>2.4017978490437569E-4</v>
      </c>
      <c r="U304" s="199">
        <f t="shared" si="176"/>
        <v>4.3292085680356017E-4</v>
      </c>
      <c r="V304" s="199">
        <f t="shared" si="177"/>
        <v>1.2732230340833071E-4</v>
      </c>
      <c r="W304" s="199">
        <f t="shared" si="179"/>
        <v>2.4625674319520034E-3</v>
      </c>
    </row>
    <row r="305" spans="1:23">
      <c r="A305" s="585" t="s">
        <v>701</v>
      </c>
      <c r="B305" s="38" t="s">
        <v>714</v>
      </c>
      <c r="C305" s="4"/>
      <c r="D305" s="4"/>
      <c r="E305" s="4"/>
      <c r="F305" s="4"/>
      <c r="G305" s="4"/>
      <c r="H305" s="4"/>
      <c r="I305" s="4"/>
      <c r="J305" s="4"/>
      <c r="K305" s="583">
        <f>SUM(K285:K288,K303:K304)</f>
        <v>3.5227013543673755</v>
      </c>
      <c r="L305" s="583">
        <f t="shared" ref="L305:O305" si="181">SUM(L285:L288,L303:L304)</f>
        <v>8.8800767269185705</v>
      </c>
      <c r="M305" s="583">
        <f t="shared" si="181"/>
        <v>1.718064992733991</v>
      </c>
      <c r="N305" s="583">
        <f t="shared" si="181"/>
        <v>0.34957506093793744</v>
      </c>
      <c r="O305" s="583">
        <f t="shared" si="181"/>
        <v>0.46247193035560419</v>
      </c>
      <c r="P305" s="583">
        <f t="shared" ref="P305:P306" si="182">SUM(K305:O305)</f>
        <v>14.93289006531348</v>
      </c>
      <c r="Q305" s="4"/>
      <c r="R305" s="583">
        <f>SUM(R285:R288,R303:R304)</f>
        <v>0.50532000856068227</v>
      </c>
      <c r="S305" s="583">
        <f t="shared" ref="S305:V305" si="183">SUM(S285:S288,S303:S304)</f>
        <v>1.6400604601378219</v>
      </c>
      <c r="T305" s="583">
        <f t="shared" si="183"/>
        <v>0.23054758550874835</v>
      </c>
      <c r="U305" s="583">
        <f t="shared" si="183"/>
        <v>5.0600026544107099E-2</v>
      </c>
      <c r="V305" s="583">
        <f t="shared" si="183"/>
        <v>7.1021500973680637E-2</v>
      </c>
      <c r="W305" s="583">
        <f t="shared" ref="W305:W306" si="184">SUM(R305:V305)</f>
        <v>2.4975495817250404</v>
      </c>
    </row>
    <row r="306" spans="1:23">
      <c r="A306" s="585" t="s">
        <v>702</v>
      </c>
      <c r="B306" s="38" t="s">
        <v>718</v>
      </c>
      <c r="C306" s="4"/>
      <c r="D306" s="4"/>
      <c r="E306" s="4"/>
      <c r="F306" s="4"/>
      <c r="G306" s="4"/>
      <c r="H306" s="4"/>
      <c r="I306" s="4"/>
      <c r="J306" s="4"/>
      <c r="K306" s="583">
        <f>SUM(K289:K300)</f>
        <v>1.8715258975311024</v>
      </c>
      <c r="L306" s="583">
        <f t="shared" ref="L306:O306" si="185">SUM(L289:L300)</f>
        <v>9.2409445907171097</v>
      </c>
      <c r="M306" s="583">
        <f t="shared" si="185"/>
        <v>24.978681992177684</v>
      </c>
      <c r="N306" s="583">
        <f t="shared" si="185"/>
        <v>14.327032671887883</v>
      </c>
      <c r="O306" s="583">
        <f t="shared" si="185"/>
        <v>0.57989695618331971</v>
      </c>
      <c r="P306" s="583">
        <f t="shared" si="182"/>
        <v>50.998082108497101</v>
      </c>
      <c r="Q306" s="4"/>
      <c r="R306" s="583">
        <f>SUM(R289:R300)</f>
        <v>0.33033246943328981</v>
      </c>
      <c r="S306" s="583">
        <f t="shared" ref="S306:V306" si="186">SUM(S289:S300)</f>
        <v>1.6055625131170423</v>
      </c>
      <c r="T306" s="583">
        <f t="shared" si="186"/>
        <v>3.4976402694734521</v>
      </c>
      <c r="U306" s="583">
        <f t="shared" si="186"/>
        <v>1.6175276020258766</v>
      </c>
      <c r="V306" s="583">
        <f t="shared" si="186"/>
        <v>2.9018952300613261E-2</v>
      </c>
      <c r="W306" s="583">
        <f t="shared" si="184"/>
        <v>7.0800818063502744</v>
      </c>
    </row>
    <row r="307" spans="1:23">
      <c r="B307" s="209" t="s">
        <v>719</v>
      </c>
      <c r="C307" s="4"/>
      <c r="D307" s="207">
        <f>D$273</f>
        <v>222351.6538822767</v>
      </c>
      <c r="E307" s="207">
        <f t="shared" ref="E307:H307" si="187">E$273</f>
        <v>436972.92238569196</v>
      </c>
      <c r="F307" s="207">
        <f t="shared" si="187"/>
        <v>592268.25223140384</v>
      </c>
      <c r="G307" s="207">
        <f t="shared" si="187"/>
        <v>299038.44256774255</v>
      </c>
      <c r="H307" s="207">
        <f t="shared" si="187"/>
        <v>63034.099834710752</v>
      </c>
      <c r="I307" s="545">
        <f>SUM(D307:H307)</f>
        <v>1613665.3709018258</v>
      </c>
      <c r="J307" s="4"/>
      <c r="K307" s="584">
        <f>SUM(K285:K304)</f>
        <v>5.3942272518984797</v>
      </c>
      <c r="L307" s="584">
        <f t="shared" ref="L307:O307" si="188">SUM(L285:L304)</f>
        <v>18.121021317635684</v>
      </c>
      <c r="M307" s="584">
        <f t="shared" si="188"/>
        <v>26.696746984911677</v>
      </c>
      <c r="N307" s="584">
        <f t="shared" si="188"/>
        <v>14.67660773282582</v>
      </c>
      <c r="O307" s="584">
        <f t="shared" si="188"/>
        <v>1.0423688865389238</v>
      </c>
      <c r="P307" s="584">
        <f t="shared" ref="P307" si="189">SUM(K307:O307)</f>
        <v>65.930972173810588</v>
      </c>
      <c r="Q307" s="4"/>
      <c r="R307" s="584">
        <f>SUM(R285:R304)</f>
        <v>0.83565247799397224</v>
      </c>
      <c r="S307" s="584">
        <f t="shared" ref="S307:V307" si="190">SUM(S285:S304)</f>
        <v>3.2456229732548643</v>
      </c>
      <c r="T307" s="584">
        <f t="shared" si="190"/>
        <v>3.7281878549822003</v>
      </c>
      <c r="U307" s="584">
        <f t="shared" si="190"/>
        <v>1.6681276285699835</v>
      </c>
      <c r="V307" s="584">
        <f t="shared" si="190"/>
        <v>0.10004045327429391</v>
      </c>
      <c r="W307" s="584">
        <f t="shared" ref="W307" si="191">SUM(R307:V307)</f>
        <v>9.5776313880753143</v>
      </c>
    </row>
    <row r="310" spans="1:23">
      <c r="A310" s="353" t="s">
        <v>956</v>
      </c>
      <c r="B310" s="229"/>
      <c r="C310" s="230"/>
      <c r="D310" s="231"/>
      <c r="E310" s="231"/>
      <c r="F310" s="231"/>
      <c r="G310" s="231"/>
      <c r="H310" s="231"/>
      <c r="I310" s="231"/>
      <c r="J310" s="230"/>
      <c r="K310" s="232"/>
      <c r="L310" s="232"/>
      <c r="M310" s="232"/>
      <c r="N310" s="232"/>
      <c r="O310" s="232"/>
      <c r="P310" s="232"/>
      <c r="Q310" s="230"/>
      <c r="R310" s="230"/>
      <c r="S310" s="354"/>
      <c r="T310" s="354"/>
      <c r="U310" s="354"/>
      <c r="V310" s="354"/>
      <c r="W310" s="594"/>
    </row>
    <row r="312" spans="1:23">
      <c r="C312" s="99"/>
      <c r="D312" s="1440" t="s">
        <v>488</v>
      </c>
      <c r="E312" s="1440"/>
      <c r="F312" s="1440"/>
      <c r="G312" s="1440"/>
      <c r="H312" s="1440"/>
      <c r="I312" s="1440"/>
      <c r="K312" s="1441" t="s">
        <v>953</v>
      </c>
      <c r="L312" s="1441"/>
      <c r="M312" s="1441"/>
      <c r="N312" s="1441"/>
      <c r="O312" s="1441"/>
      <c r="P312" s="1441"/>
      <c r="R312" s="1442" t="s">
        <v>954</v>
      </c>
      <c r="S312" s="1442"/>
      <c r="T312" s="1442"/>
      <c r="U312" s="1442"/>
      <c r="V312" s="1442"/>
      <c r="W312" s="1442"/>
    </row>
    <row r="313" spans="1:23" ht="30">
      <c r="A313" s="521" t="s">
        <v>630</v>
      </c>
      <c r="B313" s="544" t="s">
        <v>214</v>
      </c>
      <c r="D313" s="363"/>
      <c r="E313" s="363"/>
      <c r="F313" s="363"/>
      <c r="G313" s="363"/>
      <c r="H313" s="363"/>
      <c r="I313" s="364"/>
      <c r="K313" s="351" t="str">
        <f t="shared" ref="K313:W313" si="192">VLOOKUP(K$24,subwatgeog,2,FALSE)</f>
        <v>Coastal</v>
      </c>
      <c r="L313" s="351" t="str">
        <f t="shared" si="192"/>
        <v>Tidal Cal.</v>
      </c>
      <c r="M313" s="351" t="str">
        <f t="shared" si="192"/>
        <v>West Cal.</v>
      </c>
      <c r="N313" s="351" t="str">
        <f t="shared" si="192"/>
        <v>East Cal.</v>
      </c>
      <c r="O313" s="351" t="str">
        <f t="shared" si="192"/>
        <v>S-4</v>
      </c>
      <c r="P313" s="355" t="str">
        <f t="shared" si="192"/>
        <v>Total CRWPP</v>
      </c>
      <c r="R313" s="352" t="str">
        <f t="shared" si="192"/>
        <v>Coastal</v>
      </c>
      <c r="S313" s="352" t="str">
        <f t="shared" si="192"/>
        <v>Tidal Cal.</v>
      </c>
      <c r="T313" s="352" t="str">
        <f t="shared" si="192"/>
        <v>West Cal.</v>
      </c>
      <c r="U313" s="352" t="str">
        <f t="shared" si="192"/>
        <v>East Cal.</v>
      </c>
      <c r="V313" s="352" t="str">
        <f t="shared" si="192"/>
        <v>S-4</v>
      </c>
      <c r="W313" s="356" t="str">
        <f t="shared" si="192"/>
        <v>Total CRWPP</v>
      </c>
    </row>
    <row r="314" spans="1:23">
      <c r="A314" s="777">
        <v>1</v>
      </c>
      <c r="B314" t="str">
        <f t="shared" ref="B314:B333" si="193">VLOOKUP($A314,bott_bmpeff,2,FALSE)</f>
        <v>Residential Low Density</v>
      </c>
      <c r="K314" s="199">
        <f t="shared" ref="K314:O323" si="194">K117*VLOOKUP($A314,bott_bmpeff,$L$616,FALSE)*VLOOKUP($A314,bottbmp_near,K$25+7,FALSE)</f>
        <v>1.6285462814472043</v>
      </c>
      <c r="L314" s="199">
        <f t="shared" si="194"/>
        <v>0</v>
      </c>
      <c r="M314" s="199">
        <f t="shared" si="194"/>
        <v>0.64447699599447805</v>
      </c>
      <c r="N314" s="199">
        <f t="shared" si="194"/>
        <v>5.9566863870265552E-2</v>
      </c>
      <c r="O314" s="199">
        <f t="shared" si="194"/>
        <v>4.699757286753644E-3</v>
      </c>
      <c r="P314" s="199">
        <f>SUM(K314:O314)</f>
        <v>2.3372898985987014</v>
      </c>
      <c r="R314" s="199">
        <f t="shared" ref="R314:R333" si="195">R117*VLOOKUP($A314,bott_bmpeff,$L$616,FALSE)*VLOOKUP($A314,bottbmp_near,K$25+7,FALSE)</f>
        <v>0.16689487258358043</v>
      </c>
      <c r="S314" s="199">
        <f t="shared" ref="S314:S333" si="196">S117*VLOOKUP($A314,bott_bmpeff,$L$616,FALSE)*VLOOKUP($A314,bottbmp_near,L$25+7,FALSE)</f>
        <v>0</v>
      </c>
      <c r="T314" s="199">
        <f t="shared" ref="T314:T333" si="197">T117*VLOOKUP($A314,bott_bmpeff,$L$616,FALSE)*VLOOKUP($A314,bottbmp_near,M$25+7,FALSE)</f>
        <v>6.6028074900642067E-2</v>
      </c>
      <c r="U314" s="199">
        <f t="shared" ref="U314:U333" si="198">U117*VLOOKUP($A314,bott_bmpeff,$L$616,FALSE)*VLOOKUP($A314,bottbmp_near,N$25+7,FALSE)</f>
        <v>6.104465233249032E-3</v>
      </c>
      <c r="V314" s="199">
        <f t="shared" ref="V314:V333" si="199">V117*VLOOKUP($A314,bott_bmpeff,$L$616,FALSE)*VLOOKUP($A314,bottbmp_near,O$25+7,FALSE)</f>
        <v>3.6155555615205486E-4</v>
      </c>
      <c r="W314" s="199">
        <f>SUM(R314:V314)</f>
        <v>0.23938896827362358</v>
      </c>
    </row>
    <row r="315" spans="1:23">
      <c r="A315" s="777">
        <v>2</v>
      </c>
      <c r="B315" t="str">
        <f t="shared" si="193"/>
        <v>Residential Medium Density</v>
      </c>
      <c r="K315" s="199">
        <f t="shared" si="194"/>
        <v>0.26858627543070263</v>
      </c>
      <c r="L315" s="199">
        <f t="shared" si="194"/>
        <v>1.6622593679227504</v>
      </c>
      <c r="M315" s="199">
        <f t="shared" si="194"/>
        <v>0.21404497825781951</v>
      </c>
      <c r="N315" s="199">
        <f t="shared" si="194"/>
        <v>1.1335613042906735E-2</v>
      </c>
      <c r="O315" s="199">
        <f t="shared" si="194"/>
        <v>6.0571296842632724E-2</v>
      </c>
      <c r="P315" s="199">
        <f t="shared" ref="P315:P336" si="200">SUM(K315:O315)</f>
        <v>2.2167975314968116</v>
      </c>
      <c r="R315" s="199">
        <f t="shared" si="195"/>
        <v>5.4066886873069792E-2</v>
      </c>
      <c r="S315" s="199">
        <f t="shared" si="196"/>
        <v>0.33461571725904449</v>
      </c>
      <c r="T315" s="199">
        <f t="shared" si="197"/>
        <v>4.3075558439488328E-2</v>
      </c>
      <c r="U315" s="199">
        <f t="shared" si="198"/>
        <v>2.2818787260999156E-3</v>
      </c>
      <c r="V315" s="199">
        <f t="shared" si="199"/>
        <v>9.1531618164493855E-3</v>
      </c>
      <c r="W315" s="199">
        <f t="shared" ref="W315:W336" si="201">SUM(R315:V315)</f>
        <v>0.44319320311415195</v>
      </c>
    </row>
    <row r="316" spans="1:23">
      <c r="A316" s="777">
        <v>3</v>
      </c>
      <c r="B316" t="str">
        <f t="shared" si="193"/>
        <v>Residential High Density</v>
      </c>
      <c r="K316" s="199">
        <f t="shared" si="194"/>
        <v>5.6272653437410086E-2</v>
      </c>
      <c r="L316" s="199">
        <f t="shared" si="194"/>
        <v>2.2273753929836215E-2</v>
      </c>
      <c r="M316" s="199">
        <f t="shared" si="194"/>
        <v>2.5085644563297933E-2</v>
      </c>
      <c r="N316" s="199">
        <f t="shared" si="194"/>
        <v>0</v>
      </c>
      <c r="O316" s="199">
        <f t="shared" si="194"/>
        <v>0</v>
      </c>
      <c r="P316" s="199">
        <f t="shared" si="200"/>
        <v>0.10363205193054423</v>
      </c>
      <c r="R316" s="199">
        <f t="shared" si="195"/>
        <v>1.6182547901276295E-2</v>
      </c>
      <c r="S316" s="199">
        <f t="shared" si="196"/>
        <v>6.4053508745900174E-3</v>
      </c>
      <c r="T316" s="199">
        <f t="shared" si="197"/>
        <v>7.2119564853928226E-3</v>
      </c>
      <c r="U316" s="199">
        <f t="shared" si="198"/>
        <v>0</v>
      </c>
      <c r="V316" s="199">
        <f t="shared" si="199"/>
        <v>0</v>
      </c>
      <c r="W316" s="199">
        <f t="shared" si="201"/>
        <v>2.9799855261259132E-2</v>
      </c>
    </row>
    <row r="317" spans="1:23">
      <c r="A317" s="777">
        <v>4</v>
      </c>
      <c r="B317" t="str">
        <f t="shared" si="193"/>
        <v>Other Urban</v>
      </c>
      <c r="K317" s="199">
        <f t="shared" si="194"/>
        <v>0.10671626055397479</v>
      </c>
      <c r="L317" s="199">
        <f t="shared" si="194"/>
        <v>0.30088115645132307</v>
      </c>
      <c r="M317" s="199">
        <f t="shared" si="194"/>
        <v>6.2315989350691867E-2</v>
      </c>
      <c r="N317" s="199">
        <f t="shared" si="194"/>
        <v>2.6305903609661035E-2</v>
      </c>
      <c r="O317" s="199">
        <f t="shared" si="194"/>
        <v>6.2772732006596291E-2</v>
      </c>
      <c r="P317" s="199">
        <f t="shared" si="200"/>
        <v>0.55899204197224706</v>
      </c>
      <c r="R317" s="199">
        <f t="shared" si="195"/>
        <v>1.9407191170230997E-2</v>
      </c>
      <c r="S317" s="199">
        <f t="shared" si="196"/>
        <v>5.6083882328494317E-2</v>
      </c>
      <c r="T317" s="199">
        <f t="shared" si="197"/>
        <v>1.2871301186150475E-2</v>
      </c>
      <c r="U317" s="199">
        <f t="shared" si="198"/>
        <v>4.8742314624158961E-3</v>
      </c>
      <c r="V317" s="199">
        <f t="shared" si="199"/>
        <v>1.1388160747495147E-2</v>
      </c>
      <c r="W317" s="199">
        <f t="shared" si="201"/>
        <v>0.10462476689478682</v>
      </c>
    </row>
    <row r="318" spans="1:23">
      <c r="A318" s="777">
        <v>5</v>
      </c>
      <c r="B318" t="str">
        <f t="shared" si="193"/>
        <v>Improved Pasture</v>
      </c>
      <c r="K318" s="199">
        <f t="shared" si="194"/>
        <v>0.12830613768835794</v>
      </c>
      <c r="L318" s="199">
        <f t="shared" si="194"/>
        <v>1.1072568931307678</v>
      </c>
      <c r="M318" s="199">
        <f t="shared" si="194"/>
        <v>2.7509790386823481</v>
      </c>
      <c r="N318" s="199">
        <f t="shared" si="194"/>
        <v>1.5978285756574586</v>
      </c>
      <c r="O318" s="199">
        <f t="shared" si="194"/>
        <v>6.0610059242930919E-2</v>
      </c>
      <c r="P318" s="199">
        <f t="shared" si="200"/>
        <v>5.6449807044018634</v>
      </c>
      <c r="R318" s="199">
        <f t="shared" si="195"/>
        <v>1.8614954856002182E-2</v>
      </c>
      <c r="S318" s="199">
        <f t="shared" si="196"/>
        <v>0.16064342245021615</v>
      </c>
      <c r="T318" s="199">
        <f t="shared" si="197"/>
        <v>0.39900667644742788</v>
      </c>
      <c r="U318" s="199">
        <f t="shared" si="198"/>
        <v>0.23181671071525595</v>
      </c>
      <c r="V318" s="199">
        <f t="shared" si="199"/>
        <v>6.6010950284413478E-3</v>
      </c>
      <c r="W318" s="199">
        <f t="shared" si="201"/>
        <v>0.81668285949734354</v>
      </c>
    </row>
    <row r="319" spans="1:23">
      <c r="A319" s="777">
        <v>6</v>
      </c>
      <c r="B319" t="str">
        <f t="shared" si="193"/>
        <v>Unimproved Pasture</v>
      </c>
      <c r="K319" s="199">
        <f t="shared" si="194"/>
        <v>9.1370454958782845E-3</v>
      </c>
      <c r="L319" s="199">
        <f t="shared" si="194"/>
        <v>9.798069738539994E-2</v>
      </c>
      <c r="M319" s="199">
        <f t="shared" si="194"/>
        <v>0.24977611610134645</v>
      </c>
      <c r="N319" s="199">
        <f t="shared" si="194"/>
        <v>9.9012809076705816E-2</v>
      </c>
      <c r="O319" s="199">
        <f t="shared" si="194"/>
        <v>0</v>
      </c>
      <c r="P319" s="199">
        <f t="shared" si="200"/>
        <v>0.45590666805933044</v>
      </c>
      <c r="R319" s="199">
        <f t="shared" si="195"/>
        <v>1.3758943677310961E-3</v>
      </c>
      <c r="S319" s="199">
        <f t="shared" si="196"/>
        <v>1.4754341514415126E-2</v>
      </c>
      <c r="T319" s="199">
        <f t="shared" si="197"/>
        <v>3.7601791737536076E-2</v>
      </c>
      <c r="U319" s="199">
        <f t="shared" si="198"/>
        <v>1.4909761191769009E-2</v>
      </c>
      <c r="V319" s="199">
        <f t="shared" si="199"/>
        <v>0</v>
      </c>
      <c r="W319" s="199">
        <f t="shared" si="201"/>
        <v>6.8641788811451304E-2</v>
      </c>
    </row>
    <row r="320" spans="1:23">
      <c r="A320" s="777">
        <v>7</v>
      </c>
      <c r="B320" t="str">
        <f t="shared" si="193"/>
        <v>Rangeland, Woodland Pasture</v>
      </c>
      <c r="K320" s="199">
        <f t="shared" si="194"/>
        <v>0.12971020008328796</v>
      </c>
      <c r="L320" s="199">
        <f t="shared" si="194"/>
        <v>0.26543640770613142</v>
      </c>
      <c r="M320" s="199">
        <f t="shared" si="194"/>
        <v>0.34548831133367586</v>
      </c>
      <c r="N320" s="199">
        <f t="shared" si="194"/>
        <v>0.10587686918369393</v>
      </c>
      <c r="O320" s="199">
        <f t="shared" si="194"/>
        <v>4.6800740216009478E-3</v>
      </c>
      <c r="P320" s="199">
        <f t="shared" si="200"/>
        <v>0.85119186232839017</v>
      </c>
      <c r="R320" s="199">
        <f t="shared" si="195"/>
        <v>6.7395464590883861E-3</v>
      </c>
      <c r="S320" s="199">
        <f t="shared" si="196"/>
        <v>1.8975004124000362E-2</v>
      </c>
      <c r="T320" s="199">
        <f t="shared" si="197"/>
        <v>3.0365743496665137E-2</v>
      </c>
      <c r="U320" s="199">
        <f t="shared" si="198"/>
        <v>1.2081694342610227E-2</v>
      </c>
      <c r="V320" s="199">
        <f t="shared" si="199"/>
        <v>1.7742204875746152E-4</v>
      </c>
      <c r="W320" s="199">
        <f t="shared" si="201"/>
        <v>6.8339410471121576E-2</v>
      </c>
    </row>
    <row r="321" spans="1:23">
      <c r="A321" s="777">
        <v>8</v>
      </c>
      <c r="B321" t="str">
        <f t="shared" si="193"/>
        <v>Row Crops</v>
      </c>
      <c r="K321" s="199">
        <f t="shared" si="194"/>
        <v>0.11626545960978056</v>
      </c>
      <c r="L321" s="199">
        <f t="shared" si="194"/>
        <v>0.38544119233693491</v>
      </c>
      <c r="M321" s="199">
        <f t="shared" si="194"/>
        <v>1.2837104143635549</v>
      </c>
      <c r="N321" s="199">
        <f t="shared" si="194"/>
        <v>0.19016450062889104</v>
      </c>
      <c r="O321" s="199">
        <f t="shared" si="194"/>
        <v>0</v>
      </c>
      <c r="P321" s="199">
        <f t="shared" si="200"/>
        <v>1.9755815669391614</v>
      </c>
      <c r="R321" s="199">
        <f t="shared" si="195"/>
        <v>2.2289943154382156E-2</v>
      </c>
      <c r="S321" s="199">
        <f t="shared" si="196"/>
        <v>7.3895224732976675E-2</v>
      </c>
      <c r="T321" s="199">
        <f t="shared" si="197"/>
        <v>0.24603882178842493</v>
      </c>
      <c r="U321" s="199">
        <f t="shared" si="198"/>
        <v>3.6457568079341043E-2</v>
      </c>
      <c r="V321" s="199">
        <f t="shared" si="199"/>
        <v>0</v>
      </c>
      <c r="W321" s="199">
        <f t="shared" si="201"/>
        <v>0.3786815577551248</v>
      </c>
    </row>
    <row r="322" spans="1:23">
      <c r="A322" s="777">
        <v>9</v>
      </c>
      <c r="B322" t="str">
        <f t="shared" si="193"/>
        <v>Sugar Cane</v>
      </c>
      <c r="K322" s="199">
        <f t="shared" si="194"/>
        <v>0</v>
      </c>
      <c r="L322" s="199">
        <f t="shared" si="194"/>
        <v>0</v>
      </c>
      <c r="M322" s="199">
        <f t="shared" si="194"/>
        <v>0.16897242673450455</v>
      </c>
      <c r="N322" s="199">
        <f t="shared" si="194"/>
        <v>4.1672345517432499</v>
      </c>
      <c r="O322" s="199">
        <f t="shared" si="194"/>
        <v>4.1706796528346581</v>
      </c>
      <c r="P322" s="199">
        <f t="shared" si="200"/>
        <v>8.5068866313124119</v>
      </c>
      <c r="R322" s="199">
        <f t="shared" si="195"/>
        <v>0</v>
      </c>
      <c r="S322" s="199">
        <f t="shared" si="196"/>
        <v>0</v>
      </c>
      <c r="T322" s="199">
        <f t="shared" si="197"/>
        <v>9.7156904680328823E-3</v>
      </c>
      <c r="U322" s="199">
        <f t="shared" si="198"/>
        <v>0.2396776005042868</v>
      </c>
      <c r="V322" s="199">
        <f t="shared" si="199"/>
        <v>0.18007070173918421</v>
      </c>
      <c r="W322" s="199">
        <f t="shared" si="201"/>
        <v>0.42946399271150393</v>
      </c>
    </row>
    <row r="323" spans="1:23">
      <c r="A323" s="777">
        <v>10</v>
      </c>
      <c r="B323" t="str">
        <f t="shared" si="193"/>
        <v>Citrus</v>
      </c>
      <c r="K323" s="199">
        <f t="shared" si="194"/>
        <v>1.4370521478013607E-2</v>
      </c>
      <c r="L323" s="199">
        <f t="shared" si="194"/>
        <v>6.5109238201680728E-2</v>
      </c>
      <c r="M323" s="199">
        <f t="shared" si="194"/>
        <v>5.2343276966159076</v>
      </c>
      <c r="N323" s="199">
        <f t="shared" si="194"/>
        <v>1.7684375518534332</v>
      </c>
      <c r="O323" s="199">
        <f t="shared" si="194"/>
        <v>7.6526652796030277E-3</v>
      </c>
      <c r="P323" s="199">
        <f t="shared" si="200"/>
        <v>7.0898976734286387</v>
      </c>
      <c r="R323" s="199">
        <f t="shared" si="195"/>
        <v>1.2640855229903653E-3</v>
      </c>
      <c r="S323" s="199">
        <f t="shared" si="196"/>
        <v>5.7272553086954803E-3</v>
      </c>
      <c r="T323" s="199">
        <f t="shared" si="197"/>
        <v>0.46030231989910719</v>
      </c>
      <c r="U323" s="199">
        <f t="shared" si="198"/>
        <v>0.15555846814818922</v>
      </c>
      <c r="V323" s="199">
        <f t="shared" si="199"/>
        <v>5.0532800641133553E-4</v>
      </c>
      <c r="W323" s="199">
        <f t="shared" si="201"/>
        <v>0.62335745688539357</v>
      </c>
    </row>
    <row r="324" spans="1:23">
      <c r="A324" s="777">
        <v>11</v>
      </c>
      <c r="B324" t="str">
        <f t="shared" si="193"/>
        <v>Sod</v>
      </c>
      <c r="K324" s="199">
        <f t="shared" ref="K324:O333" si="202">K127*VLOOKUP($A324,bott_bmpeff,$L$616,FALSE)*VLOOKUP($A324,bottbmp_near,K$25+7,FALSE)</f>
        <v>0</v>
      </c>
      <c r="L324" s="199">
        <f t="shared" si="202"/>
        <v>0.15913580061449725</v>
      </c>
      <c r="M324" s="199">
        <f t="shared" si="202"/>
        <v>0.36267429527225326</v>
      </c>
      <c r="N324" s="199">
        <f t="shared" si="202"/>
        <v>2.7489573513031652E-2</v>
      </c>
      <c r="O324" s="199">
        <f t="shared" si="202"/>
        <v>0</v>
      </c>
      <c r="P324" s="199">
        <f t="shared" si="200"/>
        <v>0.54929966939978214</v>
      </c>
      <c r="R324" s="199">
        <f t="shared" si="195"/>
        <v>0</v>
      </c>
      <c r="S324" s="199">
        <f t="shared" si="196"/>
        <v>4.1085280082822952E-2</v>
      </c>
      <c r="T324" s="199">
        <f t="shared" si="197"/>
        <v>9.3608106476705824E-2</v>
      </c>
      <c r="U324" s="199">
        <f t="shared" si="198"/>
        <v>7.0971888335563307E-3</v>
      </c>
      <c r="V324" s="199">
        <f t="shared" si="199"/>
        <v>0</v>
      </c>
      <c r="W324" s="199">
        <f t="shared" si="201"/>
        <v>0.14179057539308512</v>
      </c>
    </row>
    <row r="325" spans="1:23">
      <c r="A325" s="777">
        <v>12</v>
      </c>
      <c r="B325" t="str">
        <f t="shared" si="193"/>
        <v>Ornamentals</v>
      </c>
      <c r="K325" s="199">
        <f t="shared" si="202"/>
        <v>2.3017253618270749E-2</v>
      </c>
      <c r="L325" s="199">
        <f t="shared" si="202"/>
        <v>4.1090256716271124E-2</v>
      </c>
      <c r="M325" s="199">
        <f t="shared" si="202"/>
        <v>4.9394656038422746E-2</v>
      </c>
      <c r="N325" s="199">
        <f t="shared" si="202"/>
        <v>1.881684470315133E-3</v>
      </c>
      <c r="O325" s="199">
        <f t="shared" si="202"/>
        <v>0</v>
      </c>
      <c r="P325" s="199">
        <f t="shared" si="200"/>
        <v>0.11538385084327975</v>
      </c>
      <c r="R325" s="199">
        <f t="shared" si="195"/>
        <v>6.398523266003881E-3</v>
      </c>
      <c r="S325" s="199">
        <f t="shared" si="196"/>
        <v>1.142260358101253E-2</v>
      </c>
      <c r="T325" s="199">
        <f t="shared" si="197"/>
        <v>1.3727281570374127E-2</v>
      </c>
      <c r="U325" s="199">
        <f t="shared" si="198"/>
        <v>5.2308594510304212E-4</v>
      </c>
      <c r="V325" s="199">
        <f t="shared" si="199"/>
        <v>0</v>
      </c>
      <c r="W325" s="199">
        <f t="shared" si="201"/>
        <v>3.2071494362493583E-2</v>
      </c>
    </row>
    <row r="326" spans="1:23">
      <c r="A326" s="777">
        <v>13</v>
      </c>
      <c r="B326" t="str">
        <f t="shared" si="193"/>
        <v>Horse Farms</v>
      </c>
      <c r="K326" s="199">
        <f t="shared" si="202"/>
        <v>0</v>
      </c>
      <c r="L326" s="199">
        <f t="shared" si="202"/>
        <v>3.8992891681509882E-3</v>
      </c>
      <c r="M326" s="199">
        <f t="shared" si="202"/>
        <v>6.0207952011119255E-3</v>
      </c>
      <c r="N326" s="199">
        <f t="shared" si="202"/>
        <v>1.9245604481099333E-2</v>
      </c>
      <c r="O326" s="199">
        <f t="shared" si="202"/>
        <v>0</v>
      </c>
      <c r="P326" s="199">
        <f t="shared" si="200"/>
        <v>2.9165688850362248E-2</v>
      </c>
      <c r="R326" s="199">
        <f t="shared" si="195"/>
        <v>0</v>
      </c>
      <c r="S326" s="199">
        <f t="shared" si="196"/>
        <v>5.102069229007565E-4</v>
      </c>
      <c r="T326" s="199">
        <f t="shared" si="197"/>
        <v>7.8757710866005093E-4</v>
      </c>
      <c r="U326" s="199">
        <f t="shared" si="198"/>
        <v>2.5182129917086663E-3</v>
      </c>
      <c r="V326" s="199">
        <f t="shared" si="199"/>
        <v>0</v>
      </c>
      <c r="W326" s="199">
        <f t="shared" si="201"/>
        <v>3.8159970232694738E-3</v>
      </c>
    </row>
    <row r="327" spans="1:23">
      <c r="A327" s="777">
        <v>14</v>
      </c>
      <c r="B327" t="str">
        <f t="shared" si="193"/>
        <v>Dairies</v>
      </c>
      <c r="K327" s="199">
        <f t="shared" si="202"/>
        <v>0</v>
      </c>
      <c r="L327" s="199">
        <f t="shared" si="202"/>
        <v>1.383007612135125E-2</v>
      </c>
      <c r="M327" s="199">
        <f t="shared" si="202"/>
        <v>0</v>
      </c>
      <c r="N327" s="199">
        <f t="shared" si="202"/>
        <v>5.6517793725368928E-3</v>
      </c>
      <c r="O327" s="199">
        <f t="shared" si="202"/>
        <v>0</v>
      </c>
      <c r="P327" s="199">
        <f t="shared" si="200"/>
        <v>1.9481855493888145E-2</v>
      </c>
      <c r="R327" s="199">
        <f t="shared" si="195"/>
        <v>0</v>
      </c>
      <c r="S327" s="199">
        <f t="shared" si="196"/>
        <v>7.4611695945069664E-3</v>
      </c>
      <c r="T327" s="199">
        <f t="shared" si="197"/>
        <v>0</v>
      </c>
      <c r="U327" s="199">
        <f t="shared" si="198"/>
        <v>3.0490710274640098E-3</v>
      </c>
      <c r="V327" s="199">
        <f t="shared" si="199"/>
        <v>0</v>
      </c>
      <c r="W327" s="199">
        <f t="shared" si="201"/>
        <v>1.0510240621970975E-2</v>
      </c>
    </row>
    <row r="328" spans="1:23">
      <c r="A328" s="777">
        <v>15</v>
      </c>
      <c r="B328" t="str">
        <f t="shared" si="193"/>
        <v>Other Agriculture</v>
      </c>
      <c r="F328" s="222"/>
      <c r="K328" s="199">
        <f t="shared" si="202"/>
        <v>0.21734750831467126</v>
      </c>
      <c r="L328" s="199">
        <f t="shared" si="202"/>
        <v>0.39145301427157753</v>
      </c>
      <c r="M328" s="199">
        <f t="shared" si="202"/>
        <v>0.22406238484799135</v>
      </c>
      <c r="N328" s="199">
        <f t="shared" si="202"/>
        <v>6.4653350716284197E-2</v>
      </c>
      <c r="O328" s="199">
        <f t="shared" si="202"/>
        <v>6.2135887535308403E-2</v>
      </c>
      <c r="P328" s="199">
        <f t="shared" si="200"/>
        <v>0.95965214568583268</v>
      </c>
      <c r="R328" s="199">
        <f t="shared" si="195"/>
        <v>6.2497894964856707E-2</v>
      </c>
      <c r="S328" s="199">
        <f t="shared" si="196"/>
        <v>0.15883879469899795</v>
      </c>
      <c r="T328" s="199">
        <f t="shared" si="197"/>
        <v>6.9011914054555062E-2</v>
      </c>
      <c r="U328" s="199">
        <f t="shared" si="198"/>
        <v>2.3689674715036892E-2</v>
      </c>
      <c r="V328" s="199">
        <f t="shared" si="199"/>
        <v>1.3712132507147441E-2</v>
      </c>
      <c r="W328" s="199">
        <f t="shared" si="201"/>
        <v>0.32775041094059409</v>
      </c>
    </row>
    <row r="329" spans="1:23">
      <c r="A329" s="777">
        <v>16</v>
      </c>
      <c r="B329" t="str">
        <f t="shared" si="193"/>
        <v>Tree Plantations</v>
      </c>
      <c r="F329" s="222"/>
      <c r="K329" s="199">
        <f t="shared" si="202"/>
        <v>0</v>
      </c>
      <c r="L329" s="199">
        <f t="shared" si="202"/>
        <v>0</v>
      </c>
      <c r="M329" s="199">
        <f t="shared" si="202"/>
        <v>2.9778983934214469E-4</v>
      </c>
      <c r="N329" s="199">
        <f t="shared" si="202"/>
        <v>0</v>
      </c>
      <c r="O329" s="199">
        <f t="shared" si="202"/>
        <v>0</v>
      </c>
      <c r="P329" s="199">
        <f t="shared" si="200"/>
        <v>2.9778983934214469E-4</v>
      </c>
      <c r="R329" s="199">
        <f t="shared" si="195"/>
        <v>0</v>
      </c>
      <c r="S329" s="199">
        <f t="shared" si="196"/>
        <v>0</v>
      </c>
      <c r="T329" s="199">
        <f t="shared" si="197"/>
        <v>1.6570181489143791E-5</v>
      </c>
      <c r="U329" s="199">
        <f t="shared" si="198"/>
        <v>0</v>
      </c>
      <c r="V329" s="199">
        <f t="shared" si="199"/>
        <v>0</v>
      </c>
      <c r="W329" s="199">
        <f t="shared" si="201"/>
        <v>1.6570181489143791E-5</v>
      </c>
    </row>
    <row r="330" spans="1:23">
      <c r="A330" s="777">
        <v>17</v>
      </c>
      <c r="B330" t="str">
        <f t="shared" si="193"/>
        <v>Water</v>
      </c>
      <c r="K330" s="199">
        <f t="shared" si="202"/>
        <v>0</v>
      </c>
      <c r="L330" s="199">
        <f t="shared" si="202"/>
        <v>0</v>
      </c>
      <c r="M330" s="199">
        <f t="shared" si="202"/>
        <v>0</v>
      </c>
      <c r="N330" s="199">
        <f t="shared" si="202"/>
        <v>0</v>
      </c>
      <c r="O330" s="199">
        <f t="shared" si="202"/>
        <v>0</v>
      </c>
      <c r="P330" s="199">
        <f t="shared" si="200"/>
        <v>0</v>
      </c>
      <c r="R330" s="199">
        <f t="shared" si="195"/>
        <v>0</v>
      </c>
      <c r="S330" s="199">
        <f t="shared" si="196"/>
        <v>0</v>
      </c>
      <c r="T330" s="199">
        <f t="shared" si="197"/>
        <v>0</v>
      </c>
      <c r="U330" s="199">
        <f t="shared" si="198"/>
        <v>0</v>
      </c>
      <c r="V330" s="199">
        <f t="shared" si="199"/>
        <v>0</v>
      </c>
      <c r="W330" s="199">
        <f t="shared" si="201"/>
        <v>0</v>
      </c>
    </row>
    <row r="331" spans="1:23">
      <c r="A331" s="777">
        <v>18</v>
      </c>
      <c r="B331" t="str">
        <f t="shared" si="193"/>
        <v>Natural Areas</v>
      </c>
      <c r="K331" s="199">
        <f t="shared" si="202"/>
        <v>0</v>
      </c>
      <c r="L331" s="199">
        <f t="shared" si="202"/>
        <v>0</v>
      </c>
      <c r="M331" s="199">
        <f t="shared" si="202"/>
        <v>0</v>
      </c>
      <c r="N331" s="199">
        <f t="shared" si="202"/>
        <v>0</v>
      </c>
      <c r="O331" s="199">
        <f t="shared" si="202"/>
        <v>0</v>
      </c>
      <c r="P331" s="199">
        <f t="shared" si="200"/>
        <v>0</v>
      </c>
      <c r="R331" s="199">
        <f t="shared" si="195"/>
        <v>0</v>
      </c>
      <c r="S331" s="199">
        <f t="shared" si="196"/>
        <v>0</v>
      </c>
      <c r="T331" s="199">
        <f t="shared" si="197"/>
        <v>0</v>
      </c>
      <c r="U331" s="199">
        <f t="shared" si="198"/>
        <v>0</v>
      </c>
      <c r="V331" s="199">
        <f t="shared" si="199"/>
        <v>0</v>
      </c>
      <c r="W331" s="199">
        <f t="shared" si="201"/>
        <v>0</v>
      </c>
    </row>
    <row r="332" spans="1:23">
      <c r="A332" s="777">
        <v>19</v>
      </c>
      <c r="B332" t="str">
        <f t="shared" si="193"/>
        <v>Transportation</v>
      </c>
      <c r="K332" s="199">
        <f t="shared" si="202"/>
        <v>3.8346106700294383E-2</v>
      </c>
      <c r="L332" s="199">
        <f t="shared" si="202"/>
        <v>0.20563860703080344</v>
      </c>
      <c r="M332" s="199">
        <f t="shared" si="202"/>
        <v>4.8587709989260236E-2</v>
      </c>
      <c r="N332" s="199">
        <f t="shared" si="202"/>
        <v>4.4418543864523985E-2</v>
      </c>
      <c r="O332" s="199">
        <f t="shared" si="202"/>
        <v>2.5602040706594262E-2</v>
      </c>
      <c r="P332" s="199">
        <f t="shared" si="200"/>
        <v>0.36259300829147634</v>
      </c>
      <c r="R332" s="199">
        <f t="shared" si="195"/>
        <v>7.9109181619902123E-3</v>
      </c>
      <c r="S332" s="199">
        <f t="shared" si="196"/>
        <v>4.2423868578915273E-2</v>
      </c>
      <c r="T332" s="199">
        <f t="shared" si="197"/>
        <v>1.002098407521574E-2</v>
      </c>
      <c r="U332" s="199">
        <f t="shared" si="198"/>
        <v>9.1636803739536879E-3</v>
      </c>
      <c r="V332" s="199">
        <f t="shared" si="199"/>
        <v>3.9649427424053906E-3</v>
      </c>
      <c r="W332" s="199">
        <f t="shared" si="201"/>
        <v>7.3484393932480296E-2</v>
      </c>
    </row>
    <row r="333" spans="1:23">
      <c r="A333" s="777">
        <v>20</v>
      </c>
      <c r="B333" t="str">
        <f t="shared" si="193"/>
        <v>Communication, Utilities</v>
      </c>
      <c r="K333" s="199">
        <f t="shared" si="202"/>
        <v>5.5258346570247127E-3</v>
      </c>
      <c r="L333" s="199">
        <f t="shared" si="202"/>
        <v>8.9238801284993331E-3</v>
      </c>
      <c r="M333" s="199">
        <f t="shared" si="202"/>
        <v>2.0885680354574216E-3</v>
      </c>
      <c r="N333" s="199">
        <f t="shared" si="202"/>
        <v>3.7635614443032204E-3</v>
      </c>
      <c r="O333" s="199">
        <f t="shared" si="202"/>
        <v>1.4744778996482724E-3</v>
      </c>
      <c r="P333" s="199">
        <f t="shared" si="200"/>
        <v>2.177632216493296E-2</v>
      </c>
      <c r="R333" s="199">
        <f t="shared" si="195"/>
        <v>5.0850751017125328E-4</v>
      </c>
      <c r="S333" s="199">
        <f t="shared" si="196"/>
        <v>8.212080792973363E-4</v>
      </c>
      <c r="T333" s="199">
        <f t="shared" si="197"/>
        <v>1.9214382792350057E-4</v>
      </c>
      <c r="U333" s="199">
        <f t="shared" si="198"/>
        <v>3.4633668544284819E-4</v>
      </c>
      <c r="V333" s="199">
        <f t="shared" si="199"/>
        <v>1.0185784272666457E-4</v>
      </c>
      <c r="W333" s="199">
        <f t="shared" si="201"/>
        <v>1.9700539455616028E-3</v>
      </c>
    </row>
    <row r="334" spans="1:23">
      <c r="A334" s="585" t="s">
        <v>701</v>
      </c>
      <c r="B334" s="38" t="s">
        <v>715</v>
      </c>
      <c r="K334" s="208">
        <f>SUM(K314:K317,K332:K333)</f>
        <v>2.1039934122266111</v>
      </c>
      <c r="L334" s="208">
        <f t="shared" ref="L334:O334" si="203">SUM(L314:L317,L332:L333)</f>
        <v>2.1999767654632123</v>
      </c>
      <c r="M334" s="208">
        <f t="shared" si="203"/>
        <v>0.99659988619100504</v>
      </c>
      <c r="N334" s="208">
        <f t="shared" si="203"/>
        <v>0.14539048583166053</v>
      </c>
      <c r="O334" s="208">
        <f t="shared" si="203"/>
        <v>0.15512030474222521</v>
      </c>
      <c r="P334" s="208">
        <f t="shared" si="200"/>
        <v>5.6010808544547137</v>
      </c>
      <c r="R334" s="208">
        <f>SUM(R314:R317,R332:R333)</f>
        <v>0.26497092420031892</v>
      </c>
      <c r="S334" s="208">
        <f t="shared" ref="S334:V334" si="204">SUM(S314:S317,S332:S333)</f>
        <v>0.44035002712034144</v>
      </c>
      <c r="T334" s="208">
        <f t="shared" si="204"/>
        <v>0.13940001891481296</v>
      </c>
      <c r="U334" s="208">
        <f t="shared" si="204"/>
        <v>2.2770592481161381E-2</v>
      </c>
      <c r="V334" s="208">
        <f t="shared" si="204"/>
        <v>2.4969678705228638E-2</v>
      </c>
      <c r="W334" s="208">
        <f t="shared" si="201"/>
        <v>0.89246124142186345</v>
      </c>
    </row>
    <row r="335" spans="1:23">
      <c r="A335" s="585" t="s">
        <v>702</v>
      </c>
      <c r="B335" s="38" t="s">
        <v>716</v>
      </c>
      <c r="K335" s="208">
        <f>SUM(K318:K329)</f>
        <v>0.6381541262882604</v>
      </c>
      <c r="L335" s="208">
        <f t="shared" ref="L335:O335" si="205">SUM(L318:L329)</f>
        <v>2.530632865652763</v>
      </c>
      <c r="M335" s="208">
        <f t="shared" si="205"/>
        <v>10.67570392503046</v>
      </c>
      <c r="N335" s="208">
        <f t="shared" si="205"/>
        <v>8.0474768506966985</v>
      </c>
      <c r="O335" s="208">
        <f t="shared" si="205"/>
        <v>4.3057583389141012</v>
      </c>
      <c r="P335" s="208">
        <f t="shared" si="200"/>
        <v>26.197726106582287</v>
      </c>
      <c r="R335" s="208">
        <f>SUM(R318:R329)</f>
        <v>0.11918084259105477</v>
      </c>
      <c r="S335" s="208">
        <f t="shared" ref="S335:V335" si="206">SUM(S318:S329)</f>
        <v>0.49331330301054499</v>
      </c>
      <c r="T335" s="208">
        <f t="shared" si="206"/>
        <v>1.3601824932289783</v>
      </c>
      <c r="U335" s="208">
        <f t="shared" si="206"/>
        <v>0.72737903649432123</v>
      </c>
      <c r="V335" s="208">
        <f t="shared" si="206"/>
        <v>0.20106667932994182</v>
      </c>
      <c r="W335" s="208">
        <f t="shared" si="201"/>
        <v>2.9011223546548415</v>
      </c>
    </row>
    <row r="336" spans="1:23">
      <c r="B336" s="209" t="s">
        <v>717</v>
      </c>
      <c r="D336" s="206">
        <f>D$307</f>
        <v>222351.6538822767</v>
      </c>
      <c r="E336" s="206">
        <f t="shared" ref="E336:H336" si="207">E$307</f>
        <v>436972.92238569196</v>
      </c>
      <c r="F336" s="206">
        <f t="shared" si="207"/>
        <v>592268.25223140384</v>
      </c>
      <c r="G336" s="206">
        <f t="shared" si="207"/>
        <v>299038.44256774255</v>
      </c>
      <c r="H336" s="206">
        <f t="shared" si="207"/>
        <v>63034.099834710752</v>
      </c>
      <c r="I336" s="545">
        <f>SUM(D336:H336)</f>
        <v>1613665.3709018258</v>
      </c>
      <c r="K336" s="547">
        <f>SUM(K314:K333)</f>
        <v>2.7421475385148715</v>
      </c>
      <c r="L336" s="547">
        <f t="shared" ref="L336:O336" si="208">SUM(L314:L333)</f>
        <v>4.7306096311159758</v>
      </c>
      <c r="M336" s="547">
        <f t="shared" si="208"/>
        <v>11.672303811221465</v>
      </c>
      <c r="N336" s="547">
        <f t="shared" si="208"/>
        <v>8.1928673365283604</v>
      </c>
      <c r="O336" s="547">
        <f t="shared" si="208"/>
        <v>4.4608786436563266</v>
      </c>
      <c r="P336" s="208">
        <f t="shared" si="200"/>
        <v>31.798806961036998</v>
      </c>
      <c r="R336" s="547">
        <f>SUM(R314:R333)</f>
        <v>0.38415176679137364</v>
      </c>
      <c r="S336" s="547">
        <f t="shared" ref="S336:V336" si="209">SUM(S314:S333)</f>
        <v>0.93366333013088632</v>
      </c>
      <c r="T336" s="547">
        <f t="shared" si="209"/>
        <v>1.4995825121437913</v>
      </c>
      <c r="U336" s="547">
        <f t="shared" si="209"/>
        <v>0.75014962897548254</v>
      </c>
      <c r="V336" s="547">
        <f t="shared" si="209"/>
        <v>0.22603635803517047</v>
      </c>
      <c r="W336" s="208">
        <f t="shared" si="201"/>
        <v>3.7935835960767048</v>
      </c>
    </row>
    <row r="339" spans="1:23">
      <c r="A339" s="353" t="s">
        <v>957</v>
      </c>
      <c r="B339" s="229"/>
      <c r="C339" s="230"/>
      <c r="D339" s="231"/>
      <c r="E339" s="231"/>
      <c r="F339" s="231"/>
      <c r="G339" s="231"/>
      <c r="H339" s="231"/>
      <c r="I339" s="231"/>
      <c r="J339" s="230"/>
      <c r="K339" s="232"/>
      <c r="L339" s="232"/>
      <c r="M339" s="232"/>
      <c r="N339" s="232"/>
      <c r="O339" s="232"/>
      <c r="P339" s="232"/>
      <c r="Q339" s="230"/>
      <c r="R339" s="230"/>
      <c r="S339" s="354"/>
      <c r="T339" s="354"/>
      <c r="U339" s="354"/>
      <c r="V339" s="354"/>
      <c r="W339" s="594" t="s">
        <v>746</v>
      </c>
    </row>
    <row r="341" spans="1:23">
      <c r="D341" s="1440" t="s">
        <v>488</v>
      </c>
      <c r="E341" s="1440"/>
      <c r="F341" s="1440"/>
      <c r="G341" s="1440"/>
      <c r="H341" s="1440"/>
      <c r="I341" s="1440"/>
      <c r="K341" s="1441" t="s">
        <v>1125</v>
      </c>
      <c r="L341" s="1441"/>
      <c r="M341" s="1441"/>
      <c r="N341" s="1441"/>
      <c r="O341" s="1441"/>
      <c r="P341" s="1441"/>
      <c r="R341" s="1442" t="s">
        <v>1126</v>
      </c>
      <c r="S341" s="1442"/>
      <c r="T341" s="1442"/>
      <c r="U341" s="1442"/>
      <c r="V341" s="1442"/>
      <c r="W341" s="1442"/>
    </row>
    <row r="342" spans="1:23">
      <c r="D342" s="363" t="str">
        <f t="shared" ref="D342:I342" si="210">VLOOKUP(D$24,subwatgeog,2,FALSE)</f>
        <v>Coastal</v>
      </c>
      <c r="E342" s="363" t="str">
        <f t="shared" si="210"/>
        <v>Tidal Cal.</v>
      </c>
      <c r="F342" s="363" t="str">
        <f t="shared" si="210"/>
        <v>West Cal.</v>
      </c>
      <c r="G342" s="363" t="str">
        <f t="shared" si="210"/>
        <v>East Cal.</v>
      </c>
      <c r="H342" s="363" t="str">
        <f t="shared" si="210"/>
        <v>S-4</v>
      </c>
      <c r="I342" s="364" t="str">
        <f t="shared" si="210"/>
        <v>Total CRWPP</v>
      </c>
      <c r="K342" s="351" t="str">
        <f t="shared" ref="K342:W342" si="211">VLOOKUP(K$24,subwatgeog,2,FALSE)</f>
        <v>Coastal</v>
      </c>
      <c r="L342" s="351" t="str">
        <f t="shared" si="211"/>
        <v>Tidal Cal.</v>
      </c>
      <c r="M342" s="351" t="str">
        <f t="shared" si="211"/>
        <v>West Cal.</v>
      </c>
      <c r="N342" s="351" t="str">
        <f t="shared" si="211"/>
        <v>East Cal.</v>
      </c>
      <c r="O342" s="351" t="str">
        <f t="shared" si="211"/>
        <v>S-4</v>
      </c>
      <c r="P342" s="355" t="str">
        <f t="shared" si="211"/>
        <v>Total CRWPP</v>
      </c>
      <c r="R342" s="352" t="str">
        <f t="shared" si="211"/>
        <v>Coastal</v>
      </c>
      <c r="S342" s="352" t="str">
        <f t="shared" si="211"/>
        <v>Tidal Cal.</v>
      </c>
      <c r="T342" s="352" t="str">
        <f t="shared" si="211"/>
        <v>West Cal.</v>
      </c>
      <c r="U342" s="352" t="str">
        <f t="shared" si="211"/>
        <v>East Cal.</v>
      </c>
      <c r="V342" s="352" t="str">
        <f t="shared" si="211"/>
        <v>S-4</v>
      </c>
      <c r="W342" s="356" t="str">
        <f t="shared" si="211"/>
        <v>Total CRWPP</v>
      </c>
    </row>
    <row r="343" spans="1:23">
      <c r="B343" t="s">
        <v>720</v>
      </c>
      <c r="D343" s="241">
        <f>D$273</f>
        <v>222351.6538822767</v>
      </c>
      <c r="E343" s="241">
        <f t="shared" ref="E343:H343" si="212">E$273</f>
        <v>436972.92238569196</v>
      </c>
      <c r="F343" s="241">
        <f t="shared" si="212"/>
        <v>592268.25223140384</v>
      </c>
      <c r="G343" s="241">
        <f t="shared" si="212"/>
        <v>299038.44256774255</v>
      </c>
      <c r="H343" s="241">
        <f t="shared" si="212"/>
        <v>63034.099834710752</v>
      </c>
      <c r="I343" s="593">
        <f>SUM(D343:H343)</f>
        <v>1613665.3709018258</v>
      </c>
      <c r="J343" s="210"/>
      <c r="K343" s="210">
        <f>K$273</f>
        <v>279.87843689967673</v>
      </c>
      <c r="L343" s="210">
        <f t="shared" ref="L343:O343" si="213">L$273</f>
        <v>613.41444119437494</v>
      </c>
      <c r="M343" s="210">
        <f t="shared" si="213"/>
        <v>836.52003210814962</v>
      </c>
      <c r="N343" s="210">
        <f t="shared" si="213"/>
        <v>428.90177939729006</v>
      </c>
      <c r="O343" s="210">
        <f t="shared" si="213"/>
        <v>123.90739138351346</v>
      </c>
      <c r="P343" s="210">
        <f t="shared" ref="P343:P352" si="214">SUM(K343:O343)</f>
        <v>2282.6220809830047</v>
      </c>
      <c r="Q343" s="210"/>
      <c r="R343" s="210">
        <f>R$273</f>
        <v>29.5393937045421</v>
      </c>
      <c r="S343" s="210">
        <f t="shared" ref="S343:V343" si="215">S$273</f>
        <v>90.866994772711692</v>
      </c>
      <c r="T343" s="210">
        <f t="shared" si="215"/>
        <v>91.007526370333295</v>
      </c>
      <c r="U343" s="210">
        <f t="shared" si="215"/>
        <v>40.809249591759809</v>
      </c>
      <c r="V343" s="210">
        <f t="shared" si="215"/>
        <v>8.1516220279643132</v>
      </c>
      <c r="W343" s="210">
        <f t="shared" ref="W343:W352" si="216">SUM(R343:V343)</f>
        <v>260.3747864673112</v>
      </c>
    </row>
    <row r="344" spans="1:23">
      <c r="B344" s="61" t="s">
        <v>703</v>
      </c>
      <c r="D344" s="550"/>
      <c r="E344" s="550"/>
      <c r="F344" s="550"/>
      <c r="G344" s="550"/>
      <c r="H344" s="550"/>
      <c r="I344" s="550"/>
      <c r="J344" s="210"/>
      <c r="K344" s="210">
        <f>K$305</f>
        <v>3.5227013543673755</v>
      </c>
      <c r="L344" s="210">
        <f t="shared" ref="L344:O344" si="217">L$305</f>
        <v>8.8800767269185705</v>
      </c>
      <c r="M344" s="210">
        <f t="shared" si="217"/>
        <v>1.718064992733991</v>
      </c>
      <c r="N344" s="210">
        <f t="shared" si="217"/>
        <v>0.34957506093793744</v>
      </c>
      <c r="O344" s="210">
        <f t="shared" si="217"/>
        <v>0.46247193035560419</v>
      </c>
      <c r="P344" s="210">
        <f t="shared" si="214"/>
        <v>14.93289006531348</v>
      </c>
      <c r="Q344" s="210"/>
      <c r="R344" s="210">
        <f>R$305</f>
        <v>0.50532000856068227</v>
      </c>
      <c r="S344" s="210">
        <f t="shared" ref="S344:V344" si="218">S$305</f>
        <v>1.6400604601378219</v>
      </c>
      <c r="T344" s="210">
        <f t="shared" si="218"/>
        <v>0.23054758550874835</v>
      </c>
      <c r="U344" s="210">
        <f t="shared" si="218"/>
        <v>5.0600026544107099E-2</v>
      </c>
      <c r="V344" s="210">
        <f t="shared" si="218"/>
        <v>7.1021500973680637E-2</v>
      </c>
      <c r="W344" s="210">
        <f t="shared" si="216"/>
        <v>2.4975495817250404</v>
      </c>
    </row>
    <row r="345" spans="1:23">
      <c r="B345" s="61" t="s">
        <v>704</v>
      </c>
      <c r="D345" s="550"/>
      <c r="E345" s="550"/>
      <c r="F345" s="550"/>
      <c r="G345" s="550"/>
      <c r="H345" s="550"/>
      <c r="I345" s="550"/>
      <c r="J345" s="210"/>
      <c r="K345" s="210">
        <f>K$306</f>
        <v>1.8715258975311024</v>
      </c>
      <c r="L345" s="210">
        <f t="shared" ref="L345:O345" si="219">L$306</f>
        <v>9.2409445907171097</v>
      </c>
      <c r="M345" s="210">
        <f t="shared" si="219"/>
        <v>24.978681992177684</v>
      </c>
      <c r="N345" s="210">
        <f t="shared" si="219"/>
        <v>14.327032671887883</v>
      </c>
      <c r="O345" s="210">
        <f t="shared" si="219"/>
        <v>0.57989695618331971</v>
      </c>
      <c r="P345" s="210">
        <f t="shared" si="214"/>
        <v>50.998082108497101</v>
      </c>
      <c r="Q345" s="210"/>
      <c r="R345" s="210">
        <f>R$306</f>
        <v>0.33033246943328981</v>
      </c>
      <c r="S345" s="210">
        <f t="shared" ref="S345:V345" si="220">S$306</f>
        <v>1.6055625131170423</v>
      </c>
      <c r="T345" s="210">
        <f t="shared" si="220"/>
        <v>3.4976402694734521</v>
      </c>
      <c r="U345" s="210">
        <f t="shared" si="220"/>
        <v>1.6175276020258766</v>
      </c>
      <c r="V345" s="210">
        <f t="shared" si="220"/>
        <v>2.9018952300613261E-2</v>
      </c>
      <c r="W345" s="210">
        <f t="shared" si="216"/>
        <v>7.0800818063502744</v>
      </c>
    </row>
    <row r="346" spans="1:23">
      <c r="B346" s="61" t="s">
        <v>707</v>
      </c>
      <c r="D346" s="211"/>
      <c r="E346" s="211"/>
      <c r="F346" s="211"/>
      <c r="G346" s="211"/>
      <c r="H346" s="211"/>
      <c r="I346" s="211"/>
      <c r="J346" s="210"/>
      <c r="K346" s="210">
        <f>K$334</f>
        <v>2.1039934122266111</v>
      </c>
      <c r="L346" s="210">
        <f t="shared" ref="L346:O346" si="221">L$334</f>
        <v>2.1999767654632123</v>
      </c>
      <c r="M346" s="210">
        <f t="shared" si="221"/>
        <v>0.99659988619100504</v>
      </c>
      <c r="N346" s="210">
        <f t="shared" si="221"/>
        <v>0.14539048583166053</v>
      </c>
      <c r="O346" s="210">
        <f t="shared" si="221"/>
        <v>0.15512030474222521</v>
      </c>
      <c r="P346" s="210">
        <f t="shared" si="214"/>
        <v>5.6010808544547137</v>
      </c>
      <c r="Q346" s="210"/>
      <c r="R346" s="210">
        <f>R$334</f>
        <v>0.26497092420031892</v>
      </c>
      <c r="S346" s="210">
        <f t="shared" ref="S346:V346" si="222">S$334</f>
        <v>0.44035002712034144</v>
      </c>
      <c r="T346" s="210">
        <f t="shared" si="222"/>
        <v>0.13940001891481296</v>
      </c>
      <c r="U346" s="210">
        <f t="shared" si="222"/>
        <v>2.2770592481161381E-2</v>
      </c>
      <c r="V346" s="210">
        <f t="shared" si="222"/>
        <v>2.4969678705228638E-2</v>
      </c>
      <c r="W346" s="210">
        <f t="shared" si="216"/>
        <v>0.89246124142186345</v>
      </c>
    </row>
    <row r="347" spans="1:23">
      <c r="B347" s="61" t="s">
        <v>708</v>
      </c>
      <c r="D347" s="211"/>
      <c r="E347" s="211"/>
      <c r="F347" s="211"/>
      <c r="G347" s="211"/>
      <c r="H347" s="211"/>
      <c r="I347" s="211"/>
      <c r="J347" s="210"/>
      <c r="K347" s="210">
        <f>K$335</f>
        <v>0.6381541262882604</v>
      </c>
      <c r="L347" s="210">
        <f t="shared" ref="L347:O347" si="223">L$335</f>
        <v>2.530632865652763</v>
      </c>
      <c r="M347" s="210">
        <f t="shared" si="223"/>
        <v>10.67570392503046</v>
      </c>
      <c r="N347" s="210">
        <f t="shared" si="223"/>
        <v>8.0474768506966985</v>
      </c>
      <c r="O347" s="210">
        <f t="shared" si="223"/>
        <v>4.3057583389141012</v>
      </c>
      <c r="P347" s="210">
        <f t="shared" si="214"/>
        <v>26.197726106582287</v>
      </c>
      <c r="Q347" s="210"/>
      <c r="R347" s="210">
        <f>R$335</f>
        <v>0.11918084259105477</v>
      </c>
      <c r="S347" s="210">
        <f t="shared" ref="S347:V347" si="224">S$335</f>
        <v>0.49331330301054499</v>
      </c>
      <c r="T347" s="210">
        <f t="shared" si="224"/>
        <v>1.3601824932289783</v>
      </c>
      <c r="U347" s="210">
        <f t="shared" si="224"/>
        <v>0.72737903649432123</v>
      </c>
      <c r="V347" s="210">
        <f t="shared" si="224"/>
        <v>0.20106667932994182</v>
      </c>
      <c r="W347" s="210">
        <f t="shared" si="216"/>
        <v>2.9011223546548415</v>
      </c>
    </row>
    <row r="348" spans="1:23">
      <c r="B348" s="59" t="s">
        <v>726</v>
      </c>
      <c r="D348" s="550"/>
      <c r="E348" s="550"/>
      <c r="F348" s="550"/>
      <c r="G348" s="550"/>
      <c r="H348" s="550"/>
      <c r="I348" s="550"/>
      <c r="J348" s="210"/>
      <c r="K348" s="210">
        <f>K$307</f>
        <v>5.3942272518984797</v>
      </c>
      <c r="L348" s="210">
        <f t="shared" ref="L348:O348" si="225">L$307</f>
        <v>18.121021317635684</v>
      </c>
      <c r="M348" s="210">
        <f t="shared" si="225"/>
        <v>26.696746984911677</v>
      </c>
      <c r="N348" s="210">
        <f t="shared" si="225"/>
        <v>14.67660773282582</v>
      </c>
      <c r="O348" s="210">
        <f t="shared" si="225"/>
        <v>1.0423688865389238</v>
      </c>
      <c r="P348" s="210">
        <f t="shared" si="214"/>
        <v>65.930972173810588</v>
      </c>
      <c r="Q348" s="210"/>
      <c r="R348" s="210">
        <f>R$307</f>
        <v>0.83565247799397224</v>
      </c>
      <c r="S348" s="210">
        <f t="shared" ref="S348:V348" si="226">S$307</f>
        <v>3.2456229732548643</v>
      </c>
      <c r="T348" s="210">
        <f t="shared" si="226"/>
        <v>3.7281878549822003</v>
      </c>
      <c r="U348" s="210">
        <f t="shared" si="226"/>
        <v>1.6681276285699835</v>
      </c>
      <c r="V348" s="210">
        <f t="shared" si="226"/>
        <v>0.10004045327429391</v>
      </c>
      <c r="W348" s="210">
        <f t="shared" si="216"/>
        <v>9.5776313880753143</v>
      </c>
    </row>
    <row r="349" spans="1:23">
      <c r="B349" s="59" t="s">
        <v>727</v>
      </c>
      <c r="D349" s="211"/>
      <c r="E349" s="211"/>
      <c r="F349" s="211"/>
      <c r="G349" s="211"/>
      <c r="H349" s="211"/>
      <c r="I349" s="211"/>
      <c r="J349" s="210"/>
      <c r="K349" s="210">
        <f>K$336</f>
        <v>2.7421475385148715</v>
      </c>
      <c r="L349" s="210">
        <f t="shared" ref="L349:O349" si="227">L$336</f>
        <v>4.7306096311159758</v>
      </c>
      <c r="M349" s="210">
        <f t="shared" si="227"/>
        <v>11.672303811221465</v>
      </c>
      <c r="N349" s="210">
        <f t="shared" si="227"/>
        <v>8.1928673365283604</v>
      </c>
      <c r="O349" s="210">
        <f t="shared" si="227"/>
        <v>4.4608786436563266</v>
      </c>
      <c r="P349" s="210">
        <f t="shared" si="214"/>
        <v>31.798806961036998</v>
      </c>
      <c r="Q349" s="210"/>
      <c r="R349" s="210">
        <f>R$336</f>
        <v>0.38415176679137364</v>
      </c>
      <c r="S349" s="210">
        <f t="shared" ref="S349:V349" si="228">S$336</f>
        <v>0.93366333013088632</v>
      </c>
      <c r="T349" s="210">
        <f t="shared" si="228"/>
        <v>1.4995825121437913</v>
      </c>
      <c r="U349" s="210">
        <f t="shared" si="228"/>
        <v>0.75014962897548254</v>
      </c>
      <c r="V349" s="210">
        <f t="shared" si="228"/>
        <v>0.22603635803517047</v>
      </c>
      <c r="W349" s="210">
        <f t="shared" si="216"/>
        <v>3.7935835960767048</v>
      </c>
    </row>
    <row r="350" spans="1:23">
      <c r="B350" s="61" t="s">
        <v>945</v>
      </c>
      <c r="D350" s="211"/>
      <c r="E350" s="211"/>
      <c r="F350" s="211"/>
      <c r="G350" s="211"/>
      <c r="H350" s="211"/>
      <c r="I350" s="211"/>
      <c r="J350" s="210"/>
      <c r="K350" s="210">
        <f>K344+K346</f>
        <v>5.626694766593987</v>
      </c>
      <c r="L350" s="210">
        <f t="shared" ref="L350:O350" si="229">L344+L346</f>
        <v>11.080053492381783</v>
      </c>
      <c r="M350" s="210">
        <f t="shared" si="229"/>
        <v>2.7146648789249959</v>
      </c>
      <c r="N350" s="210">
        <f t="shared" si="229"/>
        <v>0.49496554676959797</v>
      </c>
      <c r="O350" s="210">
        <f t="shared" si="229"/>
        <v>0.61759223509782935</v>
      </c>
      <c r="P350" s="210">
        <f t="shared" si="214"/>
        <v>20.533970919768194</v>
      </c>
      <c r="Q350" s="210"/>
      <c r="R350" s="210">
        <f>R344+R346</f>
        <v>0.77029093276100125</v>
      </c>
      <c r="S350" s="210">
        <f t="shared" ref="S350:V350" si="230">S344+S346</f>
        <v>2.0804104872581632</v>
      </c>
      <c r="T350" s="210">
        <f t="shared" si="230"/>
        <v>0.36994760442356134</v>
      </c>
      <c r="U350" s="210">
        <f t="shared" si="230"/>
        <v>7.337061902526848E-2</v>
      </c>
      <c r="V350" s="210">
        <f t="shared" si="230"/>
        <v>9.5991179678909272E-2</v>
      </c>
      <c r="W350" s="210">
        <f t="shared" si="216"/>
        <v>3.3900108231469033</v>
      </c>
    </row>
    <row r="351" spans="1:23">
      <c r="B351" s="61" t="s">
        <v>946</v>
      </c>
      <c r="D351" s="211"/>
      <c r="E351" s="211"/>
      <c r="F351" s="211"/>
      <c r="G351" s="211"/>
      <c r="H351" s="211"/>
      <c r="I351" s="211"/>
      <c r="J351" s="210"/>
      <c r="K351" s="210">
        <f>K345+K347</f>
        <v>2.5096800238193628</v>
      </c>
      <c r="L351" s="210">
        <f t="shared" ref="L351:O351" si="231">L345+L347</f>
        <v>11.771577456369872</v>
      </c>
      <c r="M351" s="210">
        <f t="shared" si="231"/>
        <v>35.654385917208145</v>
      </c>
      <c r="N351" s="210">
        <f t="shared" si="231"/>
        <v>22.374509522584582</v>
      </c>
      <c r="O351" s="210">
        <f t="shared" si="231"/>
        <v>4.885655295097421</v>
      </c>
      <c r="P351" s="210">
        <f t="shared" si="214"/>
        <v>77.195808215079381</v>
      </c>
      <c r="Q351" s="210"/>
      <c r="R351" s="210">
        <f>R345+R347</f>
        <v>0.44951331202434458</v>
      </c>
      <c r="S351" s="210">
        <f t="shared" ref="S351:V351" si="232">S345+S347</f>
        <v>2.0988758161275873</v>
      </c>
      <c r="T351" s="210">
        <f t="shared" si="232"/>
        <v>4.8578227627024306</v>
      </c>
      <c r="U351" s="210">
        <f t="shared" si="232"/>
        <v>2.344906638520198</v>
      </c>
      <c r="V351" s="210">
        <f t="shared" si="232"/>
        <v>0.23008563163055509</v>
      </c>
      <c r="W351" s="210">
        <f t="shared" si="216"/>
        <v>9.981204161005115</v>
      </c>
    </row>
    <row r="352" spans="1:23">
      <c r="B352" t="s">
        <v>667</v>
      </c>
      <c r="D352" s="211"/>
      <c r="E352" s="211"/>
      <c r="F352" s="211"/>
      <c r="G352" s="211"/>
      <c r="H352" s="211"/>
      <c r="I352" s="211"/>
      <c r="J352" s="210"/>
      <c r="K352" s="210">
        <f>K348+K349</f>
        <v>8.1363747904133508</v>
      </c>
      <c r="L352" s="210">
        <f t="shared" ref="L352:O352" si="233">L348+L349</f>
        <v>22.851630948751659</v>
      </c>
      <c r="M352" s="210">
        <f t="shared" si="233"/>
        <v>38.369050796133138</v>
      </c>
      <c r="N352" s="210">
        <f t="shared" si="233"/>
        <v>22.869475069354181</v>
      </c>
      <c r="O352" s="210">
        <f t="shared" si="233"/>
        <v>5.5032475301952504</v>
      </c>
      <c r="P352" s="210">
        <f t="shared" si="214"/>
        <v>97.729779134847576</v>
      </c>
      <c r="Q352" s="210"/>
      <c r="R352" s="210">
        <f>R348+R349</f>
        <v>1.2198042447853459</v>
      </c>
      <c r="S352" s="210">
        <f t="shared" ref="S352:V352" si="234">S348+S349</f>
        <v>4.1792863033857506</v>
      </c>
      <c r="T352" s="210">
        <f t="shared" si="234"/>
        <v>5.2277703671259914</v>
      </c>
      <c r="U352" s="210">
        <f t="shared" si="234"/>
        <v>2.4182772575454661</v>
      </c>
      <c r="V352" s="210">
        <f t="shared" si="234"/>
        <v>0.32607681130946436</v>
      </c>
      <c r="W352" s="210">
        <f t="shared" si="216"/>
        <v>13.371214984152017</v>
      </c>
    </row>
    <row r="353" spans="1:23">
      <c r="B353" s="38" t="s">
        <v>669</v>
      </c>
      <c r="D353" s="550">
        <f>D$336</f>
        <v>222351.6538822767</v>
      </c>
      <c r="E353" s="550">
        <f t="shared" ref="E353:H353" si="235">E$336</f>
        <v>436972.92238569196</v>
      </c>
      <c r="F353" s="550">
        <f t="shared" si="235"/>
        <v>592268.25223140384</v>
      </c>
      <c r="G353" s="550">
        <f t="shared" si="235"/>
        <v>299038.44256774255</v>
      </c>
      <c r="H353" s="550">
        <f t="shared" si="235"/>
        <v>63034.099834710752</v>
      </c>
      <c r="I353" s="545">
        <f>SUM(D353:H353)</f>
        <v>1613665.3709018258</v>
      </c>
      <c r="J353" s="210"/>
      <c r="K353" s="554">
        <f>K343-K352</f>
        <v>271.74206210926337</v>
      </c>
      <c r="L353" s="554">
        <f>L343-L352</f>
        <v>590.56281024562327</v>
      </c>
      <c r="M353" s="554">
        <f>M343-M352</f>
        <v>798.15098131201648</v>
      </c>
      <c r="N353" s="554">
        <f>N343-N352</f>
        <v>406.03230432793589</v>
      </c>
      <c r="O353" s="554">
        <f>O343-O352</f>
        <v>118.4041438533182</v>
      </c>
      <c r="P353" s="554">
        <f t="shared" ref="P353" si="236">SUM(K353:O353)</f>
        <v>2184.8923018481569</v>
      </c>
      <c r="Q353" s="210"/>
      <c r="R353" s="554">
        <f>R343-R352</f>
        <v>28.319589459756752</v>
      </c>
      <c r="S353" s="554">
        <f>S343-S352</f>
        <v>86.687708469325941</v>
      </c>
      <c r="T353" s="554">
        <f>T343-T352</f>
        <v>85.779756003207297</v>
      </c>
      <c r="U353" s="554">
        <f>U343-U352</f>
        <v>38.390972334214339</v>
      </c>
      <c r="V353" s="554">
        <f>V343-V352</f>
        <v>7.8255452166548487</v>
      </c>
      <c r="W353" s="554">
        <f t="shared" ref="W353" si="237">SUM(R353:V353)</f>
        <v>247.00357148315919</v>
      </c>
    </row>
    <row r="354" spans="1:23">
      <c r="B354" s="249" t="s">
        <v>668</v>
      </c>
      <c r="D354" s="211"/>
      <c r="E354" s="211"/>
      <c r="F354" s="211"/>
      <c r="G354" s="211"/>
      <c r="H354" s="211"/>
      <c r="I354" s="211"/>
      <c r="J354" s="210"/>
      <c r="K354" s="555">
        <f t="shared" ref="K354" si="238">K353/D353*mtonacft_mgl</f>
        <v>0.99079485676457946</v>
      </c>
      <c r="L354" s="555">
        <f t="shared" ref="L354" si="239">L353/E353*mtonacft_mgl</f>
        <v>1.0956675745807085</v>
      </c>
      <c r="M354" s="555">
        <f t="shared" ref="M354" si="240">M353/F353*mtonacft_mgl</f>
        <v>1.0925311778035365</v>
      </c>
      <c r="N354" s="555">
        <f t="shared" ref="N354" si="241">N353/G353*mtonacft_mgl</f>
        <v>1.1007807002907626</v>
      </c>
      <c r="O354" s="555">
        <f t="shared" ref="O354" si="242">O353/H353*mtonacft_mgl</f>
        <v>1.5228551192607718</v>
      </c>
      <c r="P354" s="555">
        <f t="shared" ref="P354" si="243">P353/I353*mtonacft_mgl</f>
        <v>1.0977003336995317</v>
      </c>
      <c r="Q354" s="556"/>
      <c r="R354" s="555">
        <f t="shared" ref="R354" si="244">R353/D353*mtonacft_mgl</f>
        <v>0.10325565120326982</v>
      </c>
      <c r="S354" s="555">
        <f t="shared" ref="S354" si="245">S353/E353*mtonacft_mgl</f>
        <v>0.16083117601841881</v>
      </c>
      <c r="T354" s="555">
        <f t="shared" ref="T354" si="246">T353/F353*mtonacft_mgl</f>
        <v>0.11741770673993296</v>
      </c>
      <c r="U354" s="555">
        <f t="shared" ref="U354" si="247">U353/G353*mtonacft_mgl</f>
        <v>0.10408049054335348</v>
      </c>
      <c r="V354" s="555">
        <f t="shared" ref="V354" si="248">V353/H353*mtonacft_mgl</f>
        <v>0.10064826454851741</v>
      </c>
      <c r="W354" s="555">
        <f t="shared" ref="W354" si="249">W353/I353*mtonacft_mgl</f>
        <v>0.12409577470371951</v>
      </c>
    </row>
    <row r="357" spans="1:23">
      <c r="A357" s="353" t="s">
        <v>958</v>
      </c>
      <c r="B357" s="229"/>
      <c r="C357" s="230"/>
      <c r="D357" s="231"/>
      <c r="E357" s="231"/>
      <c r="F357" s="231"/>
      <c r="G357" s="231"/>
      <c r="H357" s="231"/>
      <c r="I357" s="231"/>
      <c r="J357" s="230"/>
      <c r="K357" s="232"/>
      <c r="L357" s="232"/>
      <c r="M357" s="232"/>
      <c r="N357" s="232"/>
      <c r="O357" s="232"/>
      <c r="P357" s="232"/>
      <c r="Q357" s="230"/>
      <c r="R357" s="230"/>
      <c r="S357" s="354"/>
      <c r="T357" s="354"/>
      <c r="U357" s="354"/>
      <c r="V357" s="354"/>
      <c r="W357" s="594" t="s">
        <v>747</v>
      </c>
    </row>
    <row r="359" spans="1:23">
      <c r="D359" s="1440" t="s">
        <v>488</v>
      </c>
      <c r="E359" s="1440"/>
      <c r="F359" s="1440"/>
      <c r="G359" s="1440"/>
      <c r="H359" s="1440"/>
      <c r="I359" s="1440"/>
      <c r="K359" s="1441" t="s">
        <v>1127</v>
      </c>
      <c r="L359" s="1441"/>
      <c r="M359" s="1441"/>
      <c r="N359" s="1441"/>
      <c r="O359" s="1441"/>
      <c r="P359" s="1441"/>
      <c r="R359" s="1442" t="s">
        <v>1128</v>
      </c>
      <c r="S359" s="1442"/>
      <c r="T359" s="1442"/>
      <c r="U359" s="1442"/>
      <c r="V359" s="1442"/>
      <c r="W359" s="1442"/>
    </row>
    <row r="360" spans="1:23">
      <c r="D360" s="363" t="str">
        <f t="shared" ref="D360:I360" si="250">VLOOKUP(D$24,subwatgeog,2,FALSE)</f>
        <v>Coastal</v>
      </c>
      <c r="E360" s="363" t="str">
        <f t="shared" si="250"/>
        <v>Tidal Cal.</v>
      </c>
      <c r="F360" s="363" t="str">
        <f t="shared" si="250"/>
        <v>West Cal.</v>
      </c>
      <c r="G360" s="363" t="str">
        <f t="shared" si="250"/>
        <v>East Cal.</v>
      </c>
      <c r="H360" s="363" t="str">
        <f t="shared" si="250"/>
        <v>S-4</v>
      </c>
      <c r="I360" s="364" t="str">
        <f t="shared" si="250"/>
        <v>Total CRWPP</v>
      </c>
      <c r="K360" s="351" t="str">
        <f t="shared" ref="K360:W360" si="251">VLOOKUP(K$24,subwatgeog,2,FALSE)</f>
        <v>Coastal</v>
      </c>
      <c r="L360" s="351" t="str">
        <f t="shared" si="251"/>
        <v>Tidal Cal.</v>
      </c>
      <c r="M360" s="351" t="str">
        <f t="shared" si="251"/>
        <v>West Cal.</v>
      </c>
      <c r="N360" s="351" t="str">
        <f t="shared" si="251"/>
        <v>East Cal.</v>
      </c>
      <c r="O360" s="351" t="str">
        <f t="shared" si="251"/>
        <v>S-4</v>
      </c>
      <c r="P360" s="355" t="str">
        <f t="shared" si="251"/>
        <v>Total CRWPP</v>
      </c>
      <c r="R360" s="352" t="str">
        <f t="shared" si="251"/>
        <v>Coastal</v>
      </c>
      <c r="S360" s="352" t="str">
        <f t="shared" si="251"/>
        <v>Tidal Cal.</v>
      </c>
      <c r="T360" s="352" t="str">
        <f t="shared" si="251"/>
        <v>West Cal.</v>
      </c>
      <c r="U360" s="352" t="str">
        <f t="shared" si="251"/>
        <v>East Cal.</v>
      </c>
      <c r="V360" s="352" t="str">
        <f t="shared" si="251"/>
        <v>S-4</v>
      </c>
      <c r="W360" s="356" t="str">
        <f t="shared" si="251"/>
        <v>Total CRWPP</v>
      </c>
    </row>
    <row r="361" spans="1:23">
      <c r="B361" t="s">
        <v>720</v>
      </c>
      <c r="D361" s="211">
        <f xml:space="preserve"> D$353</f>
        <v>222351.6538822767</v>
      </c>
      <c r="E361" s="211">
        <f t="shared" ref="E361:H361" si="252" xml:space="preserve"> E$353</f>
        <v>436972.92238569196</v>
      </c>
      <c r="F361" s="211">
        <f t="shared" si="252"/>
        <v>592268.25223140384</v>
      </c>
      <c r="G361" s="211">
        <f t="shared" si="252"/>
        <v>299038.44256774255</v>
      </c>
      <c r="H361" s="211">
        <f t="shared" si="252"/>
        <v>63034.099834710752</v>
      </c>
      <c r="I361" s="592">
        <f>SUM(D361:H361)</f>
        <v>1613665.3709018258</v>
      </c>
      <c r="J361" s="210"/>
      <c r="K361" s="548">
        <f>K$353</f>
        <v>271.74206210926337</v>
      </c>
      <c r="L361" s="548">
        <f t="shared" ref="L361:O361" si="253">L$353</f>
        <v>590.56281024562327</v>
      </c>
      <c r="M361" s="548">
        <f t="shared" si="253"/>
        <v>798.15098131201648</v>
      </c>
      <c r="N361" s="548">
        <f t="shared" si="253"/>
        <v>406.03230432793589</v>
      </c>
      <c r="O361" s="548">
        <f t="shared" si="253"/>
        <v>118.4041438533182</v>
      </c>
      <c r="P361" s="210">
        <f>SUM(K361:O361)</f>
        <v>2184.8923018481569</v>
      </c>
      <c r="Q361" s="210"/>
      <c r="R361" s="548">
        <f>R$353</f>
        <v>28.319589459756752</v>
      </c>
      <c r="S361" s="548">
        <f t="shared" ref="S361:V361" si="254">S$353</f>
        <v>86.687708469325941</v>
      </c>
      <c r="T361" s="548">
        <f t="shared" si="254"/>
        <v>85.779756003207297</v>
      </c>
      <c r="U361" s="548">
        <f t="shared" si="254"/>
        <v>38.390972334214339</v>
      </c>
      <c r="V361" s="548">
        <f t="shared" si="254"/>
        <v>7.8255452166548487</v>
      </c>
      <c r="W361" s="210">
        <f>SUM(R361:V361)</f>
        <v>247.00357148315919</v>
      </c>
    </row>
    <row r="362" spans="1:23">
      <c r="B362" t="s">
        <v>673</v>
      </c>
      <c r="D362" s="549">
        <f>-VLOOKUP(D$25,dispersedsum,3,FALSE)</f>
        <v>0</v>
      </c>
      <c r="E362" s="549">
        <f>-VLOOKUP(E$25,dispersedsum,3,FALSE)</f>
        <v>0</v>
      </c>
      <c r="F362" s="549">
        <f>-VLOOKUP(F$25,dispersedsum,3,FALSE)</f>
        <v>0</v>
      </c>
      <c r="G362" s="549">
        <f>-VLOOKUP(G$25,dispersedsum,3,FALSE)</f>
        <v>-150</v>
      </c>
      <c r="H362" s="549">
        <f>-VLOOKUP(H$25,dispersedsum,3,FALSE)</f>
        <v>-1448</v>
      </c>
      <c r="I362" s="592">
        <f t="shared" ref="I362:I363" si="255">SUM(D362:H362)</f>
        <v>-1598</v>
      </c>
      <c r="J362" s="210"/>
      <c r="K362" s="210">
        <f>VLOOKUP(K$25,dispersedsum,11,FALSE)/1000</f>
        <v>0</v>
      </c>
      <c r="L362" s="210">
        <f>VLOOKUP(L$25,dispersedsum,11,FALSE)/1000</f>
        <v>0</v>
      </c>
      <c r="M362" s="210">
        <f>VLOOKUP(M$25,dispersedsum,11,FALSE)/1000</f>
        <v>0</v>
      </c>
      <c r="N362" s="210">
        <f>VLOOKUP(N$25,dispersedsum,11,FALSE)/1000</f>
        <v>0.20272290798525699</v>
      </c>
      <c r="O362" s="210">
        <f>VLOOKUP(O$25,dispersedsum,11,FALSE)/1000</f>
        <v>1.9513499441942905</v>
      </c>
      <c r="P362" s="210">
        <f>SUM(K362:O362)</f>
        <v>2.1540728521795476</v>
      </c>
      <c r="Q362" s="210"/>
      <c r="R362" s="210">
        <f>VLOOKUP(R$25,dispersedsum,7,FALSE)/1000</f>
        <v>0</v>
      </c>
      <c r="S362" s="210">
        <f>VLOOKUP(S$25,dispersedsum,7,FALSE)/1000</f>
        <v>0</v>
      </c>
      <c r="T362" s="210">
        <f>VLOOKUP(T$25,dispersedsum,7,FALSE)/1000</f>
        <v>0</v>
      </c>
      <c r="U362" s="210">
        <f>VLOOKUP(U$25,dispersedsum,7,FALSE)/1000</f>
        <v>2.9757350179519179E-2</v>
      </c>
      <c r="V362" s="210">
        <f>VLOOKUP(V$25,dispersedsum,7,FALSE)/1000</f>
        <v>0.2097176173544327</v>
      </c>
      <c r="W362" s="210">
        <f>SUM(R362:V362)</f>
        <v>0.23947496753395187</v>
      </c>
    </row>
    <row r="363" spans="1:23">
      <c r="B363" s="38" t="s">
        <v>669</v>
      </c>
      <c r="D363" s="550">
        <f>D361+D362</f>
        <v>222351.6538822767</v>
      </c>
      <c r="E363" s="550">
        <f t="shared" ref="E363:H363" si="256">E361+E362</f>
        <v>436972.92238569196</v>
      </c>
      <c r="F363" s="550">
        <f t="shared" si="256"/>
        <v>592268.25223140384</v>
      </c>
      <c r="G363" s="550">
        <f t="shared" si="256"/>
        <v>298888.44256774255</v>
      </c>
      <c r="H363" s="550">
        <f t="shared" si="256"/>
        <v>61586.099834710752</v>
      </c>
      <c r="I363" s="591">
        <f t="shared" si="255"/>
        <v>1612067.3709018258</v>
      </c>
      <c r="J363" s="210"/>
      <c r="K363" s="551">
        <f>K361-K362</f>
        <v>271.74206210926337</v>
      </c>
      <c r="L363" s="551">
        <f t="shared" ref="L363:O363" si="257">L361-L362</f>
        <v>590.56281024562327</v>
      </c>
      <c r="M363" s="551">
        <f t="shared" si="257"/>
        <v>798.15098131201648</v>
      </c>
      <c r="N363" s="551">
        <f t="shared" si="257"/>
        <v>405.82958141995061</v>
      </c>
      <c r="O363" s="551">
        <f t="shared" si="257"/>
        <v>116.45279390912391</v>
      </c>
      <c r="P363" s="554">
        <f>SUM(K363:O363)</f>
        <v>2182.7382289959778</v>
      </c>
      <c r="Q363" s="210"/>
      <c r="R363" s="551">
        <f>R361-R362</f>
        <v>28.319589459756752</v>
      </c>
      <c r="S363" s="551">
        <f t="shared" ref="S363:V363" si="258">S361-S362</f>
        <v>86.687708469325941</v>
      </c>
      <c r="T363" s="551">
        <f t="shared" si="258"/>
        <v>85.779756003207297</v>
      </c>
      <c r="U363" s="551">
        <f t="shared" si="258"/>
        <v>38.361214984034824</v>
      </c>
      <c r="V363" s="551">
        <f t="shared" si="258"/>
        <v>7.6158275993004159</v>
      </c>
      <c r="W363" s="554">
        <f>SUM(R363:V363)</f>
        <v>246.76409651562525</v>
      </c>
    </row>
    <row r="364" spans="1:23">
      <c r="B364" s="249" t="s">
        <v>668</v>
      </c>
      <c r="D364" s="559"/>
      <c r="E364" s="559"/>
      <c r="F364" s="559"/>
      <c r="G364" s="559"/>
      <c r="H364" s="559"/>
      <c r="I364" s="559"/>
      <c r="J364" s="560"/>
      <c r="K364" s="555">
        <f t="shared" ref="K364" si="259">K363/D363*mtonacft_mgl</f>
        <v>0.99079485676457946</v>
      </c>
      <c r="L364" s="555">
        <f t="shared" ref="L364" si="260">L363/E363*mtonacft_mgl</f>
        <v>1.0956675745807085</v>
      </c>
      <c r="M364" s="555">
        <f t="shared" ref="M364" si="261">M363/F363*mtonacft_mgl</f>
        <v>1.0925311778035365</v>
      </c>
      <c r="N364" s="555">
        <f t="shared" ref="N364" si="262">N363/G363*mtonacft_mgl</f>
        <v>1.1007832663614006</v>
      </c>
      <c r="O364" s="555">
        <f t="shared" ref="O364" si="263">O363/H363*mtonacft_mgl</f>
        <v>1.532972809273655</v>
      </c>
      <c r="P364" s="555">
        <f t="shared" ref="P364" si="264">P363/I363*mtonacft_mgl</f>
        <v>1.0977051659117247</v>
      </c>
      <c r="Q364" s="556"/>
      <c r="R364" s="555">
        <f t="shared" ref="R364" si="265">R363/D363*mtonacft_mgl</f>
        <v>0.10325565120326982</v>
      </c>
      <c r="S364" s="555">
        <f t="shared" ref="S364" si="266">S363/E363*mtonacft_mgl</f>
        <v>0.16083117601841881</v>
      </c>
      <c r="T364" s="555">
        <f t="shared" ref="T364" si="267">T363/F363*mtonacft_mgl</f>
        <v>0.11741770673993296</v>
      </c>
      <c r="U364" s="555">
        <f t="shared" ref="U364" si="268">U363/G363*mtonacft_mgl</f>
        <v>0.10405200967354089</v>
      </c>
      <c r="V364" s="555">
        <f t="shared" ref="V364" si="269">V363/H363*mtonacft_mgl</f>
        <v>0.10025398479450896</v>
      </c>
      <c r="W364" s="555">
        <f t="shared" ref="W364" si="270">W363/I363*mtonacft_mgl</f>
        <v>0.124098354950854</v>
      </c>
    </row>
    <row r="367" spans="1:23">
      <c r="A367" s="353" t="s">
        <v>959</v>
      </c>
      <c r="B367" s="229"/>
      <c r="C367" s="230"/>
      <c r="D367" s="231"/>
      <c r="E367" s="231"/>
      <c r="F367" s="231"/>
      <c r="G367" s="231"/>
      <c r="H367" s="231"/>
      <c r="I367" s="231"/>
      <c r="J367" s="230"/>
      <c r="K367" s="232"/>
      <c r="L367" s="232"/>
      <c r="M367" s="232"/>
      <c r="N367" s="232"/>
      <c r="O367" s="232"/>
      <c r="P367" s="232"/>
      <c r="Q367" s="230"/>
      <c r="R367" s="230"/>
      <c r="S367" s="354"/>
      <c r="T367" s="354"/>
      <c r="U367" s="354"/>
      <c r="V367" s="354"/>
      <c r="W367" s="594" t="s">
        <v>748</v>
      </c>
    </row>
    <row r="369" spans="1:23">
      <c r="D369" s="1440" t="s">
        <v>488</v>
      </c>
      <c r="E369" s="1440"/>
      <c r="F369" s="1440"/>
      <c r="G369" s="1440"/>
      <c r="H369" s="1440"/>
      <c r="I369" s="1440"/>
      <c r="K369" s="1441" t="s">
        <v>1129</v>
      </c>
      <c r="L369" s="1441"/>
      <c r="M369" s="1441"/>
      <c r="N369" s="1441"/>
      <c r="O369" s="1441"/>
      <c r="P369" s="1441"/>
      <c r="R369" s="1442" t="s">
        <v>1130</v>
      </c>
      <c r="S369" s="1442"/>
      <c r="T369" s="1442"/>
      <c r="U369" s="1442"/>
      <c r="V369" s="1442"/>
      <c r="W369" s="1442"/>
    </row>
    <row r="370" spans="1:23">
      <c r="D370" s="363" t="str">
        <f t="shared" ref="D370:I370" si="271">VLOOKUP(D$24,subwatgeog,2,FALSE)</f>
        <v>Coastal</v>
      </c>
      <c r="E370" s="363" t="str">
        <f t="shared" si="271"/>
        <v>Tidal Cal.</v>
      </c>
      <c r="F370" s="363" t="str">
        <f t="shared" si="271"/>
        <v>West Cal.</v>
      </c>
      <c r="G370" s="363" t="str">
        <f t="shared" si="271"/>
        <v>East Cal.</v>
      </c>
      <c r="H370" s="363" t="str">
        <f t="shared" si="271"/>
        <v>S-4</v>
      </c>
      <c r="I370" s="364" t="str">
        <f t="shared" si="271"/>
        <v>Total CRWPP</v>
      </c>
      <c r="K370" s="351" t="str">
        <f t="shared" ref="K370:W370" si="272">VLOOKUP(K$24,subwatgeog,2,FALSE)</f>
        <v>Coastal</v>
      </c>
      <c r="L370" s="351" t="str">
        <f t="shared" si="272"/>
        <v>Tidal Cal.</v>
      </c>
      <c r="M370" s="351" t="str">
        <f t="shared" si="272"/>
        <v>West Cal.</v>
      </c>
      <c r="N370" s="351" t="str">
        <f t="shared" si="272"/>
        <v>East Cal.</v>
      </c>
      <c r="O370" s="351" t="str">
        <f t="shared" si="272"/>
        <v>S-4</v>
      </c>
      <c r="P370" s="355" t="str">
        <f t="shared" si="272"/>
        <v>Total CRWPP</v>
      </c>
      <c r="R370" s="352" t="str">
        <f t="shared" si="272"/>
        <v>Coastal</v>
      </c>
      <c r="S370" s="352" t="str">
        <f t="shared" si="272"/>
        <v>Tidal Cal.</v>
      </c>
      <c r="T370" s="352" t="str">
        <f t="shared" si="272"/>
        <v>West Cal.</v>
      </c>
      <c r="U370" s="352" t="str">
        <f t="shared" si="272"/>
        <v>East Cal.</v>
      </c>
      <c r="V370" s="352" t="str">
        <f t="shared" si="272"/>
        <v>S-4</v>
      </c>
      <c r="W370" s="356" t="str">
        <f t="shared" si="272"/>
        <v>Total CRWPP</v>
      </c>
    </row>
    <row r="371" spans="1:23">
      <c r="B371" t="s">
        <v>720</v>
      </c>
      <c r="D371" s="211">
        <f>D$363</f>
        <v>222351.6538822767</v>
      </c>
      <c r="E371" s="211">
        <f t="shared" ref="E371:H371" si="273">E$363</f>
        <v>436972.92238569196</v>
      </c>
      <c r="F371" s="211">
        <f t="shared" si="273"/>
        <v>592268.25223140384</v>
      </c>
      <c r="G371" s="211">
        <f t="shared" si="273"/>
        <v>298888.44256774255</v>
      </c>
      <c r="H371" s="211">
        <f t="shared" si="273"/>
        <v>61586.099834710752</v>
      </c>
      <c r="I371" s="592">
        <f t="shared" ref="I371:I373" si="274">SUM(D371:H371)</f>
        <v>1612067.3709018258</v>
      </c>
      <c r="J371" s="210"/>
      <c r="K371" s="210">
        <f>K$363</f>
        <v>271.74206210926337</v>
      </c>
      <c r="L371" s="210">
        <f t="shared" ref="L371:O371" si="275">L$363</f>
        <v>590.56281024562327</v>
      </c>
      <c r="M371" s="210">
        <f t="shared" si="275"/>
        <v>798.15098131201648</v>
      </c>
      <c r="N371" s="210">
        <f t="shared" si="275"/>
        <v>405.82958141995061</v>
      </c>
      <c r="O371" s="210">
        <f t="shared" si="275"/>
        <v>116.45279390912391</v>
      </c>
      <c r="P371" s="548">
        <f t="shared" ref="P371:P373" si="276">SUM(K371:O371)</f>
        <v>2182.7382289959778</v>
      </c>
      <c r="Q371" s="210"/>
      <c r="R371" s="210">
        <f>R$363</f>
        <v>28.319589459756752</v>
      </c>
      <c r="S371" s="210">
        <f t="shared" ref="S371:V371" si="277">S$363</f>
        <v>86.687708469325941</v>
      </c>
      <c r="T371" s="210">
        <f t="shared" si="277"/>
        <v>85.779756003207297</v>
      </c>
      <c r="U371" s="210">
        <f t="shared" si="277"/>
        <v>38.361214984034824</v>
      </c>
      <c r="V371" s="210">
        <f t="shared" si="277"/>
        <v>7.6158275993004159</v>
      </c>
      <c r="W371" s="548">
        <f t="shared" ref="W371:W373" si="278">SUM(R371:V371)</f>
        <v>246.76409651562525</v>
      </c>
    </row>
    <row r="372" spans="1:23">
      <c r="B372" t="s">
        <v>962</v>
      </c>
      <c r="D372" s="211">
        <f>VLOOKUP("2_L_Flow",mm_sum,D$25+1,FALSE)</f>
        <v>0</v>
      </c>
      <c r="E372" s="211">
        <f>VLOOKUP("2_L_Flow",mm_sum,E$25+1,FALSE)</f>
        <v>-1000</v>
      </c>
      <c r="F372" s="211">
        <f>VLOOKUP("2_L_Flow",mm_sum,F$25+1,FALSE)</f>
        <v>0</v>
      </c>
      <c r="G372" s="211">
        <f>VLOOKUP("2_L_Flow",mm_sum,G$25+1,FALSE)</f>
        <v>0</v>
      </c>
      <c r="H372" s="211">
        <f>VLOOKUP("2_L_Flow",mm_sum,H$25+1,FALSE)</f>
        <v>0</v>
      </c>
      <c r="I372" s="592">
        <f t="shared" si="274"/>
        <v>-1000</v>
      </c>
      <c r="J372" s="210"/>
      <c r="K372" s="548">
        <f>VLOOKUP("2_L_TN",mm_sum,K$25+1,FALSE)/lb_mton</f>
        <v>0</v>
      </c>
      <c r="L372" s="548">
        <f>VLOOKUP("2_L_TN",mm_sum,L$25+1,FALSE)/lb_mton</f>
        <v>1.9731269399999998</v>
      </c>
      <c r="M372" s="548">
        <f>VLOOKUP("2_L_TN",mm_sum,M$25+1,FALSE)/lb_mton</f>
        <v>1.5507416971199999</v>
      </c>
      <c r="N372" s="548">
        <f>VLOOKUP("2_L_TN",mm_sum,N$25+1,FALSE)/lb_mton</f>
        <v>0</v>
      </c>
      <c r="O372" s="548">
        <f>VLOOKUP("2_L_TN",mm_sum,O$25+1,FALSE)/lb_mton</f>
        <v>0</v>
      </c>
      <c r="P372" s="548">
        <f t="shared" si="276"/>
        <v>3.5238686371199996</v>
      </c>
      <c r="Q372" s="210"/>
      <c r="R372" s="548">
        <f>VLOOKUP("2_L_TP",mm_sum,R$25+1,FALSE)/lb_mton</f>
        <v>0</v>
      </c>
      <c r="S372" s="548">
        <f>VLOOKUP("2_L_TP",mm_sum,S$25+1,FALSE)/lb_mton</f>
        <v>0.48080794399999993</v>
      </c>
      <c r="T372" s="548">
        <f>VLOOKUP("2_L_TP",mm_sum,T$25+1,FALSE)/lb_mton</f>
        <v>0.39126880423999993</v>
      </c>
      <c r="U372" s="548">
        <f>VLOOKUP("2_L_TP",mm_sum,U$25+1,FALSE)/lb_mton</f>
        <v>0</v>
      </c>
      <c r="V372" s="548">
        <f>VLOOKUP("2_L_TP",mm_sum,V$25+1,FALSE)/lb_mton</f>
        <v>0</v>
      </c>
      <c r="W372" s="548">
        <f t="shared" si="278"/>
        <v>0.87207674823999981</v>
      </c>
    </row>
    <row r="373" spans="1:23">
      <c r="B373" s="38" t="s">
        <v>669</v>
      </c>
      <c r="D373" s="550">
        <f>D371+D372</f>
        <v>222351.6538822767</v>
      </c>
      <c r="E373" s="550">
        <f t="shared" ref="E373:H373" si="279">E371+E372</f>
        <v>435972.92238569196</v>
      </c>
      <c r="F373" s="550">
        <f t="shared" si="279"/>
        <v>592268.25223140384</v>
      </c>
      <c r="G373" s="550">
        <f t="shared" si="279"/>
        <v>298888.44256774255</v>
      </c>
      <c r="H373" s="550">
        <f t="shared" si="279"/>
        <v>61586.099834710752</v>
      </c>
      <c r="I373" s="591">
        <f t="shared" si="274"/>
        <v>1611067.3709018258</v>
      </c>
      <c r="J373" s="210"/>
      <c r="K373" s="548">
        <f>K371-K372</f>
        <v>271.74206210926337</v>
      </c>
      <c r="L373" s="548">
        <f t="shared" ref="L373:O373" si="280">L371-L372</f>
        <v>588.58968330562323</v>
      </c>
      <c r="M373" s="548">
        <f t="shared" si="280"/>
        <v>796.60023961489651</v>
      </c>
      <c r="N373" s="548">
        <f t="shared" si="280"/>
        <v>405.82958141995061</v>
      </c>
      <c r="O373" s="548">
        <f t="shared" si="280"/>
        <v>116.45279390912391</v>
      </c>
      <c r="P373" s="548">
        <f t="shared" si="276"/>
        <v>2179.2143603588579</v>
      </c>
      <c r="Q373" s="210"/>
      <c r="R373" s="548">
        <f>R371-R372</f>
        <v>28.319589459756752</v>
      </c>
      <c r="S373" s="548">
        <f t="shared" ref="S373:V373" si="281">S371-S372</f>
        <v>86.206900525325935</v>
      </c>
      <c r="T373" s="548">
        <f t="shared" si="281"/>
        <v>85.388487198967297</v>
      </c>
      <c r="U373" s="548">
        <f t="shared" si="281"/>
        <v>38.361214984034824</v>
      </c>
      <c r="V373" s="548">
        <f t="shared" si="281"/>
        <v>7.6158275993004159</v>
      </c>
      <c r="W373" s="548">
        <f t="shared" si="278"/>
        <v>245.89201976738522</v>
      </c>
    </row>
    <row r="374" spans="1:23">
      <c r="B374" s="249" t="s">
        <v>668</v>
      </c>
      <c r="D374" s="211"/>
      <c r="E374" s="211"/>
      <c r="F374" s="211"/>
      <c r="G374" s="211"/>
      <c r="H374" s="211"/>
      <c r="I374" s="211"/>
      <c r="J374" s="210"/>
      <c r="K374" s="558">
        <f t="shared" ref="K374" si="282">K373/D373*mtonacft_mgl</f>
        <v>0.99079485676457946</v>
      </c>
      <c r="L374" s="558">
        <f t="shared" ref="L374" si="283">L373/E373*mtonacft_mgl</f>
        <v>1.0945116026319421</v>
      </c>
      <c r="M374" s="558">
        <f t="shared" ref="M374" si="284">M373/F373*mtonacft_mgl</f>
        <v>1.090408479601702</v>
      </c>
      <c r="N374" s="558">
        <f t="shared" ref="N374" si="285">N373/G373*mtonacft_mgl</f>
        <v>1.1007832663614006</v>
      </c>
      <c r="O374" s="558">
        <f t="shared" ref="O374" si="286">O373/H373*mtonacft_mgl</f>
        <v>1.532972809273655</v>
      </c>
      <c r="P374" s="555">
        <f t="shared" ref="P374" si="287">P373/I373*mtonacft_mgl</f>
        <v>1.0966132552547552</v>
      </c>
      <c r="Q374" s="556"/>
      <c r="R374" s="555">
        <f t="shared" ref="R374" si="288">R373/D373*mtonacft_mgl</f>
        <v>0.10325565120326982</v>
      </c>
      <c r="S374" s="555">
        <f t="shared" ref="S374" si="289">S373/E373*mtonacft_mgl</f>
        <v>0.16030599164089265</v>
      </c>
      <c r="T374" s="555">
        <f t="shared" ref="T374" si="290">T373/F373*mtonacft_mgl</f>
        <v>0.11688212715969937</v>
      </c>
      <c r="U374" s="555">
        <f t="shared" ref="U374" si="291">U373/G373*mtonacft_mgl</f>
        <v>0.10405200967354089</v>
      </c>
      <c r="V374" s="555">
        <f t="shared" ref="V374" si="292">V373/H373*mtonacft_mgl</f>
        <v>0.10025398479450896</v>
      </c>
      <c r="W374" s="555">
        <f t="shared" ref="W374" si="293">W373/I373*mtonacft_mgl</f>
        <v>0.12373654154604372</v>
      </c>
    </row>
    <row r="377" spans="1:23">
      <c r="A377" s="353" t="s">
        <v>960</v>
      </c>
      <c r="B377" s="229"/>
      <c r="C377" s="230"/>
      <c r="D377" s="231"/>
      <c r="E377" s="231"/>
      <c r="F377" s="231"/>
      <c r="G377" s="231"/>
      <c r="H377" s="231"/>
      <c r="I377" s="231"/>
      <c r="J377" s="230"/>
      <c r="K377" s="232"/>
      <c r="L377" s="232"/>
      <c r="M377" s="232"/>
      <c r="N377" s="232"/>
      <c r="O377" s="232"/>
      <c r="P377" s="232"/>
      <c r="Q377" s="230"/>
      <c r="R377" s="230"/>
      <c r="S377" s="354"/>
      <c r="T377" s="354"/>
      <c r="U377" s="354"/>
      <c r="V377" s="354"/>
      <c r="W377" s="594" t="s">
        <v>749</v>
      </c>
    </row>
    <row r="379" spans="1:23">
      <c r="D379" s="1440" t="s">
        <v>488</v>
      </c>
      <c r="E379" s="1440"/>
      <c r="F379" s="1440"/>
      <c r="G379" s="1440"/>
      <c r="H379" s="1440"/>
      <c r="I379" s="1440"/>
      <c r="K379" s="1441" t="s">
        <v>1131</v>
      </c>
      <c r="L379" s="1441"/>
      <c r="M379" s="1441"/>
      <c r="N379" s="1441"/>
      <c r="O379" s="1441"/>
      <c r="P379" s="1441"/>
      <c r="R379" s="1442" t="s">
        <v>1132</v>
      </c>
      <c r="S379" s="1442"/>
      <c r="T379" s="1442"/>
      <c r="U379" s="1442"/>
      <c r="V379" s="1442"/>
      <c r="W379" s="1442"/>
    </row>
    <row r="380" spans="1:23">
      <c r="D380" s="363" t="str">
        <f t="shared" ref="D380:I380" si="294">VLOOKUP(D$24,subwatgeog,2,FALSE)</f>
        <v>Coastal</v>
      </c>
      <c r="E380" s="363" t="str">
        <f t="shared" si="294"/>
        <v>Tidal Cal.</v>
      </c>
      <c r="F380" s="363" t="str">
        <f t="shared" si="294"/>
        <v>West Cal.</v>
      </c>
      <c r="G380" s="363" t="str">
        <f t="shared" si="294"/>
        <v>East Cal.</v>
      </c>
      <c r="H380" s="363" t="str">
        <f t="shared" si="294"/>
        <v>S-4</v>
      </c>
      <c r="I380" s="364" t="str">
        <f t="shared" si="294"/>
        <v>Total CRWPP</v>
      </c>
      <c r="K380" s="351" t="str">
        <f t="shared" ref="K380:W380" si="295">VLOOKUP(K$24,subwatgeog,2,FALSE)</f>
        <v>Coastal</v>
      </c>
      <c r="L380" s="351" t="str">
        <f t="shared" si="295"/>
        <v>Tidal Cal.</v>
      </c>
      <c r="M380" s="351" t="str">
        <f t="shared" si="295"/>
        <v>West Cal.</v>
      </c>
      <c r="N380" s="351" t="str">
        <f t="shared" si="295"/>
        <v>East Cal.</v>
      </c>
      <c r="O380" s="351" t="str">
        <f t="shared" si="295"/>
        <v>S-4</v>
      </c>
      <c r="P380" s="355" t="str">
        <f t="shared" si="295"/>
        <v>Total CRWPP</v>
      </c>
      <c r="R380" s="352" t="str">
        <f t="shared" si="295"/>
        <v>Coastal</v>
      </c>
      <c r="S380" s="352" t="str">
        <f t="shared" si="295"/>
        <v>Tidal Cal.</v>
      </c>
      <c r="T380" s="352" t="str">
        <f t="shared" si="295"/>
        <v>West Cal.</v>
      </c>
      <c r="U380" s="352" t="str">
        <f t="shared" si="295"/>
        <v>East Cal.</v>
      </c>
      <c r="V380" s="352" t="str">
        <f t="shared" si="295"/>
        <v>S-4</v>
      </c>
      <c r="W380" s="356" t="str">
        <f t="shared" si="295"/>
        <v>Total CRWPP</v>
      </c>
    </row>
    <row r="381" spans="1:23">
      <c r="B381" t="s">
        <v>720</v>
      </c>
      <c r="D381" s="211">
        <f>D$373</f>
        <v>222351.6538822767</v>
      </c>
      <c r="E381" s="211">
        <f t="shared" ref="E381:H381" si="296">E$373</f>
        <v>435972.92238569196</v>
      </c>
      <c r="F381" s="211">
        <f t="shared" si="296"/>
        <v>592268.25223140384</v>
      </c>
      <c r="G381" s="211">
        <f t="shared" si="296"/>
        <v>298888.44256774255</v>
      </c>
      <c r="H381" s="211">
        <f t="shared" si="296"/>
        <v>61586.099834710752</v>
      </c>
      <c r="I381" s="592">
        <f>SUM(D381:H381)</f>
        <v>1611067.3709018258</v>
      </c>
      <c r="J381" s="210"/>
      <c r="K381" s="548">
        <f>K$373</f>
        <v>271.74206210926337</v>
      </c>
      <c r="L381" s="548">
        <f t="shared" ref="L381:O381" si="297">L$373</f>
        <v>588.58968330562323</v>
      </c>
      <c r="M381" s="548">
        <f t="shared" si="297"/>
        <v>796.60023961489651</v>
      </c>
      <c r="N381" s="548">
        <f t="shared" si="297"/>
        <v>405.82958141995061</v>
      </c>
      <c r="O381" s="548">
        <f t="shared" si="297"/>
        <v>116.45279390912391</v>
      </c>
      <c r="P381" s="548">
        <f>SUM(K381:O381)</f>
        <v>2179.2143603588579</v>
      </c>
      <c r="Q381" s="210"/>
      <c r="R381" s="548">
        <f>R$373</f>
        <v>28.319589459756752</v>
      </c>
      <c r="S381" s="548">
        <f t="shared" ref="S381:V381" si="298">S$373</f>
        <v>86.206900525325935</v>
      </c>
      <c r="T381" s="548">
        <f t="shared" si="298"/>
        <v>85.388487198967297</v>
      </c>
      <c r="U381" s="548">
        <f t="shared" si="298"/>
        <v>38.361214984034824</v>
      </c>
      <c r="V381" s="548">
        <f t="shared" si="298"/>
        <v>7.6158275993004159</v>
      </c>
      <c r="W381" s="548">
        <f>SUM(R381:V381)</f>
        <v>245.89201976738522</v>
      </c>
    </row>
    <row r="382" spans="1:23">
      <c r="B382" t="s">
        <v>963</v>
      </c>
      <c r="D382" s="211">
        <f>VLOOKUP("2_R_Flow",mm_sum,D$25+1,FALSE)</f>
        <v>0</v>
      </c>
      <c r="E382" s="211">
        <f>VLOOKUP("2_R_Flow",mm_sum,E$25+1,FALSE)</f>
        <v>0</v>
      </c>
      <c r="F382" s="211">
        <f>VLOOKUP("2_R_Flow",mm_sum,F$25+1,FALSE)</f>
        <v>0</v>
      </c>
      <c r="G382" s="211">
        <f>VLOOKUP("2_R_Flow",mm_sum,G$25+1,FALSE)</f>
        <v>0</v>
      </c>
      <c r="H382" s="211">
        <f>VLOOKUP("2_R_Flow",mm_sum,H$25+1,FALSE)</f>
        <v>0</v>
      </c>
      <c r="I382" s="592">
        <f>SUM(D382:H382)</f>
        <v>0</v>
      </c>
      <c r="J382" s="210"/>
      <c r="K382" s="548">
        <f>VLOOKUP("2_R_TN",mm_sum,K$25+1,FALSE)/lb_mton</f>
        <v>0</v>
      </c>
      <c r="L382" s="548">
        <f>VLOOKUP("2_R_TN",mm_sum,L$25+1,FALSE)/lb_mton</f>
        <v>0</v>
      </c>
      <c r="M382" s="548">
        <f>VLOOKUP("2_R_TN",mm_sum,M$25+1,FALSE)/lb_mton</f>
        <v>2.5401174399999995</v>
      </c>
      <c r="N382" s="548">
        <f>VLOOKUP("2_R_TN",mm_sum,N$25+1,FALSE)/lb_mton</f>
        <v>41.287341025199993</v>
      </c>
      <c r="O382" s="548">
        <f>VLOOKUP("2_R_TN",mm_sum,O$25+1,FALSE)/lb_mton</f>
        <v>0</v>
      </c>
      <c r="P382" s="548">
        <f t="shared" ref="P382:P383" si="299">SUM(K382:O382)</f>
        <v>43.827458465199996</v>
      </c>
      <c r="Q382" s="210"/>
      <c r="R382" s="548">
        <f>VLOOKUP("2_R_TP",mm_sum,R$25+1,FALSE)/lb_mton</f>
        <v>0</v>
      </c>
      <c r="S382" s="548">
        <f>VLOOKUP("2_R_TP",mm_sum,S$25+1,FALSE)/lb_mton</f>
        <v>0</v>
      </c>
      <c r="T382" s="548">
        <f>VLOOKUP("2_R_TP",mm_sum,T$25+1,FALSE)/lb_mton</f>
        <v>0.63502935999999988</v>
      </c>
      <c r="U382" s="548">
        <f>VLOOKUP("2_R_TP",mm_sum,U$25+1,FALSE)/lb_mton</f>
        <v>10.116471297199999</v>
      </c>
      <c r="V382" s="548">
        <f>VLOOKUP("2_R_TP",mm_sum,V$25+1,FALSE)/lb_mton</f>
        <v>0</v>
      </c>
      <c r="W382" s="548">
        <f t="shared" ref="W382:W383" si="300">SUM(R382:V382)</f>
        <v>10.751500657199998</v>
      </c>
    </row>
    <row r="383" spans="1:23">
      <c r="B383" s="38" t="s">
        <v>669</v>
      </c>
      <c r="D383" s="550">
        <f>D381+D382</f>
        <v>222351.6538822767</v>
      </c>
      <c r="E383" s="550">
        <f t="shared" ref="E383:H383" si="301">E381+E382</f>
        <v>435972.92238569196</v>
      </c>
      <c r="F383" s="550">
        <f t="shared" si="301"/>
        <v>592268.25223140384</v>
      </c>
      <c r="G383" s="550">
        <f t="shared" si="301"/>
        <v>298888.44256774255</v>
      </c>
      <c r="H383" s="550">
        <f t="shared" si="301"/>
        <v>61586.099834710752</v>
      </c>
      <c r="I383" s="591">
        <f>SUM(D383:H383)</f>
        <v>1611067.3709018258</v>
      </c>
      <c r="J383" s="554"/>
      <c r="K383" s="551">
        <f>K381-K382</f>
        <v>271.74206210926337</v>
      </c>
      <c r="L383" s="551">
        <f t="shared" ref="L383:O383" si="302">L381-L382</f>
        <v>588.58968330562323</v>
      </c>
      <c r="M383" s="551">
        <f t="shared" si="302"/>
        <v>794.06012217489649</v>
      </c>
      <c r="N383" s="551">
        <f t="shared" si="302"/>
        <v>364.54224039475059</v>
      </c>
      <c r="O383" s="551">
        <f t="shared" si="302"/>
        <v>116.45279390912391</v>
      </c>
      <c r="P383" s="551">
        <f t="shared" si="299"/>
        <v>2135.3869018936575</v>
      </c>
      <c r="Q383" s="554"/>
      <c r="R383" s="551">
        <f>R381-R382</f>
        <v>28.319589459756752</v>
      </c>
      <c r="S383" s="551">
        <f t="shared" ref="S383:V383" si="303">S381-S382</f>
        <v>86.206900525325935</v>
      </c>
      <c r="T383" s="551">
        <f t="shared" si="303"/>
        <v>84.753457838967293</v>
      </c>
      <c r="U383" s="551">
        <f t="shared" si="303"/>
        <v>28.244743686834823</v>
      </c>
      <c r="V383" s="551">
        <f t="shared" si="303"/>
        <v>7.6158275993004159</v>
      </c>
      <c r="W383" s="551">
        <f t="shared" si="300"/>
        <v>235.14051911018524</v>
      </c>
    </row>
    <row r="384" spans="1:23">
      <c r="B384" s="249" t="s">
        <v>668</v>
      </c>
      <c r="D384" s="211"/>
      <c r="E384" s="211"/>
      <c r="F384" s="211"/>
      <c r="G384" s="211"/>
      <c r="H384" s="211"/>
      <c r="I384" s="211"/>
      <c r="J384" s="210"/>
      <c r="K384" s="558">
        <f t="shared" ref="K384" si="304">K383/D383*mtonacft_mgl</f>
        <v>0.99079485676457946</v>
      </c>
      <c r="L384" s="558">
        <f t="shared" ref="L384" si="305">L383/E383*mtonacft_mgl</f>
        <v>1.0945116026319421</v>
      </c>
      <c r="M384" s="558">
        <f t="shared" ref="M384" si="306">M383/F383*mtonacft_mgl</f>
        <v>1.0869314964701138</v>
      </c>
      <c r="N384" s="558">
        <f t="shared" ref="N384" si="307">N383/G383*mtonacft_mgl</f>
        <v>0.98879435231014279</v>
      </c>
      <c r="O384" s="558">
        <f t="shared" ref="O384" si="308">O383/H383*mtonacft_mgl</f>
        <v>1.532972809273655</v>
      </c>
      <c r="P384" s="555">
        <f t="shared" ref="P384" si="309">P383/I383*mtonacft_mgl</f>
        <v>1.0745586227361112</v>
      </c>
      <c r="Q384" s="556"/>
      <c r="R384" s="555">
        <f t="shared" ref="R384" si="310">R383/D383*mtonacft_mgl</f>
        <v>0.10325565120326982</v>
      </c>
      <c r="S384" s="555">
        <f t="shared" ref="S384" si="311">S383/E383*mtonacft_mgl</f>
        <v>0.16030599164089265</v>
      </c>
      <c r="T384" s="555">
        <f t="shared" ref="T384" si="312">T383/F383*mtonacft_mgl</f>
        <v>0.1160128813768023</v>
      </c>
      <c r="U384" s="555">
        <f t="shared" ref="U384" si="313">U383/G383*mtonacft_mgl</f>
        <v>7.6611815985295081E-2</v>
      </c>
      <c r="V384" s="555">
        <f t="shared" ref="V384" si="314">V383/H383*mtonacft_mgl</f>
        <v>0.10025398479450896</v>
      </c>
      <c r="W384" s="555">
        <f t="shared" ref="W384" si="315">W383/I383*mtonacft_mgl</f>
        <v>0.11832622563172303</v>
      </c>
    </row>
    <row r="387" spans="1:23">
      <c r="A387" s="353" t="s">
        <v>961</v>
      </c>
      <c r="B387" s="229"/>
      <c r="C387" s="230"/>
      <c r="D387" s="231"/>
      <c r="E387" s="231"/>
      <c r="F387" s="231"/>
      <c r="G387" s="231"/>
      <c r="H387" s="231"/>
      <c r="I387" s="231"/>
      <c r="J387" s="230"/>
      <c r="K387" s="232"/>
      <c r="L387" s="232"/>
      <c r="M387" s="232"/>
      <c r="N387" s="232"/>
      <c r="O387" s="232"/>
      <c r="P387" s="232"/>
      <c r="Q387" s="230"/>
      <c r="R387" s="230"/>
      <c r="S387" s="354"/>
      <c r="T387" s="354"/>
      <c r="U387" s="354"/>
      <c r="V387" s="354"/>
      <c r="W387" s="594" t="s">
        <v>1148</v>
      </c>
    </row>
    <row r="389" spans="1:23">
      <c r="D389" s="1440" t="s">
        <v>1133</v>
      </c>
      <c r="E389" s="1440"/>
      <c r="F389" s="1440"/>
      <c r="G389" s="1440"/>
      <c r="H389" s="1440"/>
      <c r="I389" s="1440"/>
      <c r="K389" s="1441" t="s">
        <v>1134</v>
      </c>
      <c r="L389" s="1441"/>
      <c r="M389" s="1441"/>
      <c r="N389" s="1441"/>
      <c r="O389" s="1441"/>
      <c r="P389" s="1441"/>
      <c r="R389" s="1442" t="s">
        <v>1135</v>
      </c>
      <c r="S389" s="1442"/>
      <c r="T389" s="1442"/>
      <c r="U389" s="1442"/>
      <c r="V389" s="1442"/>
      <c r="W389" s="1442"/>
    </row>
    <row r="390" spans="1:23">
      <c r="D390" s="363" t="str">
        <f t="shared" ref="D390:I390" si="316">VLOOKUP(D$24,subwatgeog,2,FALSE)</f>
        <v>Coastal</v>
      </c>
      <c r="E390" s="363" t="str">
        <f t="shared" si="316"/>
        <v>Tidal Cal.</v>
      </c>
      <c r="F390" s="363" t="str">
        <f t="shared" si="316"/>
        <v>West Cal.</v>
      </c>
      <c r="G390" s="363" t="str">
        <f t="shared" si="316"/>
        <v>East Cal.</v>
      </c>
      <c r="H390" s="363" t="str">
        <f t="shared" si="316"/>
        <v>S-4</v>
      </c>
      <c r="I390" s="364" t="str">
        <f t="shared" si="316"/>
        <v>Total CRWPP</v>
      </c>
      <c r="K390" s="351" t="str">
        <f t="shared" ref="K390:W390" si="317">VLOOKUP(K$24,subwatgeog,2,FALSE)</f>
        <v>Coastal</v>
      </c>
      <c r="L390" s="351" t="str">
        <f t="shared" si="317"/>
        <v>Tidal Cal.</v>
      </c>
      <c r="M390" s="351" t="str">
        <f t="shared" si="317"/>
        <v>West Cal.</v>
      </c>
      <c r="N390" s="351" t="str">
        <f t="shared" si="317"/>
        <v>East Cal.</v>
      </c>
      <c r="O390" s="351" t="str">
        <f t="shared" si="317"/>
        <v>S-4</v>
      </c>
      <c r="P390" s="355" t="str">
        <f t="shared" si="317"/>
        <v>Total CRWPP</v>
      </c>
      <c r="R390" s="352" t="str">
        <f t="shared" si="317"/>
        <v>Coastal</v>
      </c>
      <c r="S390" s="352" t="str">
        <f t="shared" si="317"/>
        <v>Tidal Cal.</v>
      </c>
      <c r="T390" s="352" t="str">
        <f t="shared" si="317"/>
        <v>West Cal.</v>
      </c>
      <c r="U390" s="352" t="str">
        <f t="shared" si="317"/>
        <v>East Cal.</v>
      </c>
      <c r="V390" s="352" t="str">
        <f t="shared" si="317"/>
        <v>S-4</v>
      </c>
      <c r="W390" s="356" t="str">
        <f t="shared" si="317"/>
        <v>Total CRWPP</v>
      </c>
    </row>
    <row r="391" spans="1:23">
      <c r="B391" t="s">
        <v>720</v>
      </c>
      <c r="D391" s="211">
        <f>D$273</f>
        <v>222351.6538822767</v>
      </c>
      <c r="E391" s="211">
        <f t="shared" ref="E391:H391" si="318">E$273</f>
        <v>436972.92238569196</v>
      </c>
      <c r="F391" s="211">
        <f t="shared" si="318"/>
        <v>592268.25223140384</v>
      </c>
      <c r="G391" s="211">
        <f t="shared" si="318"/>
        <v>299038.44256774255</v>
      </c>
      <c r="H391" s="211">
        <f t="shared" si="318"/>
        <v>63034.099834710752</v>
      </c>
      <c r="I391" s="592">
        <f t="shared" ref="I391" si="319">SUM(D391:H391)</f>
        <v>1613665.3709018258</v>
      </c>
      <c r="J391" s="210"/>
      <c r="K391" s="548">
        <f>K$273</f>
        <v>279.87843689967673</v>
      </c>
      <c r="L391" s="548">
        <f t="shared" ref="L391:O391" si="320">L$273</f>
        <v>613.41444119437494</v>
      </c>
      <c r="M391" s="548">
        <f t="shared" si="320"/>
        <v>836.52003210814962</v>
      </c>
      <c r="N391" s="548">
        <f t="shared" si="320"/>
        <v>428.90177939729006</v>
      </c>
      <c r="O391" s="548">
        <f t="shared" si="320"/>
        <v>123.90739138351346</v>
      </c>
      <c r="P391" s="548">
        <f t="shared" ref="P391" si="321">SUM(K391:O391)</f>
        <v>2282.6220809830047</v>
      </c>
      <c r="Q391" s="210"/>
      <c r="R391" s="548">
        <f>R$273</f>
        <v>29.5393937045421</v>
      </c>
      <c r="S391" s="548">
        <f t="shared" ref="S391:V391" si="322">S$273</f>
        <v>90.866994772711692</v>
      </c>
      <c r="T391" s="548">
        <f t="shared" si="322"/>
        <v>91.007526370333295</v>
      </c>
      <c r="U391" s="548">
        <f t="shared" si="322"/>
        <v>40.809249591759809</v>
      </c>
      <c r="V391" s="548">
        <f t="shared" si="322"/>
        <v>8.1516220279643132</v>
      </c>
      <c r="W391" s="548">
        <f t="shared" ref="W391" si="323">SUM(R391:V391)</f>
        <v>260.3747864673112</v>
      </c>
    </row>
    <row r="392" spans="1:23">
      <c r="B392" s="596" t="s">
        <v>1245</v>
      </c>
      <c r="D392" s="211"/>
      <c r="E392" s="211"/>
      <c r="F392" s="211"/>
      <c r="G392" s="211"/>
      <c r="H392" s="211"/>
      <c r="I392" s="592"/>
      <c r="J392" s="210"/>
      <c r="K392" s="563">
        <f>K$274</f>
        <v>1.0204607768377447</v>
      </c>
      <c r="L392" s="563">
        <f t="shared" ref="L392:W392" si="324">L$274</f>
        <v>1.1380640658978958</v>
      </c>
      <c r="M392" s="563">
        <f t="shared" si="324"/>
        <v>1.1450517976348811</v>
      </c>
      <c r="N392" s="563">
        <f t="shared" si="324"/>
        <v>1.1627813749016025</v>
      </c>
      <c r="O392" s="563">
        <f t="shared" si="324"/>
        <v>1.5936351477393291</v>
      </c>
      <c r="P392" s="563">
        <f t="shared" si="324"/>
        <v>1.1468002417718701</v>
      </c>
      <c r="Q392" s="563"/>
      <c r="R392" s="563">
        <f t="shared" si="324"/>
        <v>0.10770316206195675</v>
      </c>
      <c r="S392" s="563">
        <f t="shared" si="324"/>
        <v>0.16858498036922873</v>
      </c>
      <c r="T392" s="563">
        <f t="shared" si="324"/>
        <v>0.12457362366569293</v>
      </c>
      <c r="U392" s="563">
        <f t="shared" si="324"/>
        <v>0.1106366017312656</v>
      </c>
      <c r="V392" s="563">
        <f t="shared" si="324"/>
        <v>0.10484210207155213</v>
      </c>
      <c r="W392" s="563">
        <f t="shared" si="324"/>
        <v>0.13081353701065626</v>
      </c>
    </row>
    <row r="393" spans="1:23">
      <c r="B393" t="s">
        <v>1243</v>
      </c>
      <c r="D393" s="211"/>
      <c r="E393" s="211"/>
      <c r="F393" s="211"/>
      <c r="G393" s="211"/>
      <c r="H393" s="211"/>
      <c r="I393" s="592"/>
      <c r="J393" s="210"/>
      <c r="K393" s="548"/>
      <c r="L393" s="548"/>
      <c r="M393" s="548"/>
      <c r="N393" s="548"/>
      <c r="O393" s="548"/>
      <c r="P393" s="548"/>
      <c r="Q393" s="210"/>
      <c r="R393" s="548"/>
      <c r="S393" s="548"/>
      <c r="T393" s="548"/>
      <c r="U393" s="548"/>
      <c r="V393" s="548"/>
      <c r="W393" s="548"/>
    </row>
    <row r="394" spans="1:23">
      <c r="B394" s="221" t="s">
        <v>947</v>
      </c>
      <c r="D394" s="211"/>
      <c r="E394" s="211"/>
      <c r="F394" s="211"/>
      <c r="G394" s="211"/>
      <c r="H394" s="211"/>
      <c r="I394" s="592"/>
      <c r="J394" s="210"/>
      <c r="K394" s="210">
        <f>K$350</f>
        <v>5.626694766593987</v>
      </c>
      <c r="L394" s="210">
        <f t="shared" ref="L394:O394" si="325">L$350</f>
        <v>11.080053492381783</v>
      </c>
      <c r="M394" s="210">
        <f t="shared" si="325"/>
        <v>2.7146648789249959</v>
      </c>
      <c r="N394" s="210">
        <f t="shared" si="325"/>
        <v>0.49496554676959797</v>
      </c>
      <c r="O394" s="210">
        <f t="shared" si="325"/>
        <v>0.61759223509782935</v>
      </c>
      <c r="P394" s="548">
        <f>SUM(K394:O394)</f>
        <v>20.533970919768194</v>
      </c>
      <c r="Q394" s="210"/>
      <c r="R394" s="210">
        <f>R$350</f>
        <v>0.77029093276100125</v>
      </c>
      <c r="S394" s="210">
        <f t="shared" ref="S394:V394" si="326">S$350</f>
        <v>2.0804104872581632</v>
      </c>
      <c r="T394" s="210">
        <f t="shared" si="326"/>
        <v>0.36994760442356134</v>
      </c>
      <c r="U394" s="210">
        <f t="shared" si="326"/>
        <v>7.337061902526848E-2</v>
      </c>
      <c r="V394" s="210">
        <f t="shared" si="326"/>
        <v>9.5991179678909272E-2</v>
      </c>
      <c r="W394" s="548">
        <f>SUM(R394:V394)</f>
        <v>3.3900108231469033</v>
      </c>
    </row>
    <row r="395" spans="1:23">
      <c r="B395" s="221" t="s">
        <v>948</v>
      </c>
      <c r="D395" s="211"/>
      <c r="E395" s="211"/>
      <c r="F395" s="211"/>
      <c r="G395" s="211"/>
      <c r="H395" s="211"/>
      <c r="I395" s="592"/>
      <c r="J395" s="210"/>
      <c r="K395" s="210">
        <f>K$351</f>
        <v>2.5096800238193628</v>
      </c>
      <c r="L395" s="210">
        <f t="shared" ref="L395:O395" si="327">L$351</f>
        <v>11.771577456369872</v>
      </c>
      <c r="M395" s="210">
        <f t="shared" si="327"/>
        <v>35.654385917208145</v>
      </c>
      <c r="N395" s="210">
        <f t="shared" si="327"/>
        <v>22.374509522584582</v>
      </c>
      <c r="O395" s="210">
        <f t="shared" si="327"/>
        <v>4.885655295097421</v>
      </c>
      <c r="P395" s="548">
        <f t="shared" ref="P395:P408" si="328">SUM(K395:O395)</f>
        <v>77.195808215079381</v>
      </c>
      <c r="Q395" s="210"/>
      <c r="R395" s="210">
        <f>R$351</f>
        <v>0.44951331202434458</v>
      </c>
      <c r="S395" s="210">
        <f t="shared" ref="S395:V395" si="329">S$351</f>
        <v>2.0988758161275873</v>
      </c>
      <c r="T395" s="210">
        <f t="shared" si="329"/>
        <v>4.8578227627024306</v>
      </c>
      <c r="U395" s="210">
        <f t="shared" si="329"/>
        <v>2.344906638520198</v>
      </c>
      <c r="V395" s="210">
        <f t="shared" si="329"/>
        <v>0.23008563163055509</v>
      </c>
      <c r="W395" s="548">
        <f>SUM(R395:V395)</f>
        <v>9.981204161005115</v>
      </c>
    </row>
    <row r="396" spans="1:23">
      <c r="B396" s="221" t="s">
        <v>673</v>
      </c>
      <c r="D396" s="211">
        <f>D$362</f>
        <v>0</v>
      </c>
      <c r="E396" s="211">
        <f t="shared" ref="E396:H396" si="330">E$362</f>
        <v>0</v>
      </c>
      <c r="F396" s="211">
        <f t="shared" si="330"/>
        <v>0</v>
      </c>
      <c r="G396" s="211">
        <f t="shared" si="330"/>
        <v>-150</v>
      </c>
      <c r="H396" s="211">
        <f t="shared" si="330"/>
        <v>-1448</v>
      </c>
      <c r="I396" s="592">
        <f>SUM(D396:H396)</f>
        <v>-1598</v>
      </c>
      <c r="J396" s="210"/>
      <c r="K396" s="210">
        <f>K$362</f>
        <v>0</v>
      </c>
      <c r="L396" s="210">
        <f t="shared" ref="L396:O396" si="331">L$362</f>
        <v>0</v>
      </c>
      <c r="M396" s="210">
        <f t="shared" si="331"/>
        <v>0</v>
      </c>
      <c r="N396" s="210">
        <f t="shared" si="331"/>
        <v>0.20272290798525699</v>
      </c>
      <c r="O396" s="210">
        <f t="shared" si="331"/>
        <v>1.9513499441942905</v>
      </c>
      <c r="P396" s="548">
        <f t="shared" si="328"/>
        <v>2.1540728521795476</v>
      </c>
      <c r="Q396" s="210"/>
      <c r="R396" s="210">
        <f>R$362</f>
        <v>0</v>
      </c>
      <c r="S396" s="210">
        <f t="shared" ref="S396:V396" si="332">S$362</f>
        <v>0</v>
      </c>
      <c r="T396" s="210">
        <f t="shared" si="332"/>
        <v>0</v>
      </c>
      <c r="U396" s="210">
        <f t="shared" si="332"/>
        <v>2.9757350179519179E-2</v>
      </c>
      <c r="V396" s="210">
        <f t="shared" si="332"/>
        <v>0.2097176173544327</v>
      </c>
      <c r="W396" s="548">
        <f>SUM(R396:V396)</f>
        <v>0.23947496753395187</v>
      </c>
    </row>
    <row r="397" spans="1:23">
      <c r="B397" s="221" t="s">
        <v>962</v>
      </c>
      <c r="D397" s="211">
        <f>D$372</f>
        <v>0</v>
      </c>
      <c r="E397" s="211">
        <f t="shared" ref="E397:H397" si="333">E$372</f>
        <v>-1000</v>
      </c>
      <c r="F397" s="211">
        <f t="shared" si="333"/>
        <v>0</v>
      </c>
      <c r="G397" s="211">
        <f t="shared" si="333"/>
        <v>0</v>
      </c>
      <c r="H397" s="211">
        <f t="shared" si="333"/>
        <v>0</v>
      </c>
      <c r="I397" s="592">
        <f>SUM(D397:H397)</f>
        <v>-1000</v>
      </c>
      <c r="J397" s="210"/>
      <c r="K397" s="548">
        <f>K$372</f>
        <v>0</v>
      </c>
      <c r="L397" s="548">
        <f t="shared" ref="L397:O397" si="334">L$372</f>
        <v>1.9731269399999998</v>
      </c>
      <c r="M397" s="548">
        <f t="shared" si="334"/>
        <v>1.5507416971199999</v>
      </c>
      <c r="N397" s="548">
        <f t="shared" si="334"/>
        <v>0</v>
      </c>
      <c r="O397" s="548">
        <f t="shared" si="334"/>
        <v>0</v>
      </c>
      <c r="P397" s="548">
        <f t="shared" si="328"/>
        <v>3.5238686371199996</v>
      </c>
      <c r="Q397" s="210"/>
      <c r="R397" s="548">
        <f>R$372</f>
        <v>0</v>
      </c>
      <c r="S397" s="548">
        <f t="shared" ref="S397:V397" si="335">S$372</f>
        <v>0.48080794399999993</v>
      </c>
      <c r="T397" s="548">
        <f t="shared" si="335"/>
        <v>0.39126880423999993</v>
      </c>
      <c r="U397" s="548">
        <f t="shared" si="335"/>
        <v>0</v>
      </c>
      <c r="V397" s="548">
        <f t="shared" si="335"/>
        <v>0</v>
      </c>
      <c r="W397" s="548">
        <f>SUM(R397:V397)</f>
        <v>0.87207674823999981</v>
      </c>
    </row>
    <row r="398" spans="1:23">
      <c r="B398" s="221" t="s">
        <v>963</v>
      </c>
      <c r="D398" s="211">
        <f>D$382</f>
        <v>0</v>
      </c>
      <c r="E398" s="211">
        <f t="shared" ref="E398:H398" si="336">E$382</f>
        <v>0</v>
      </c>
      <c r="F398" s="211">
        <f t="shared" si="336"/>
        <v>0</v>
      </c>
      <c r="G398" s="211">
        <f t="shared" si="336"/>
        <v>0</v>
      </c>
      <c r="H398" s="211">
        <f t="shared" si="336"/>
        <v>0</v>
      </c>
      <c r="I398" s="592">
        <f t="shared" ref="I398:I407" si="337">SUM(D398:H398)</f>
        <v>0</v>
      </c>
      <c r="J398" s="210"/>
      <c r="K398" s="548">
        <f>K$382</f>
        <v>0</v>
      </c>
      <c r="L398" s="548">
        <f t="shared" ref="L398:O398" si="338">L$382</f>
        <v>0</v>
      </c>
      <c r="M398" s="548">
        <f t="shared" si="338"/>
        <v>2.5401174399999995</v>
      </c>
      <c r="N398" s="548">
        <f t="shared" si="338"/>
        <v>41.287341025199993</v>
      </c>
      <c r="O398" s="548">
        <f t="shared" si="338"/>
        <v>0</v>
      </c>
      <c r="P398" s="548">
        <f t="shared" si="328"/>
        <v>43.827458465199996</v>
      </c>
      <c r="Q398" s="210"/>
      <c r="R398" s="548">
        <f>R$382</f>
        <v>0</v>
      </c>
      <c r="S398" s="548">
        <f t="shared" ref="S398:V398" si="339">S$382</f>
        <v>0</v>
      </c>
      <c r="T398" s="548">
        <f t="shared" si="339"/>
        <v>0.63502935999999988</v>
      </c>
      <c r="U398" s="548">
        <f t="shared" si="339"/>
        <v>10.116471297199999</v>
      </c>
      <c r="V398" s="548">
        <f t="shared" si="339"/>
        <v>0</v>
      </c>
      <c r="W398" s="548">
        <f t="shared" ref="W398:W408" si="340">SUM(R398:V398)</f>
        <v>10.751500657199998</v>
      </c>
    </row>
    <row r="399" spans="1:23">
      <c r="B399" s="61" t="s">
        <v>964</v>
      </c>
      <c r="D399" s="211">
        <f>SUM(D394:D398)</f>
        <v>0</v>
      </c>
      <c r="E399" s="211">
        <f>SUM(E394:E398)</f>
        <v>-1000</v>
      </c>
      <c r="F399" s="211">
        <f>SUM(F394:F398)</f>
        <v>0</v>
      </c>
      <c r="G399" s="211">
        <f>SUM(G394:G398)</f>
        <v>-150</v>
      </c>
      <c r="H399" s="211">
        <f>SUM(H394:H398)</f>
        <v>-1448</v>
      </c>
      <c r="I399" s="592">
        <f t="shared" si="337"/>
        <v>-2598</v>
      </c>
      <c r="J399" s="210"/>
      <c r="K399" s="548">
        <f>SUM(K394:K398)</f>
        <v>8.136374790413349</v>
      </c>
      <c r="L399" s="548">
        <f>SUM(L394:L398)</f>
        <v>24.824757888751655</v>
      </c>
      <c r="M399" s="548">
        <f>SUM(M394:M398)</f>
        <v>42.459909933253144</v>
      </c>
      <c r="N399" s="548">
        <f>SUM(N394:N398)</f>
        <v>64.359539002539435</v>
      </c>
      <c r="O399" s="548">
        <f>SUM(O394:O398)</f>
        <v>7.4545974743895407</v>
      </c>
      <c r="P399" s="548">
        <f t="shared" si="328"/>
        <v>147.23517908934713</v>
      </c>
      <c r="Q399" s="210"/>
      <c r="R399" s="548">
        <f>SUM(R394:R398)</f>
        <v>1.2198042447853459</v>
      </c>
      <c r="S399" s="548">
        <f>SUM(S394:S398)</f>
        <v>4.6600942473857501</v>
      </c>
      <c r="T399" s="548">
        <f>SUM(T394:T398)</f>
        <v>6.2540685313659923</v>
      </c>
      <c r="U399" s="548">
        <f>SUM(U394:U398)</f>
        <v>12.564505904924985</v>
      </c>
      <c r="V399" s="548">
        <f>SUM(V394:V398)</f>
        <v>0.53579442866389704</v>
      </c>
      <c r="W399" s="548">
        <f t="shared" si="340"/>
        <v>25.234267357125972</v>
      </c>
    </row>
    <row r="400" spans="1:23">
      <c r="B400" s="59" t="s">
        <v>674</v>
      </c>
      <c r="D400" s="241">
        <f>D391+D399</f>
        <v>222351.6538822767</v>
      </c>
      <c r="E400" s="241">
        <f>E391+E399</f>
        <v>435972.92238569196</v>
      </c>
      <c r="F400" s="241">
        <f>F391+F399</f>
        <v>592268.25223140384</v>
      </c>
      <c r="G400" s="241">
        <f>G391+G399</f>
        <v>298888.44256774255</v>
      </c>
      <c r="H400" s="241">
        <f>H391+H399</f>
        <v>61586.099834710752</v>
      </c>
      <c r="I400" s="592">
        <f t="shared" si="337"/>
        <v>1611067.3709018258</v>
      </c>
      <c r="J400" s="210"/>
      <c r="K400" s="210">
        <f>K391-K399</f>
        <v>271.74206210926337</v>
      </c>
      <c r="L400" s="210">
        <f>L391-L399</f>
        <v>588.58968330562334</v>
      </c>
      <c r="M400" s="210">
        <f>M391-M399</f>
        <v>794.06012217489649</v>
      </c>
      <c r="N400" s="210">
        <f>N391-N399</f>
        <v>364.54224039475059</v>
      </c>
      <c r="O400" s="210">
        <f>O391-O399</f>
        <v>116.45279390912391</v>
      </c>
      <c r="P400" s="548">
        <f t="shared" si="328"/>
        <v>2135.3869018936575</v>
      </c>
      <c r="Q400" s="210"/>
      <c r="R400" s="210">
        <f>R391-R399</f>
        <v>28.319589459756752</v>
      </c>
      <c r="S400" s="210">
        <f>S391-S399</f>
        <v>86.206900525325949</v>
      </c>
      <c r="T400" s="210">
        <f>T391-T399</f>
        <v>84.753457838967307</v>
      </c>
      <c r="U400" s="210">
        <f>U391-U399</f>
        <v>28.244743686834823</v>
      </c>
      <c r="V400" s="210">
        <f>V391-V399</f>
        <v>7.6158275993004159</v>
      </c>
      <c r="W400" s="548">
        <f t="shared" si="340"/>
        <v>235.14051911018524</v>
      </c>
    </row>
    <row r="401" spans="1:23">
      <c r="B401" s="596" t="s">
        <v>675</v>
      </c>
      <c r="D401" s="559"/>
      <c r="E401" s="559"/>
      <c r="F401" s="559"/>
      <c r="G401" s="559"/>
      <c r="H401" s="559"/>
      <c r="I401" s="592"/>
      <c r="J401" s="560"/>
      <c r="K401" s="556">
        <f t="shared" ref="K401" si="341">K400/D400*mtonacft_mgl</f>
        <v>0.99079485676457946</v>
      </c>
      <c r="L401" s="556">
        <f t="shared" ref="L401" si="342">L400/E400*mtonacft_mgl</f>
        <v>1.0945116026319424</v>
      </c>
      <c r="M401" s="556">
        <f t="shared" ref="M401" si="343">M400/F400*mtonacft_mgl</f>
        <v>1.0869314964701138</v>
      </c>
      <c r="N401" s="556">
        <f t="shared" ref="N401" si="344">N400/G400*mtonacft_mgl</f>
        <v>0.98879435231014279</v>
      </c>
      <c r="O401" s="556">
        <f t="shared" ref="O401" si="345">O400/H400*mtonacft_mgl</f>
        <v>1.532972809273655</v>
      </c>
      <c r="P401" s="556">
        <f t="shared" ref="P401" si="346">P400/I400*mtonacft_mgl</f>
        <v>1.0745586227361112</v>
      </c>
      <c r="Q401" s="556"/>
      <c r="R401" s="556">
        <f t="shared" ref="R401" si="347">R400/D400*mtonacft_mgl</f>
        <v>0.10325565120326982</v>
      </c>
      <c r="S401" s="556">
        <f t="shared" ref="S401" si="348">S400/E400*mtonacft_mgl</f>
        <v>0.16030599164089268</v>
      </c>
      <c r="T401" s="556">
        <f t="shared" ref="T401" si="349">T400/F400*mtonacft_mgl</f>
        <v>0.11601288137680232</v>
      </c>
      <c r="U401" s="556">
        <f t="shared" ref="U401" si="350">U400/G400*mtonacft_mgl</f>
        <v>7.6611815985295081E-2</v>
      </c>
      <c r="V401" s="556">
        <f t="shared" ref="V401" si="351">V400/H400*mtonacft_mgl</f>
        <v>0.10025398479450896</v>
      </c>
      <c r="W401" s="556">
        <f t="shared" ref="W401" si="352">W400/I400*mtonacft_mgl</f>
        <v>0.11832622563172303</v>
      </c>
    </row>
    <row r="402" spans="1:23">
      <c r="B402" s="1227" t="s">
        <v>1244</v>
      </c>
      <c r="D402" s="559"/>
      <c r="E402" s="559"/>
      <c r="F402" s="559"/>
      <c r="G402" s="559"/>
      <c r="H402" s="559"/>
      <c r="I402" s="592"/>
      <c r="J402" s="560"/>
      <c r="K402" s="556"/>
      <c r="L402" s="556"/>
      <c r="M402" s="556"/>
      <c r="N402" s="556"/>
      <c r="O402" s="556"/>
      <c r="P402" s="556"/>
      <c r="Q402" s="556"/>
      <c r="R402" s="556"/>
      <c r="S402" s="556"/>
      <c r="T402" s="556"/>
      <c r="U402" s="556"/>
      <c r="V402" s="556"/>
      <c r="W402" s="556"/>
    </row>
    <row r="403" spans="1:23">
      <c r="B403" s="61" t="s">
        <v>947</v>
      </c>
      <c r="D403" s="559"/>
      <c r="E403" s="559"/>
      <c r="F403" s="559"/>
      <c r="G403" s="559"/>
      <c r="H403" s="559"/>
      <c r="I403" s="592"/>
      <c r="J403" s="560"/>
      <c r="K403" s="242">
        <f t="shared" ref="K403:O407" si="353">IF(K$399&gt;0,K394*K$408/K$399,0)</f>
        <v>5.6266947665939924</v>
      </c>
      <c r="L403" s="242">
        <f t="shared" si="353"/>
        <v>11.08005349238171</v>
      </c>
      <c r="M403" s="242">
        <f t="shared" si="353"/>
        <v>2.714664878924995</v>
      </c>
      <c r="N403" s="242">
        <f t="shared" si="353"/>
        <v>0.49496554676959814</v>
      </c>
      <c r="O403" s="242">
        <f t="shared" si="353"/>
        <v>0.61759223509782957</v>
      </c>
      <c r="P403" s="548">
        <f t="shared" si="328"/>
        <v>20.533970919768127</v>
      </c>
      <c r="Q403" s="242"/>
      <c r="R403" s="242">
        <f t="shared" ref="R403:V407" si="354">IF(R$399&gt;0,R394*R$408/R$399,0)</f>
        <v>0.77029093276100224</v>
      </c>
      <c r="S403" s="242">
        <f t="shared" si="354"/>
        <v>2.0804104872581597</v>
      </c>
      <c r="T403" s="242">
        <f t="shared" si="354"/>
        <v>0.36994760442356106</v>
      </c>
      <c r="U403" s="242">
        <f t="shared" si="354"/>
        <v>6.6076285136315749E-2</v>
      </c>
      <c r="V403" s="242">
        <f t="shared" si="354"/>
        <v>9.5991179678909341E-2</v>
      </c>
      <c r="W403" s="548">
        <f t="shared" ref="W403:W407" si="355">SUM(R403:V403)</f>
        <v>3.3827164892579482</v>
      </c>
    </row>
    <row r="404" spans="1:23">
      <c r="B404" s="61" t="s">
        <v>948</v>
      </c>
      <c r="D404" s="559"/>
      <c r="E404" s="559"/>
      <c r="F404" s="559"/>
      <c r="G404" s="559"/>
      <c r="H404" s="559"/>
      <c r="I404" s="592"/>
      <c r="J404" s="560"/>
      <c r="K404" s="242">
        <f t="shared" si="353"/>
        <v>2.5096800238193651</v>
      </c>
      <c r="L404" s="242">
        <f t="shared" si="353"/>
        <v>11.771577456369794</v>
      </c>
      <c r="M404" s="242">
        <f t="shared" si="353"/>
        <v>35.654385917208138</v>
      </c>
      <c r="N404" s="242">
        <f t="shared" si="353"/>
        <v>22.374509522584592</v>
      </c>
      <c r="O404" s="242">
        <f t="shared" si="353"/>
        <v>4.8856552950974228</v>
      </c>
      <c r="P404" s="548">
        <f t="shared" si="328"/>
        <v>77.19580821507931</v>
      </c>
      <c r="Q404" s="242"/>
      <c r="R404" s="242">
        <f t="shared" si="354"/>
        <v>0.44951331202434514</v>
      </c>
      <c r="S404" s="242">
        <f t="shared" si="354"/>
        <v>2.0988758161275842</v>
      </c>
      <c r="T404" s="242">
        <f t="shared" si="354"/>
        <v>4.8578227627024271</v>
      </c>
      <c r="U404" s="242">
        <f t="shared" si="354"/>
        <v>2.1117815512983307</v>
      </c>
      <c r="V404" s="242">
        <f t="shared" si="354"/>
        <v>0.23008563163055523</v>
      </c>
      <c r="W404" s="548">
        <f t="shared" si="355"/>
        <v>9.7480790737832415</v>
      </c>
    </row>
    <row r="405" spans="1:23">
      <c r="B405" s="61" t="s">
        <v>673</v>
      </c>
      <c r="D405" s="211">
        <f>D$362</f>
        <v>0</v>
      </c>
      <c r="E405" s="211">
        <f t="shared" ref="E405:H405" si="356">E$362</f>
        <v>0</v>
      </c>
      <c r="F405" s="211">
        <f t="shared" si="356"/>
        <v>0</v>
      </c>
      <c r="G405" s="211">
        <f t="shared" si="356"/>
        <v>-150</v>
      </c>
      <c r="H405" s="211">
        <f t="shared" si="356"/>
        <v>-1448</v>
      </c>
      <c r="I405" s="592">
        <f t="shared" si="337"/>
        <v>-1598</v>
      </c>
      <c r="J405" s="560"/>
      <c r="K405" s="242">
        <f t="shared" si="353"/>
        <v>0</v>
      </c>
      <c r="L405" s="242">
        <f t="shared" si="353"/>
        <v>0</v>
      </c>
      <c r="M405" s="242">
        <f t="shared" si="353"/>
        <v>0</v>
      </c>
      <c r="N405" s="242">
        <f t="shared" si="353"/>
        <v>0.20272290798525711</v>
      </c>
      <c r="O405" s="242">
        <f t="shared" si="353"/>
        <v>1.9513499441942914</v>
      </c>
      <c r="P405" s="548">
        <f t="shared" si="328"/>
        <v>2.1540728521795485</v>
      </c>
      <c r="Q405" s="242"/>
      <c r="R405" s="242">
        <f t="shared" si="354"/>
        <v>0</v>
      </c>
      <c r="S405" s="242">
        <f t="shared" si="354"/>
        <v>0</v>
      </c>
      <c r="T405" s="242">
        <f t="shared" si="354"/>
        <v>0</v>
      </c>
      <c r="U405" s="242">
        <f t="shared" si="354"/>
        <v>2.6798944611410972E-2</v>
      </c>
      <c r="V405" s="242">
        <f t="shared" si="354"/>
        <v>0.20971761735443284</v>
      </c>
      <c r="W405" s="548">
        <f t="shared" si="355"/>
        <v>0.23651656196584381</v>
      </c>
    </row>
    <row r="406" spans="1:23">
      <c r="B406" s="61" t="s">
        <v>691</v>
      </c>
      <c r="D406" s="211">
        <f>D$372</f>
        <v>0</v>
      </c>
      <c r="E406" s="211">
        <f t="shared" ref="E406:H406" si="357">E$372</f>
        <v>-1000</v>
      </c>
      <c r="F406" s="211">
        <f t="shared" si="357"/>
        <v>0</v>
      </c>
      <c r="G406" s="211">
        <f t="shared" si="357"/>
        <v>0</v>
      </c>
      <c r="H406" s="211">
        <f t="shared" si="357"/>
        <v>0</v>
      </c>
      <c r="I406" s="592">
        <f t="shared" si="337"/>
        <v>-1000</v>
      </c>
      <c r="J406" s="560"/>
      <c r="K406" s="242">
        <f t="shared" si="353"/>
        <v>0</v>
      </c>
      <c r="L406" s="242">
        <f t="shared" si="353"/>
        <v>1.9731269399999869</v>
      </c>
      <c r="M406" s="242">
        <f t="shared" si="353"/>
        <v>1.5507416971199994</v>
      </c>
      <c r="N406" s="242">
        <f t="shared" si="353"/>
        <v>0</v>
      </c>
      <c r="O406" s="242">
        <f t="shared" si="353"/>
        <v>0</v>
      </c>
      <c r="P406" s="548">
        <f t="shared" si="328"/>
        <v>3.5238686371199863</v>
      </c>
      <c r="Q406" s="242"/>
      <c r="R406" s="242">
        <f t="shared" si="354"/>
        <v>0</v>
      </c>
      <c r="S406" s="242">
        <f t="shared" si="354"/>
        <v>0.48080794399999915</v>
      </c>
      <c r="T406" s="242">
        <f t="shared" si="354"/>
        <v>0.39126880423999966</v>
      </c>
      <c r="U406" s="242">
        <f t="shared" si="354"/>
        <v>0</v>
      </c>
      <c r="V406" s="242">
        <f t="shared" si="354"/>
        <v>0</v>
      </c>
      <c r="W406" s="548">
        <f t="shared" si="355"/>
        <v>0.87207674823999881</v>
      </c>
    </row>
    <row r="407" spans="1:23">
      <c r="B407" s="61" t="s">
        <v>672</v>
      </c>
      <c r="D407" s="211">
        <f>D$382</f>
        <v>0</v>
      </c>
      <c r="E407" s="211">
        <f t="shared" ref="E407:H407" si="358">E$382</f>
        <v>0</v>
      </c>
      <c r="F407" s="211">
        <f t="shared" si="358"/>
        <v>0</v>
      </c>
      <c r="G407" s="211">
        <f t="shared" si="358"/>
        <v>0</v>
      </c>
      <c r="H407" s="211">
        <f t="shared" si="358"/>
        <v>0</v>
      </c>
      <c r="I407" s="592">
        <f t="shared" si="337"/>
        <v>0</v>
      </c>
      <c r="J407" s="560"/>
      <c r="K407" s="242">
        <f t="shared" si="353"/>
        <v>0</v>
      </c>
      <c r="L407" s="242">
        <f t="shared" si="353"/>
        <v>0</v>
      </c>
      <c r="M407" s="242">
        <f t="shared" si="353"/>
        <v>2.5401174399999986</v>
      </c>
      <c r="N407" s="242">
        <f t="shared" si="353"/>
        <v>41.287341025200014</v>
      </c>
      <c r="O407" s="242">
        <f t="shared" si="353"/>
        <v>0</v>
      </c>
      <c r="P407" s="548">
        <f t="shared" si="328"/>
        <v>43.82745846520001</v>
      </c>
      <c r="Q407" s="242"/>
      <c r="R407" s="242">
        <f t="shared" si="354"/>
        <v>0</v>
      </c>
      <c r="S407" s="242">
        <f t="shared" si="354"/>
        <v>0</v>
      </c>
      <c r="T407" s="242">
        <f t="shared" si="354"/>
        <v>0.63502935999999943</v>
      </c>
      <c r="U407" s="242">
        <f t="shared" si="354"/>
        <v>9.110715581899715</v>
      </c>
      <c r="V407" s="242">
        <f t="shared" si="354"/>
        <v>0</v>
      </c>
      <c r="W407" s="548">
        <f t="shared" si="355"/>
        <v>9.745744941899714</v>
      </c>
    </row>
    <row r="408" spans="1:23">
      <c r="B408" s="38" t="s">
        <v>965</v>
      </c>
      <c r="D408" s="550">
        <f>SUM(D403:D407)</f>
        <v>0</v>
      </c>
      <c r="E408" s="550">
        <f t="shared" ref="E408:H408" si="359">SUM(E403:E407)</f>
        <v>-1000</v>
      </c>
      <c r="F408" s="550">
        <f t="shared" si="359"/>
        <v>0</v>
      </c>
      <c r="G408" s="550">
        <f t="shared" si="359"/>
        <v>-150</v>
      </c>
      <c r="H408" s="550">
        <f t="shared" si="359"/>
        <v>-1448</v>
      </c>
      <c r="I408" s="591">
        <f t="shared" ref="I408:I409" si="360">SUM(D408:H408)</f>
        <v>-2598</v>
      </c>
      <c r="J408" s="554"/>
      <c r="K408" s="551">
        <f>K391-K409</f>
        <v>8.1363747904133561</v>
      </c>
      <c r="L408" s="551">
        <f>L391-L409</f>
        <v>24.824757888751492</v>
      </c>
      <c r="M408" s="551">
        <f>M391-M409</f>
        <v>42.45990993325313</v>
      </c>
      <c r="N408" s="551">
        <f>N391-N409</f>
        <v>64.359539002539464</v>
      </c>
      <c r="O408" s="551">
        <f>O391-O409</f>
        <v>7.4545974743895442</v>
      </c>
      <c r="P408" s="551">
        <f t="shared" si="328"/>
        <v>147.23517908934699</v>
      </c>
      <c r="Q408" s="554"/>
      <c r="R408" s="551">
        <f>R391-R409</f>
        <v>1.2198042447853474</v>
      </c>
      <c r="S408" s="551">
        <f>S391-S409</f>
        <v>4.660094247385743</v>
      </c>
      <c r="T408" s="551">
        <f>T391-T409</f>
        <v>6.2540685313659878</v>
      </c>
      <c r="U408" s="551">
        <f>U391-U409</f>
        <v>11.315372362945773</v>
      </c>
      <c r="V408" s="551">
        <f>V391-V409</f>
        <v>0.53579442866389737</v>
      </c>
      <c r="W408" s="551">
        <f t="shared" si="340"/>
        <v>23.985133815146749</v>
      </c>
    </row>
    <row r="409" spans="1:23">
      <c r="B409" s="38" t="s">
        <v>676</v>
      </c>
      <c r="D409" s="550">
        <f>D391+D408</f>
        <v>222351.6538822767</v>
      </c>
      <c r="E409" s="550">
        <f>E391+E408</f>
        <v>435972.92238569196</v>
      </c>
      <c r="F409" s="550">
        <f>F391+F408</f>
        <v>592268.25223140384</v>
      </c>
      <c r="G409" s="550">
        <f>G391+G408</f>
        <v>298888.44256774255</v>
      </c>
      <c r="H409" s="550">
        <f>H391+H408</f>
        <v>61586.099834710752</v>
      </c>
      <c r="I409" s="591">
        <f t="shared" si="360"/>
        <v>1611067.3709018258</v>
      </c>
      <c r="J409" s="210"/>
      <c r="K409" s="551">
        <f>D409*K410/mtonacft_mgl</f>
        <v>271.74206210926337</v>
      </c>
      <c r="L409" s="551">
        <f>E409*L410/mtonacft_mgl</f>
        <v>588.58968330562345</v>
      </c>
      <c r="M409" s="551">
        <f>F409*M410/mtonacft_mgl</f>
        <v>794.06012217489649</v>
      </c>
      <c r="N409" s="551">
        <f>G409*N410/mtonacft_mgl</f>
        <v>364.54224039475059</v>
      </c>
      <c r="O409" s="551">
        <f>H409*O410/mtonacft_mgl</f>
        <v>116.45279390912391</v>
      </c>
      <c r="P409" s="551">
        <f t="shared" ref="P409" si="361">SUM(K409:O409)</f>
        <v>2135.386901893658</v>
      </c>
      <c r="Q409" s="210"/>
      <c r="R409" s="551">
        <f>D409*R410/mtonacft_mgl</f>
        <v>28.319589459756752</v>
      </c>
      <c r="S409" s="551">
        <f>E409*S410/mtonacft_mgl</f>
        <v>86.206900525325949</v>
      </c>
      <c r="T409" s="551">
        <f>F409*T410/mtonacft_mgl</f>
        <v>84.753457838967307</v>
      </c>
      <c r="U409" s="551">
        <f>G409*U410/mtonacft_mgl</f>
        <v>29.493877228814036</v>
      </c>
      <c r="V409" s="551">
        <f>H409*V410/mtonacft_mgl</f>
        <v>7.6158275993004159</v>
      </c>
      <c r="W409" s="551">
        <f t="shared" ref="W409" si="362">SUM(R409:V409)</f>
        <v>236.38965265216444</v>
      </c>
    </row>
    <row r="410" spans="1:23">
      <c r="B410" s="249" t="s">
        <v>677</v>
      </c>
      <c r="D410" s="211"/>
      <c r="E410" s="211"/>
      <c r="F410" s="211"/>
      <c r="G410" s="211"/>
      <c r="H410" s="211"/>
      <c r="I410" s="211"/>
      <c r="J410" s="210"/>
      <c r="K410" s="555">
        <f>MAX(K401,MIN(TNBase,K392))</f>
        <v>0.99079485676457946</v>
      </c>
      <c r="L410" s="555">
        <f>MAX(L401,MIN(TNBase,L392))</f>
        <v>1.0945116026319424</v>
      </c>
      <c r="M410" s="555">
        <f>MAX(M401,MIN(TNBase,M392))</f>
        <v>1.0869314964701138</v>
      </c>
      <c r="N410" s="555">
        <f>MAX(N401,MIN(TNBase,N392))</f>
        <v>0.98879435231014279</v>
      </c>
      <c r="O410" s="555">
        <f>MAX(O401,MIN(TNBase,O392))</f>
        <v>1.532972809273655</v>
      </c>
      <c r="P410" s="555">
        <f t="shared" ref="P410" si="363">P409/I409*mtonacft_mgl</f>
        <v>1.0745586227361117</v>
      </c>
      <c r="Q410" s="555"/>
      <c r="R410" s="555">
        <f>MAX(R401,MIN(TPBase,R392))</f>
        <v>0.10325565120326982</v>
      </c>
      <c r="S410" s="555">
        <f>MAX(S401,MIN(TPBase,S392))</f>
        <v>0.16030599164089268</v>
      </c>
      <c r="T410" s="555">
        <f>MAX(T401,MIN(TPBase,T392))</f>
        <v>0.11601288137680232</v>
      </c>
      <c r="U410" s="555">
        <f>MAX(U401,MIN(TPBase,U392))</f>
        <v>0.08</v>
      </c>
      <c r="V410" s="555">
        <f>MAX(V401,MIN(TPBase,V392))</f>
        <v>0.10025398479450896</v>
      </c>
      <c r="W410" s="555">
        <f t="shared" ref="W410" si="364">W409/I409*mtonacft_mgl</f>
        <v>0.11895480831024949</v>
      </c>
    </row>
    <row r="414" spans="1:23">
      <c r="A414" s="779" t="s">
        <v>914</v>
      </c>
      <c r="B414" s="838" t="s">
        <v>1110</v>
      </c>
    </row>
    <row r="415" spans="1:23">
      <c r="A415" s="567" t="s">
        <v>1111</v>
      </c>
      <c r="B415" s="568"/>
      <c r="C415" s="569"/>
      <c r="D415" s="570"/>
      <c r="E415" s="570"/>
      <c r="F415" s="570"/>
      <c r="G415" s="570"/>
      <c r="H415" s="570"/>
      <c r="I415" s="570"/>
      <c r="J415" s="569"/>
      <c r="K415" s="571"/>
      <c r="L415" s="571"/>
      <c r="M415" s="571"/>
      <c r="N415" s="571"/>
      <c r="O415" s="571"/>
      <c r="P415" s="571"/>
      <c r="Q415" s="569"/>
      <c r="R415" s="569"/>
      <c r="S415" s="572"/>
      <c r="T415" s="572"/>
      <c r="U415" s="572"/>
      <c r="V415" s="572"/>
      <c r="W415" s="606" t="s">
        <v>752</v>
      </c>
    </row>
    <row r="417" spans="1:23">
      <c r="A417" s="353" t="s">
        <v>1114</v>
      </c>
      <c r="B417" s="229"/>
      <c r="C417" s="230"/>
      <c r="D417" s="231"/>
      <c r="E417" s="231"/>
      <c r="F417" s="231"/>
      <c r="G417" s="231"/>
      <c r="H417" s="231"/>
      <c r="I417" s="231"/>
      <c r="J417" s="230"/>
      <c r="K417" s="232"/>
      <c r="L417" s="232"/>
      <c r="M417" s="232"/>
      <c r="N417" s="232"/>
      <c r="O417" s="232"/>
      <c r="P417" s="232"/>
      <c r="Q417" s="230"/>
      <c r="R417" s="230"/>
      <c r="S417" s="354"/>
      <c r="T417" s="354"/>
      <c r="U417" s="354"/>
      <c r="V417" s="354"/>
      <c r="W417" s="594"/>
    </row>
    <row r="419" spans="1:23">
      <c r="C419" s="99"/>
      <c r="D419" s="1440" t="s">
        <v>488</v>
      </c>
      <c r="E419" s="1440"/>
      <c r="F419" s="1440"/>
      <c r="G419" s="1440"/>
      <c r="H419" s="1440"/>
      <c r="I419" s="1440"/>
      <c r="K419" s="1441" t="s">
        <v>1112</v>
      </c>
      <c r="L419" s="1441"/>
      <c r="M419" s="1441"/>
      <c r="N419" s="1441"/>
      <c r="O419" s="1441"/>
      <c r="P419" s="1441"/>
      <c r="R419" s="1442" t="s">
        <v>1113</v>
      </c>
      <c r="S419" s="1442"/>
      <c r="T419" s="1442"/>
      <c r="U419" s="1442"/>
      <c r="V419" s="1442"/>
      <c r="W419" s="1442"/>
    </row>
    <row r="420" spans="1:23" ht="30">
      <c r="A420" s="521" t="s">
        <v>630</v>
      </c>
      <c r="B420" s="544" t="s">
        <v>214</v>
      </c>
      <c r="D420" s="363"/>
      <c r="E420" s="363"/>
      <c r="F420" s="363"/>
      <c r="G420" s="363"/>
      <c r="H420" s="363"/>
      <c r="I420" s="364"/>
      <c r="K420" s="351" t="str">
        <f t="shared" ref="K420:W420" si="365">VLOOKUP(K$24,subwatgeog,2,FALSE)</f>
        <v>Coastal</v>
      </c>
      <c r="L420" s="351" t="str">
        <f t="shared" si="365"/>
        <v>Tidal Cal.</v>
      </c>
      <c r="M420" s="351" t="str">
        <f t="shared" si="365"/>
        <v>West Cal.</v>
      </c>
      <c r="N420" s="351" t="str">
        <f t="shared" si="365"/>
        <v>East Cal.</v>
      </c>
      <c r="O420" s="351" t="str">
        <f t="shared" si="365"/>
        <v>S-4</v>
      </c>
      <c r="P420" s="355" t="str">
        <f t="shared" si="365"/>
        <v>Total CRWPP</v>
      </c>
      <c r="R420" s="352" t="str">
        <f t="shared" si="365"/>
        <v>Coastal</v>
      </c>
      <c r="S420" s="352" t="str">
        <f t="shared" si="365"/>
        <v>Tidal Cal.</v>
      </c>
      <c r="T420" s="352" t="str">
        <f t="shared" si="365"/>
        <v>West Cal.</v>
      </c>
      <c r="U420" s="352" t="str">
        <f t="shared" si="365"/>
        <v>East Cal.</v>
      </c>
      <c r="V420" s="352" t="str">
        <f t="shared" si="365"/>
        <v>S-4</v>
      </c>
      <c r="W420" s="356" t="str">
        <f t="shared" si="365"/>
        <v>Total CRWPP</v>
      </c>
    </row>
    <row r="421" spans="1:23">
      <c r="A421" s="777">
        <v>1</v>
      </c>
      <c r="B421" t="str">
        <f t="shared" ref="B421:B440" si="366">VLOOKUP($A421,bott_bmpeff,2,FALSE)</f>
        <v>Residential Low Density</v>
      </c>
      <c r="K421" s="552">
        <f t="shared" ref="K421:O430" si="367">K117*VLOOKUP($A421,bott_bmpeff,$K$616,FALSE)*VLOOKUP($A421,bottbmp_long,K$25+2,FALSE)</f>
        <v>6.0701215962171675</v>
      </c>
      <c r="L421" s="552">
        <f t="shared" si="367"/>
        <v>6.4716916127826813</v>
      </c>
      <c r="M421" s="552">
        <f t="shared" si="367"/>
        <v>3.1782194584277326</v>
      </c>
      <c r="N421" s="552">
        <f t="shared" si="367"/>
        <v>0.50969925099908997</v>
      </c>
      <c r="O421" s="552">
        <f t="shared" si="367"/>
        <v>0.12063648192783293</v>
      </c>
      <c r="P421" s="199">
        <f>SUM(K421:O421)</f>
        <v>16.350368400354505</v>
      </c>
      <c r="R421" s="552">
        <f t="shared" ref="R421:R440" si="368">R117*VLOOKUP($A421,bott_bmpeff,$K$616,FALSE)*VLOOKUP($A421,bottbmp_long,K$25+2,FALSE)</f>
        <v>0.6220714645378328</v>
      </c>
      <c r="S421" s="552">
        <f t="shared" ref="S421:S440" si="369">S117*VLOOKUP($A421,bott_bmpeff,$K$616,FALSE)*VLOOKUP($A421,bottbmp_long,L$25+2,FALSE)</f>
        <v>0.66322471729558108</v>
      </c>
      <c r="T421" s="552">
        <f t="shared" ref="T421:T440" si="370">T117*VLOOKUP($A421,bott_bmpeff,$K$616,FALSE)*VLOOKUP($A421,bottbmp_long,M$25+2,FALSE)</f>
        <v>0.32561552042354425</v>
      </c>
      <c r="U421" s="552">
        <f t="shared" ref="U421:U440" si="371">U117*VLOOKUP($A421,bott_bmpeff,$K$616,FALSE)*VLOOKUP($A421,bottbmp_long,N$25+2,FALSE)</f>
        <v>5.2234432954429533E-2</v>
      </c>
      <c r="V421" s="552">
        <f t="shared" ref="V421:V440" si="372">V117*VLOOKUP($A421,bott_bmpeff,$K$616,FALSE)*VLOOKUP($A421,bottbmp_long,O$25+2,FALSE)</f>
        <v>9.2806474152568926E-3</v>
      </c>
      <c r="W421" s="199">
        <f>SUM(R421:V421)</f>
        <v>1.6724267826266446</v>
      </c>
    </row>
    <row r="422" spans="1:23">
      <c r="A422" s="777">
        <v>2</v>
      </c>
      <c r="B422" t="str">
        <f t="shared" si="366"/>
        <v>Residential Medium Density</v>
      </c>
      <c r="K422" s="552">
        <f t="shared" si="367"/>
        <v>1.5517358497461922</v>
      </c>
      <c r="L422" s="552">
        <f t="shared" si="367"/>
        <v>10.698208045349316</v>
      </c>
      <c r="M422" s="552">
        <f t="shared" si="367"/>
        <v>0.73019784070695637</v>
      </c>
      <c r="N422" s="552">
        <f t="shared" si="367"/>
        <v>0.12598000588914415</v>
      </c>
      <c r="O422" s="552">
        <f t="shared" si="367"/>
        <v>0.64272024736863076</v>
      </c>
      <c r="P422" s="199">
        <f t="shared" ref="P422:P443" si="373">SUM(K422:O422)</f>
        <v>13.74884198906024</v>
      </c>
      <c r="R422" s="552">
        <f t="shared" si="368"/>
        <v>0.31236713979735875</v>
      </c>
      <c r="S422" s="552">
        <f t="shared" si="369"/>
        <v>2.1535679855752838</v>
      </c>
      <c r="T422" s="552">
        <f t="shared" si="370"/>
        <v>0.14694892641617774</v>
      </c>
      <c r="U422" s="552">
        <f t="shared" si="371"/>
        <v>2.5359995464229904E-2</v>
      </c>
      <c r="V422" s="552">
        <f t="shared" si="372"/>
        <v>9.7123930533592223E-2</v>
      </c>
      <c r="W422" s="199">
        <f t="shared" ref="W422:W443" si="374">SUM(R422:V422)</f>
        <v>2.7353679777866424</v>
      </c>
    </row>
    <row r="423" spans="1:23">
      <c r="A423" s="777">
        <v>3</v>
      </c>
      <c r="B423" t="str">
        <f t="shared" si="366"/>
        <v>Residential High Density</v>
      </c>
      <c r="K423" s="552">
        <f t="shared" si="367"/>
        <v>0.93469144265339754</v>
      </c>
      <c r="L423" s="552">
        <f t="shared" si="367"/>
        <v>3.3147501224766942</v>
      </c>
      <c r="M423" s="552">
        <f t="shared" si="367"/>
        <v>0.15208304875721682</v>
      </c>
      <c r="N423" s="552">
        <f t="shared" si="367"/>
        <v>1.8032481384577921E-2</v>
      </c>
      <c r="O423" s="552">
        <f t="shared" si="367"/>
        <v>3.0618090091809567E-2</v>
      </c>
      <c r="P423" s="199">
        <f t="shared" si="373"/>
        <v>4.4501751853636966</v>
      </c>
      <c r="R423" s="552">
        <f t="shared" si="368"/>
        <v>0.26879288819169289</v>
      </c>
      <c r="S423" s="552">
        <f t="shared" si="369"/>
        <v>0.95323570795188295</v>
      </c>
      <c r="T423" s="552">
        <f t="shared" si="370"/>
        <v>4.3722868154149094E-2</v>
      </c>
      <c r="U423" s="552">
        <f t="shared" si="371"/>
        <v>5.1856714755662992E-3</v>
      </c>
      <c r="V423" s="552">
        <f t="shared" si="372"/>
        <v>6.6097392124068342E-3</v>
      </c>
      <c r="W423" s="199">
        <f t="shared" si="374"/>
        <v>1.277546874985698</v>
      </c>
    </row>
    <row r="424" spans="1:23">
      <c r="A424" s="777">
        <v>4</v>
      </c>
      <c r="B424" t="str">
        <f t="shared" si="366"/>
        <v>Other Urban</v>
      </c>
      <c r="K424" s="552">
        <f t="shared" si="367"/>
        <v>0.47614623812399487</v>
      </c>
      <c r="L424" s="552">
        <f t="shared" si="367"/>
        <v>1.9933945138749163</v>
      </c>
      <c r="M424" s="552">
        <f t="shared" si="367"/>
        <v>0.26236769365332546</v>
      </c>
      <c r="N424" s="552">
        <f t="shared" si="367"/>
        <v>0.11742117802861989</v>
      </c>
      <c r="O424" s="552">
        <f t="shared" si="367"/>
        <v>0.33130655306119611</v>
      </c>
      <c r="P424" s="199">
        <f t="shared" si="373"/>
        <v>3.1806361767420528</v>
      </c>
      <c r="R424" s="552">
        <f t="shared" si="368"/>
        <v>8.6590937691121306E-2</v>
      </c>
      <c r="S424" s="552">
        <f t="shared" si="369"/>
        <v>0.37156631764180831</v>
      </c>
      <c r="T424" s="552">
        <f t="shared" si="370"/>
        <v>5.419176750164393E-2</v>
      </c>
      <c r="U424" s="552">
        <f t="shared" si="371"/>
        <v>2.1757017314198698E-2</v>
      </c>
      <c r="V424" s="552">
        <f t="shared" si="372"/>
        <v>6.0105274413784639E-2</v>
      </c>
      <c r="W424" s="199">
        <f t="shared" si="374"/>
        <v>0.59421131456255682</v>
      </c>
    </row>
    <row r="425" spans="1:23">
      <c r="A425" s="777">
        <v>5</v>
      </c>
      <c r="B425" t="str">
        <f t="shared" si="366"/>
        <v>Improved Pasture</v>
      </c>
      <c r="K425" s="552">
        <f t="shared" si="367"/>
        <v>1.6417667080553326</v>
      </c>
      <c r="L425" s="552">
        <f t="shared" si="367"/>
        <v>13.583873225006325</v>
      </c>
      <c r="M425" s="552">
        <f t="shared" si="367"/>
        <v>9.8456091910736685</v>
      </c>
      <c r="N425" s="552">
        <f t="shared" si="367"/>
        <v>5.1739211021289142</v>
      </c>
      <c r="O425" s="552">
        <f t="shared" si="367"/>
        <v>0.14512267706053883</v>
      </c>
      <c r="P425" s="199">
        <f t="shared" si="373"/>
        <v>30.390292903324781</v>
      </c>
      <c r="R425" s="552">
        <f t="shared" si="368"/>
        <v>0.23819135783486664</v>
      </c>
      <c r="S425" s="552">
        <f t="shared" si="369"/>
        <v>1.9707801310902802</v>
      </c>
      <c r="T425" s="552">
        <f t="shared" si="370"/>
        <v>1.4280238946539523</v>
      </c>
      <c r="U425" s="552">
        <f t="shared" si="371"/>
        <v>0.75064458707797166</v>
      </c>
      <c r="V425" s="552">
        <f t="shared" si="372"/>
        <v>1.5805438800493368E-2</v>
      </c>
      <c r="W425" s="199">
        <f t="shared" si="374"/>
        <v>4.4034454094575635</v>
      </c>
    </row>
    <row r="426" spans="1:23">
      <c r="A426" s="777">
        <v>6</v>
      </c>
      <c r="B426" t="str">
        <f t="shared" si="366"/>
        <v>Unimproved Pasture</v>
      </c>
      <c r="K426" s="552">
        <f t="shared" si="367"/>
        <v>9.4563508492288673E-2</v>
      </c>
      <c r="L426" s="552">
        <f t="shared" si="367"/>
        <v>0.97223114673657152</v>
      </c>
      <c r="M426" s="552">
        <f t="shared" si="367"/>
        <v>0.72303612555652919</v>
      </c>
      <c r="N426" s="552">
        <f t="shared" si="367"/>
        <v>0.25931926186756282</v>
      </c>
      <c r="O426" s="552">
        <f t="shared" si="367"/>
        <v>0</v>
      </c>
      <c r="P426" s="199">
        <f t="shared" si="373"/>
        <v>2.0491500426529523</v>
      </c>
      <c r="R426" s="552">
        <f t="shared" si="368"/>
        <v>1.4239766977862148E-2</v>
      </c>
      <c r="S426" s="552">
        <f t="shared" si="369"/>
        <v>0.14640261554252121</v>
      </c>
      <c r="T426" s="552">
        <f t="shared" si="370"/>
        <v>0.10884729187181497</v>
      </c>
      <c r="U426" s="552">
        <f t="shared" si="371"/>
        <v>3.9049374549871216E-2</v>
      </c>
      <c r="V426" s="552">
        <f t="shared" si="372"/>
        <v>0</v>
      </c>
      <c r="W426" s="199">
        <f t="shared" si="374"/>
        <v>0.30853904894206952</v>
      </c>
    </row>
    <row r="427" spans="1:23">
      <c r="A427" s="777">
        <v>7</v>
      </c>
      <c r="B427" t="str">
        <f t="shared" si="366"/>
        <v>Rangeland, Woodland Pasture</v>
      </c>
      <c r="K427" s="552">
        <f t="shared" si="367"/>
        <v>0.6508755559734879</v>
      </c>
      <c r="L427" s="552">
        <f t="shared" si="367"/>
        <v>1.2770136453215943</v>
      </c>
      <c r="M427" s="552">
        <f t="shared" si="367"/>
        <v>0.48489587555603636</v>
      </c>
      <c r="N427" s="552">
        <f t="shared" si="367"/>
        <v>0.13444681801103994</v>
      </c>
      <c r="O427" s="552">
        <f t="shared" si="367"/>
        <v>4.3944357010337548E-3</v>
      </c>
      <c r="P427" s="199">
        <f t="shared" si="373"/>
        <v>2.5516263305631925</v>
      </c>
      <c r="R427" s="552">
        <f t="shared" si="368"/>
        <v>3.3818512697934552E-2</v>
      </c>
      <c r="S427" s="552">
        <f t="shared" si="369"/>
        <v>9.1288679634366002E-2</v>
      </c>
      <c r="T427" s="552">
        <f t="shared" si="370"/>
        <v>4.2618587363740551E-2</v>
      </c>
      <c r="U427" s="552">
        <f t="shared" si="371"/>
        <v>1.534183408585426E-2</v>
      </c>
      <c r="V427" s="552">
        <f t="shared" si="372"/>
        <v>1.6659347301170097E-4</v>
      </c>
      <c r="W427" s="199">
        <f t="shared" si="374"/>
        <v>0.18323420725490708</v>
      </c>
    </row>
    <row r="428" spans="1:23">
      <c r="A428" s="777">
        <v>8</v>
      </c>
      <c r="B428" t="str">
        <f t="shared" si="366"/>
        <v>Row Crops</v>
      </c>
      <c r="K428" s="552">
        <f t="shared" si="367"/>
        <v>0.87511636265426229</v>
      </c>
      <c r="L428" s="552">
        <f t="shared" si="367"/>
        <v>2.781534377689221</v>
      </c>
      <c r="M428" s="552">
        <f t="shared" si="367"/>
        <v>2.7025482407653789</v>
      </c>
      <c r="N428" s="552">
        <f t="shared" si="367"/>
        <v>0.36221809643598296</v>
      </c>
      <c r="O428" s="552">
        <f t="shared" si="367"/>
        <v>0</v>
      </c>
      <c r="P428" s="199">
        <f t="shared" si="373"/>
        <v>6.7214170775448459</v>
      </c>
      <c r="R428" s="552">
        <f t="shared" si="368"/>
        <v>0.16777376567814525</v>
      </c>
      <c r="S428" s="552">
        <f t="shared" si="369"/>
        <v>0.53326450838230588</v>
      </c>
      <c r="T428" s="552">
        <f t="shared" si="370"/>
        <v>0.51797646692299981</v>
      </c>
      <c r="U428" s="552">
        <f t="shared" si="371"/>
        <v>6.9442986817792471E-2</v>
      </c>
      <c r="V428" s="552">
        <f t="shared" si="372"/>
        <v>0</v>
      </c>
      <c r="W428" s="199">
        <f t="shared" si="374"/>
        <v>1.2884577278012435</v>
      </c>
    </row>
    <row r="429" spans="1:23">
      <c r="A429" s="777">
        <v>9</v>
      </c>
      <c r="B429" t="str">
        <f t="shared" si="366"/>
        <v>Sugar Cane</v>
      </c>
      <c r="K429" s="552">
        <f t="shared" si="367"/>
        <v>0</v>
      </c>
      <c r="L429" s="552">
        <f t="shared" si="367"/>
        <v>0</v>
      </c>
      <c r="M429" s="552">
        <f t="shared" si="367"/>
        <v>0.15466583682792179</v>
      </c>
      <c r="N429" s="552">
        <f t="shared" si="367"/>
        <v>3.4511259227687376</v>
      </c>
      <c r="O429" s="552">
        <f t="shared" si="367"/>
        <v>2.5539985626666617</v>
      </c>
      <c r="P429" s="199">
        <f t="shared" si="373"/>
        <v>6.159790322263321</v>
      </c>
      <c r="R429" s="552">
        <f t="shared" si="368"/>
        <v>0</v>
      </c>
      <c r="S429" s="552">
        <f t="shared" si="369"/>
        <v>0</v>
      </c>
      <c r="T429" s="552">
        <f t="shared" si="370"/>
        <v>8.8930805199385673E-3</v>
      </c>
      <c r="U429" s="552">
        <f t="shared" si="371"/>
        <v>0.19849076646317751</v>
      </c>
      <c r="V429" s="552">
        <f t="shared" si="372"/>
        <v>0.11026987246735104</v>
      </c>
      <c r="W429" s="199">
        <f t="shared" si="374"/>
        <v>0.31765371945046711</v>
      </c>
    </row>
    <row r="430" spans="1:23">
      <c r="A430" s="777">
        <v>10</v>
      </c>
      <c r="B430" t="str">
        <f t="shared" si="366"/>
        <v>Citrus</v>
      </c>
      <c r="K430" s="552">
        <f t="shared" si="367"/>
        <v>5.4082607712954429E-2</v>
      </c>
      <c r="L430" s="552">
        <f t="shared" si="367"/>
        <v>0.23493024093389953</v>
      </c>
      <c r="M430" s="552">
        <f t="shared" si="367"/>
        <v>5.5098186280167454</v>
      </c>
      <c r="N430" s="552">
        <f t="shared" si="367"/>
        <v>1.6842262398604129</v>
      </c>
      <c r="O430" s="552">
        <f t="shared" si="367"/>
        <v>5.389200901128894E-3</v>
      </c>
      <c r="P430" s="199">
        <f t="shared" si="373"/>
        <v>7.4884469174251409</v>
      </c>
      <c r="R430" s="552">
        <f t="shared" si="368"/>
        <v>4.7573111080282558E-3</v>
      </c>
      <c r="S430" s="552">
        <f t="shared" si="369"/>
        <v>2.0665354206633173E-2</v>
      </c>
      <c r="T430" s="552">
        <f t="shared" si="370"/>
        <v>0.48452875778853388</v>
      </c>
      <c r="U430" s="552">
        <f t="shared" si="371"/>
        <v>0.1481509220458945</v>
      </c>
      <c r="V430" s="552">
        <f t="shared" si="372"/>
        <v>3.5586479324741942E-4</v>
      </c>
      <c r="W430" s="199">
        <f t="shared" si="374"/>
        <v>0.65845820994233728</v>
      </c>
    </row>
    <row r="431" spans="1:23">
      <c r="A431" s="777">
        <v>11</v>
      </c>
      <c r="B431" t="str">
        <f t="shared" si="366"/>
        <v>Sod</v>
      </c>
      <c r="K431" s="552">
        <f t="shared" ref="K431:O440" si="375">K127*VLOOKUP($A431,bott_bmpeff,$K$616,FALSE)*VLOOKUP($A431,bottbmp_long,K$25+2,FALSE)</f>
        <v>0</v>
      </c>
      <c r="L431" s="552">
        <f t="shared" si="375"/>
        <v>0.85066865544213865</v>
      </c>
      <c r="M431" s="552">
        <f t="shared" si="375"/>
        <v>0.56557394974230524</v>
      </c>
      <c r="N431" s="552">
        <f t="shared" si="375"/>
        <v>3.8785994374647831E-2</v>
      </c>
      <c r="O431" s="552">
        <f t="shared" si="375"/>
        <v>0</v>
      </c>
      <c r="P431" s="199">
        <f t="shared" si="373"/>
        <v>1.4550285995590917</v>
      </c>
      <c r="R431" s="552">
        <f t="shared" si="368"/>
        <v>0</v>
      </c>
      <c r="S431" s="552">
        <f t="shared" si="369"/>
        <v>0.21962349032436854</v>
      </c>
      <c r="T431" s="552">
        <f t="shared" si="370"/>
        <v>0.14597755395977516</v>
      </c>
      <c r="U431" s="552">
        <f t="shared" si="371"/>
        <v>1.0013670311896058E-2</v>
      </c>
      <c r="V431" s="552">
        <f t="shared" si="372"/>
        <v>0</v>
      </c>
      <c r="W431" s="199">
        <f t="shared" si="374"/>
        <v>0.37561471459603973</v>
      </c>
    </row>
    <row r="432" spans="1:23">
      <c r="A432" s="777">
        <v>12</v>
      </c>
      <c r="B432" t="str">
        <f t="shared" si="366"/>
        <v>Ornamentals</v>
      </c>
      <c r="K432" s="552">
        <f t="shared" si="375"/>
        <v>0.17324814551386583</v>
      </c>
      <c r="L432" s="552">
        <f t="shared" si="375"/>
        <v>0.29652762578752351</v>
      </c>
      <c r="M432" s="552">
        <f t="shared" si="375"/>
        <v>0.10398874955457421</v>
      </c>
      <c r="N432" s="552">
        <f t="shared" si="375"/>
        <v>3.5841608958383491E-3</v>
      </c>
      <c r="O432" s="552">
        <f t="shared" si="375"/>
        <v>0</v>
      </c>
      <c r="P432" s="199">
        <f t="shared" si="373"/>
        <v>0.57734868175180198</v>
      </c>
      <c r="R432" s="552">
        <f t="shared" si="368"/>
        <v>4.8160927808631362E-2</v>
      </c>
      <c r="S432" s="552">
        <f t="shared" si="369"/>
        <v>8.2431159862977013E-2</v>
      </c>
      <c r="T432" s="552">
        <f t="shared" si="370"/>
        <v>2.8899540148156058E-2</v>
      </c>
      <c r="U432" s="552">
        <f t="shared" si="371"/>
        <v>9.9635418114865171E-4</v>
      </c>
      <c r="V432" s="552">
        <f t="shared" si="372"/>
        <v>0</v>
      </c>
      <c r="W432" s="199">
        <f t="shared" si="374"/>
        <v>0.1604879820009131</v>
      </c>
    </row>
    <row r="433" spans="1:23">
      <c r="A433" s="777">
        <v>13</v>
      </c>
      <c r="B433" t="str">
        <f t="shared" si="366"/>
        <v>Horse Farms</v>
      </c>
      <c r="K433" s="552">
        <f t="shared" si="375"/>
        <v>0</v>
      </c>
      <c r="L433" s="552">
        <f t="shared" si="375"/>
        <v>3.837163661254487E-2</v>
      </c>
      <c r="M433" s="552">
        <f t="shared" si="375"/>
        <v>1.7284579524723231E-2</v>
      </c>
      <c r="N433" s="552">
        <f t="shared" si="375"/>
        <v>4.9988583067790478E-2</v>
      </c>
      <c r="O433" s="552">
        <f t="shared" si="375"/>
        <v>0</v>
      </c>
      <c r="P433" s="199">
        <f t="shared" si="373"/>
        <v>0.10564479920505858</v>
      </c>
      <c r="R433" s="552">
        <f t="shared" si="368"/>
        <v>0</v>
      </c>
      <c r="S433" s="552">
        <f t="shared" si="369"/>
        <v>5.0207804034282499E-3</v>
      </c>
      <c r="T433" s="552">
        <f t="shared" si="370"/>
        <v>2.2609869148135435E-3</v>
      </c>
      <c r="U433" s="552">
        <f t="shared" si="371"/>
        <v>6.5408129654770568E-3</v>
      </c>
      <c r="V433" s="552">
        <f t="shared" si="372"/>
        <v>0</v>
      </c>
      <c r="W433" s="199">
        <f t="shared" si="374"/>
        <v>1.3822580283718851E-2</v>
      </c>
    </row>
    <row r="434" spans="1:23">
      <c r="A434" s="777">
        <v>14</v>
      </c>
      <c r="B434" t="str">
        <f t="shared" si="366"/>
        <v>Dairies</v>
      </c>
      <c r="K434" s="552">
        <f t="shared" si="375"/>
        <v>0</v>
      </c>
      <c r="L434" s="552">
        <f t="shared" si="375"/>
        <v>4.9902336520339555E-2</v>
      </c>
      <c r="M434" s="552">
        <f t="shared" si="375"/>
        <v>0</v>
      </c>
      <c r="N434" s="552">
        <f t="shared" si="375"/>
        <v>5.3826470214637075E-3</v>
      </c>
      <c r="O434" s="552">
        <f t="shared" si="375"/>
        <v>0</v>
      </c>
      <c r="P434" s="199">
        <f t="shared" si="373"/>
        <v>5.5284983541803265E-2</v>
      </c>
      <c r="R434" s="552">
        <f t="shared" si="368"/>
        <v>0</v>
      </c>
      <c r="S434" s="552">
        <f t="shared" si="369"/>
        <v>2.6921745959561219E-2</v>
      </c>
      <c r="T434" s="552">
        <f t="shared" si="370"/>
        <v>0</v>
      </c>
      <c r="U434" s="552">
        <f t="shared" si="371"/>
        <v>2.9038771690133428E-3</v>
      </c>
      <c r="V434" s="552">
        <f t="shared" si="372"/>
        <v>0</v>
      </c>
      <c r="W434" s="199">
        <f t="shared" si="374"/>
        <v>2.9825623128574563E-2</v>
      </c>
    </row>
    <row r="435" spans="1:23">
      <c r="A435" s="777">
        <v>15</v>
      </c>
      <c r="B435" t="str">
        <f t="shared" si="366"/>
        <v>Other Agriculture</v>
      </c>
      <c r="K435" s="552">
        <f t="shared" si="375"/>
        <v>0.98156939238883789</v>
      </c>
      <c r="L435" s="552">
        <f t="shared" si="375"/>
        <v>1.6949511958150778</v>
      </c>
      <c r="M435" s="552">
        <f t="shared" si="375"/>
        <v>0.28302617033430483</v>
      </c>
      <c r="N435" s="552">
        <f t="shared" si="375"/>
        <v>7.3889543675753372E-2</v>
      </c>
      <c r="O435" s="552">
        <f t="shared" si="375"/>
        <v>5.2509200734063448E-2</v>
      </c>
      <c r="P435" s="199">
        <f t="shared" si="373"/>
        <v>3.0859455029480372</v>
      </c>
      <c r="R435" s="552">
        <f t="shared" si="368"/>
        <v>0.28224855790580444</v>
      </c>
      <c r="S435" s="552">
        <f t="shared" si="369"/>
        <v>0.68775560591318696</v>
      </c>
      <c r="T435" s="552">
        <f t="shared" si="370"/>
        <v>8.717294406891167E-2</v>
      </c>
      <c r="U435" s="552">
        <f t="shared" si="371"/>
        <v>2.7073913960042162E-2</v>
      </c>
      <c r="V435" s="552">
        <f t="shared" si="372"/>
        <v>1.1587717611673896E-2</v>
      </c>
      <c r="W435" s="199">
        <f t="shared" si="374"/>
        <v>1.0958387394596192</v>
      </c>
    </row>
    <row r="436" spans="1:23">
      <c r="A436" s="777">
        <v>16</v>
      </c>
      <c r="B436" t="str">
        <f t="shared" si="366"/>
        <v>Tree Plantations</v>
      </c>
      <c r="K436" s="552">
        <f t="shared" si="375"/>
        <v>0</v>
      </c>
      <c r="L436" s="552">
        <f t="shared" si="375"/>
        <v>0</v>
      </c>
      <c r="M436" s="552">
        <f t="shared" si="375"/>
        <v>3.1346298878120495E-4</v>
      </c>
      <c r="N436" s="552">
        <f t="shared" si="375"/>
        <v>0</v>
      </c>
      <c r="O436" s="552">
        <f t="shared" si="375"/>
        <v>0</v>
      </c>
      <c r="P436" s="199">
        <f t="shared" si="373"/>
        <v>3.1346298878120495E-4</v>
      </c>
      <c r="R436" s="552">
        <f t="shared" si="368"/>
        <v>0</v>
      </c>
      <c r="S436" s="552">
        <f t="shared" si="369"/>
        <v>0</v>
      </c>
      <c r="T436" s="552">
        <f t="shared" si="370"/>
        <v>1.7442296304361886E-5</v>
      </c>
      <c r="U436" s="552">
        <f t="shared" si="371"/>
        <v>0</v>
      </c>
      <c r="V436" s="552">
        <f t="shared" si="372"/>
        <v>0</v>
      </c>
      <c r="W436" s="199">
        <f t="shared" si="374"/>
        <v>1.7442296304361886E-5</v>
      </c>
    </row>
    <row r="437" spans="1:23">
      <c r="A437" s="777">
        <v>17</v>
      </c>
      <c r="B437" t="str">
        <f t="shared" si="366"/>
        <v>Water</v>
      </c>
      <c r="K437" s="552">
        <f t="shared" si="375"/>
        <v>0</v>
      </c>
      <c r="L437" s="552">
        <f t="shared" si="375"/>
        <v>0</v>
      </c>
      <c r="M437" s="552">
        <f t="shared" si="375"/>
        <v>0</v>
      </c>
      <c r="N437" s="552">
        <f t="shared" si="375"/>
        <v>0</v>
      </c>
      <c r="O437" s="552">
        <f t="shared" si="375"/>
        <v>0</v>
      </c>
      <c r="P437" s="199">
        <f t="shared" si="373"/>
        <v>0</v>
      </c>
      <c r="R437" s="552">
        <f t="shared" si="368"/>
        <v>0</v>
      </c>
      <c r="S437" s="552">
        <f t="shared" si="369"/>
        <v>0</v>
      </c>
      <c r="T437" s="552">
        <f t="shared" si="370"/>
        <v>0</v>
      </c>
      <c r="U437" s="552">
        <f t="shared" si="371"/>
        <v>0</v>
      </c>
      <c r="V437" s="552">
        <f t="shared" si="372"/>
        <v>0</v>
      </c>
      <c r="W437" s="199">
        <f t="shared" si="374"/>
        <v>0</v>
      </c>
    </row>
    <row r="438" spans="1:23">
      <c r="A438" s="777">
        <v>18</v>
      </c>
      <c r="B438" t="str">
        <f t="shared" si="366"/>
        <v>Natural Areas</v>
      </c>
      <c r="K438" s="552">
        <f t="shared" si="375"/>
        <v>0</v>
      </c>
      <c r="L438" s="552">
        <f t="shared" si="375"/>
        <v>0</v>
      </c>
      <c r="M438" s="552">
        <f t="shared" si="375"/>
        <v>0</v>
      </c>
      <c r="N438" s="552">
        <f t="shared" si="375"/>
        <v>0</v>
      </c>
      <c r="O438" s="552">
        <f t="shared" si="375"/>
        <v>0</v>
      </c>
      <c r="P438" s="199">
        <f t="shared" si="373"/>
        <v>0</v>
      </c>
      <c r="R438" s="552">
        <f t="shared" si="368"/>
        <v>0</v>
      </c>
      <c r="S438" s="552">
        <f t="shared" si="369"/>
        <v>0</v>
      </c>
      <c r="T438" s="552">
        <f t="shared" si="370"/>
        <v>0</v>
      </c>
      <c r="U438" s="552">
        <f t="shared" si="371"/>
        <v>0</v>
      </c>
      <c r="V438" s="552">
        <f t="shared" si="372"/>
        <v>0</v>
      </c>
      <c r="W438" s="199">
        <f t="shared" si="374"/>
        <v>0</v>
      </c>
    </row>
    <row r="439" spans="1:23">
      <c r="A439" s="777">
        <v>19</v>
      </c>
      <c r="B439" t="str">
        <f t="shared" si="366"/>
        <v>Transportation</v>
      </c>
      <c r="K439" s="552">
        <f t="shared" si="375"/>
        <v>0.10836943197909282</v>
      </c>
      <c r="L439" s="552">
        <f t="shared" si="375"/>
        <v>0.58115258508705314</v>
      </c>
      <c r="M439" s="552">
        <f t="shared" si="375"/>
        <v>0.13731309344790935</v>
      </c>
      <c r="N439" s="552">
        <f t="shared" si="375"/>
        <v>0.12553066744321995</v>
      </c>
      <c r="O439" s="552">
        <f t="shared" si="375"/>
        <v>7.2353593301244648E-2</v>
      </c>
      <c r="P439" s="199">
        <f t="shared" si="373"/>
        <v>1.0247193712585199</v>
      </c>
      <c r="R439" s="552">
        <f t="shared" si="368"/>
        <v>2.2356942631711469E-2</v>
      </c>
      <c r="S439" s="552">
        <f t="shared" si="369"/>
        <v>0.1198935416360649</v>
      </c>
      <c r="T439" s="552">
        <f t="shared" si="370"/>
        <v>2.8320172386479263E-2</v>
      </c>
      <c r="U439" s="552">
        <f t="shared" si="371"/>
        <v>2.5897357578564772E-2</v>
      </c>
      <c r="V439" s="552">
        <f t="shared" si="372"/>
        <v>1.1205272967667409E-2</v>
      </c>
      <c r="W439" s="199">
        <f t="shared" si="374"/>
        <v>0.2076732872004878</v>
      </c>
    </row>
    <row r="440" spans="1:23">
      <c r="A440" s="777">
        <v>20</v>
      </c>
      <c r="B440" t="str">
        <f t="shared" si="366"/>
        <v>Communication, Utilities</v>
      </c>
      <c r="K440" s="552">
        <f t="shared" si="375"/>
        <v>1.7958962635330315E-2</v>
      </c>
      <c r="L440" s="552">
        <f t="shared" si="375"/>
        <v>2.900261041762283E-2</v>
      </c>
      <c r="M440" s="552">
        <f t="shared" si="375"/>
        <v>6.7878461152366199E-3</v>
      </c>
      <c r="N440" s="552">
        <f t="shared" si="375"/>
        <v>1.2231574693985467E-2</v>
      </c>
      <c r="O440" s="552">
        <f t="shared" si="375"/>
        <v>4.7920531738568856E-3</v>
      </c>
      <c r="P440" s="199">
        <f t="shared" si="373"/>
        <v>7.0773047036032127E-2</v>
      </c>
      <c r="R440" s="552">
        <f t="shared" si="368"/>
        <v>1.6526494080565731E-3</v>
      </c>
      <c r="S440" s="552">
        <f t="shared" si="369"/>
        <v>2.6689262577163429E-3</v>
      </c>
      <c r="T440" s="552">
        <f t="shared" si="370"/>
        <v>6.2446744075137677E-4</v>
      </c>
      <c r="U440" s="552">
        <f t="shared" si="371"/>
        <v>1.1255942276892567E-3</v>
      </c>
      <c r="V440" s="552">
        <f t="shared" si="372"/>
        <v>3.3103798886165988E-4</v>
      </c>
      <c r="W440" s="199">
        <f t="shared" si="374"/>
        <v>6.4026753230752098E-3</v>
      </c>
    </row>
    <row r="441" spans="1:23">
      <c r="A441" s="585" t="s">
        <v>701</v>
      </c>
      <c r="B441" s="38" t="s">
        <v>1150</v>
      </c>
      <c r="K441" s="208">
        <f>SUM(K421:K424,K439:K440)</f>
        <v>9.1590235213551754</v>
      </c>
      <c r="L441" s="208">
        <f t="shared" ref="L441:O441" si="376">SUM(L421:L424,L439:L440)</f>
        <v>23.088199489988288</v>
      </c>
      <c r="M441" s="208">
        <f t="shared" si="376"/>
        <v>4.4669689811083773</v>
      </c>
      <c r="N441" s="208">
        <f t="shared" si="376"/>
        <v>0.90889515843863733</v>
      </c>
      <c r="O441" s="208">
        <f t="shared" si="376"/>
        <v>1.2024270189245709</v>
      </c>
      <c r="P441" s="208">
        <f t="shared" ref="P441:P442" si="377">SUM(K441:O441)</f>
        <v>38.825514169815058</v>
      </c>
      <c r="R441" s="208">
        <f>SUM(R421:R424,R439:R440)</f>
        <v>1.3138320222577737</v>
      </c>
      <c r="S441" s="208">
        <f t="shared" ref="S441:V441" si="378">SUM(S421:S424,S439:S440)</f>
        <v>4.2641571963583385</v>
      </c>
      <c r="T441" s="208">
        <f t="shared" si="378"/>
        <v>0.59942372232274554</v>
      </c>
      <c r="U441" s="208">
        <f t="shared" si="378"/>
        <v>0.13156006901467845</v>
      </c>
      <c r="V441" s="208">
        <f t="shared" si="378"/>
        <v>0.18465590253156966</v>
      </c>
      <c r="W441" s="208">
        <f t="shared" ref="W441:W442" si="379">SUM(R441:V441)</f>
        <v>6.4936289124851063</v>
      </c>
    </row>
    <row r="442" spans="1:23">
      <c r="A442" s="585" t="s">
        <v>702</v>
      </c>
      <c r="B442" s="38" t="s">
        <v>1151</v>
      </c>
      <c r="K442" s="208">
        <f>SUM(K425:K436)</f>
        <v>4.4712222807910296</v>
      </c>
      <c r="L442" s="208">
        <f t="shared" ref="L442:O442" si="380">SUM(L425:L436)</f>
        <v>21.780004085865237</v>
      </c>
      <c r="M442" s="208">
        <f t="shared" si="380"/>
        <v>20.390760809940971</v>
      </c>
      <c r="N442" s="208">
        <f t="shared" si="380"/>
        <v>11.236888370108144</v>
      </c>
      <c r="O442" s="208">
        <f t="shared" si="380"/>
        <v>2.7614140770634261</v>
      </c>
      <c r="P442" s="208">
        <f t="shared" si="377"/>
        <v>60.640289623768815</v>
      </c>
      <c r="R442" s="208">
        <f>SUM(R425:R436)</f>
        <v>0.78919020001127271</v>
      </c>
      <c r="S442" s="208">
        <f t="shared" ref="S442:V442" si="381">SUM(S425:S436)</f>
        <v>3.7841540713196289</v>
      </c>
      <c r="T442" s="208">
        <f t="shared" si="381"/>
        <v>2.8552165465089407</v>
      </c>
      <c r="U442" s="208">
        <f t="shared" si="381"/>
        <v>1.268649099628139</v>
      </c>
      <c r="V442" s="208">
        <f t="shared" si="381"/>
        <v>0.13818548714577744</v>
      </c>
      <c r="W442" s="208">
        <f t="shared" si="379"/>
        <v>8.8353954046137595</v>
      </c>
    </row>
    <row r="443" spans="1:23">
      <c r="B443" s="209" t="s">
        <v>1152</v>
      </c>
      <c r="D443" s="206">
        <f>D$409</f>
        <v>222351.6538822767</v>
      </c>
      <c r="E443" s="206">
        <f t="shared" ref="E443:H443" si="382">E$409</f>
        <v>435972.92238569196</v>
      </c>
      <c r="F443" s="206">
        <f t="shared" si="382"/>
        <v>592268.25223140384</v>
      </c>
      <c r="G443" s="206">
        <f t="shared" si="382"/>
        <v>298888.44256774255</v>
      </c>
      <c r="H443" s="206">
        <f t="shared" si="382"/>
        <v>61586.099834710752</v>
      </c>
      <c r="I443" s="545">
        <f>SUM(D443:H443)</f>
        <v>1611067.3709018258</v>
      </c>
      <c r="K443" s="547">
        <f>SUM(K421:K440)</f>
        <v>13.630245802146206</v>
      </c>
      <c r="L443" s="547">
        <f t="shared" ref="L443:O443" si="383">SUM(L421:L440)</f>
        <v>44.868203575853528</v>
      </c>
      <c r="M443" s="547">
        <f t="shared" si="383"/>
        <v>24.857729791049344</v>
      </c>
      <c r="N443" s="547">
        <f t="shared" si="383"/>
        <v>12.145783528546779</v>
      </c>
      <c r="O443" s="547">
        <f t="shared" si="383"/>
        <v>3.9638410959879971</v>
      </c>
      <c r="P443" s="547">
        <f t="shared" si="373"/>
        <v>99.465803793583873</v>
      </c>
      <c r="R443" s="547">
        <f>SUM(R421:R440)</f>
        <v>2.1030222222690469</v>
      </c>
      <c r="S443" s="547">
        <f t="shared" ref="S443:V443" si="384">SUM(S421:S440)</f>
        <v>8.0483112676779651</v>
      </c>
      <c r="T443" s="547">
        <f t="shared" si="384"/>
        <v>3.4546402688316862</v>
      </c>
      <c r="U443" s="547">
        <f t="shared" si="384"/>
        <v>1.4002091686428175</v>
      </c>
      <c r="V443" s="547">
        <f t="shared" si="384"/>
        <v>0.32284138967734705</v>
      </c>
      <c r="W443" s="547">
        <f t="shared" si="374"/>
        <v>15.329024317098863</v>
      </c>
    </row>
    <row r="446" spans="1:23">
      <c r="A446" s="353" t="s">
        <v>1115</v>
      </c>
      <c r="B446" s="229"/>
      <c r="C446" s="230"/>
      <c r="D446" s="231"/>
      <c r="E446" s="231"/>
      <c r="F446" s="231"/>
      <c r="G446" s="231"/>
      <c r="H446" s="231"/>
      <c r="I446" s="231"/>
      <c r="J446" s="230"/>
      <c r="K446" s="232"/>
      <c r="L446" s="232"/>
      <c r="M446" s="232"/>
      <c r="N446" s="232"/>
      <c r="O446" s="232"/>
      <c r="P446" s="232"/>
      <c r="Q446" s="230"/>
      <c r="R446" s="230"/>
      <c r="S446" s="354"/>
      <c r="T446" s="354"/>
      <c r="U446" s="354"/>
      <c r="V446" s="354"/>
      <c r="W446" s="594"/>
    </row>
    <row r="448" spans="1:23">
      <c r="C448" s="99"/>
      <c r="D448" s="1440" t="s">
        <v>488</v>
      </c>
      <c r="E448" s="1440"/>
      <c r="F448" s="1440"/>
      <c r="G448" s="1440"/>
      <c r="H448" s="1440"/>
      <c r="I448" s="1440"/>
      <c r="K448" s="1441" t="s">
        <v>1116</v>
      </c>
      <c r="L448" s="1441"/>
      <c r="M448" s="1441"/>
      <c r="N448" s="1441"/>
      <c r="O448" s="1441"/>
      <c r="P448" s="1441"/>
      <c r="R448" s="1442" t="s">
        <v>1117</v>
      </c>
      <c r="S448" s="1442"/>
      <c r="T448" s="1442"/>
      <c r="U448" s="1442"/>
      <c r="V448" s="1442"/>
      <c r="W448" s="1442"/>
    </row>
    <row r="449" spans="1:23" ht="30">
      <c r="A449" s="521" t="s">
        <v>630</v>
      </c>
      <c r="B449" s="544" t="s">
        <v>214</v>
      </c>
      <c r="D449" s="363"/>
      <c r="E449" s="363"/>
      <c r="F449" s="363"/>
      <c r="G449" s="363"/>
      <c r="H449" s="363"/>
      <c r="I449" s="364"/>
      <c r="K449" s="351" t="str">
        <f t="shared" ref="K449:W449" si="385">VLOOKUP(K$24,subwatgeog,2,FALSE)</f>
        <v>Coastal</v>
      </c>
      <c r="L449" s="351" t="str">
        <f t="shared" si="385"/>
        <v>Tidal Cal.</v>
      </c>
      <c r="M449" s="351" t="str">
        <f t="shared" si="385"/>
        <v>West Cal.</v>
      </c>
      <c r="N449" s="351" t="str">
        <f t="shared" si="385"/>
        <v>East Cal.</v>
      </c>
      <c r="O449" s="351" t="str">
        <f t="shared" si="385"/>
        <v>S-4</v>
      </c>
      <c r="P449" s="355" t="str">
        <f t="shared" si="385"/>
        <v>Total CRWPP</v>
      </c>
      <c r="R449" s="352" t="str">
        <f t="shared" si="385"/>
        <v>Coastal</v>
      </c>
      <c r="S449" s="352" t="str">
        <f t="shared" si="385"/>
        <v>Tidal Cal.</v>
      </c>
      <c r="T449" s="352" t="str">
        <f t="shared" si="385"/>
        <v>West Cal.</v>
      </c>
      <c r="U449" s="352" t="str">
        <f t="shared" si="385"/>
        <v>East Cal.</v>
      </c>
      <c r="V449" s="352" t="str">
        <f t="shared" si="385"/>
        <v>S-4</v>
      </c>
      <c r="W449" s="356" t="str">
        <f t="shared" si="385"/>
        <v>Total CRWPP</v>
      </c>
    </row>
    <row r="450" spans="1:23">
      <c r="A450" s="777">
        <v>1</v>
      </c>
      <c r="B450" t="str">
        <f t="shared" ref="B450:B469" si="386">VLOOKUP($A450,bott_bmpeff,2,FALSE)</f>
        <v>Residential Low Density</v>
      </c>
      <c r="K450" s="552">
        <f t="shared" ref="K450:O459" si="387">K117*VLOOKUP($A450,bott_bmpeff,$L$616,FALSE)*VLOOKUP($A421,bottbmp_long,K$25+7,FALSE)</f>
        <v>5.6999119850652145</v>
      </c>
      <c r="L450" s="552">
        <f t="shared" si="387"/>
        <v>0</v>
      </c>
      <c r="M450" s="552">
        <f t="shared" si="387"/>
        <v>2.2556694859806727</v>
      </c>
      <c r="N450" s="552">
        <f t="shared" si="387"/>
        <v>0.20848402354592943</v>
      </c>
      <c r="O450" s="552">
        <f t="shared" si="387"/>
        <v>1.6449150503637752E-2</v>
      </c>
      <c r="P450" s="199">
        <f>SUM(K450:O450)</f>
        <v>8.1805146450954549</v>
      </c>
      <c r="R450" s="552">
        <f t="shared" ref="R450:R469" si="388">R117*VLOOKUP($A450,bott_bmpeff,$L$616,FALSE)*VLOOKUP($A421,bottbmp_long,K$25+7,FALSE)</f>
        <v>0.58413205404253143</v>
      </c>
      <c r="S450" s="552">
        <f t="shared" ref="S450:S469" si="389">S117*VLOOKUP($A450,bott_bmpeff,$L$616,FALSE)*VLOOKUP($A421,bottbmp_long,L$25+7,FALSE)</f>
        <v>0</v>
      </c>
      <c r="T450" s="552">
        <f t="shared" ref="T450:T469" si="390">T117*VLOOKUP($A450,bott_bmpeff,$L$616,FALSE)*VLOOKUP($A421,bottbmp_long,M$25+7,FALSE)</f>
        <v>0.23109826215224724</v>
      </c>
      <c r="U450" s="552">
        <f t="shared" ref="U450:U469" si="391">U117*VLOOKUP($A450,bott_bmpeff,$L$616,FALSE)*VLOOKUP($A421,bottbmp_long,N$25+7,FALSE)</f>
        <v>2.1365628316371611E-2</v>
      </c>
      <c r="V450" s="552">
        <f t="shared" ref="V450:V469" si="392">V117*VLOOKUP($A450,bott_bmpeff,$L$616,FALSE)*VLOOKUP($A421,bottbmp_long,O$25+7,FALSE)</f>
        <v>1.265444446532192E-3</v>
      </c>
      <c r="W450" s="199">
        <f>SUM(R450:V450)</f>
        <v>0.83786138895768247</v>
      </c>
    </row>
    <row r="451" spans="1:23">
      <c r="A451" s="777">
        <v>2</v>
      </c>
      <c r="B451" t="str">
        <f t="shared" si="386"/>
        <v>Residential Medium Density</v>
      </c>
      <c r="K451" s="552">
        <f t="shared" si="387"/>
        <v>0.94005196400745916</v>
      </c>
      <c r="L451" s="552">
        <f t="shared" si="387"/>
        <v>5.8179077877296255</v>
      </c>
      <c r="M451" s="552">
        <f t="shared" si="387"/>
        <v>0.74915742390236828</v>
      </c>
      <c r="N451" s="552">
        <f t="shared" si="387"/>
        <v>3.9674645650173562E-2</v>
      </c>
      <c r="O451" s="552">
        <f t="shared" si="387"/>
        <v>0.21199953894921453</v>
      </c>
      <c r="P451" s="199">
        <f t="shared" ref="P451:P472" si="393">SUM(K451:O451)</f>
        <v>7.7587913602388419</v>
      </c>
      <c r="R451" s="552">
        <f t="shared" si="388"/>
        <v>0.18923410405574426</v>
      </c>
      <c r="S451" s="552">
        <f t="shared" si="389"/>
        <v>1.1711550104066555</v>
      </c>
      <c r="T451" s="552">
        <f t="shared" si="390"/>
        <v>0.15076445453820914</v>
      </c>
      <c r="U451" s="552">
        <f t="shared" si="391"/>
        <v>7.9865755413497039E-3</v>
      </c>
      <c r="V451" s="552">
        <f t="shared" si="392"/>
        <v>3.2036066357572848E-2</v>
      </c>
      <c r="W451" s="199">
        <f t="shared" ref="W451:W472" si="394">SUM(R451:V451)</f>
        <v>1.5511762108995315</v>
      </c>
    </row>
    <row r="452" spans="1:23">
      <c r="A452" s="777">
        <v>3</v>
      </c>
      <c r="B452" t="str">
        <f t="shared" si="386"/>
        <v>Residential High Density</v>
      </c>
      <c r="K452" s="552">
        <f t="shared" si="387"/>
        <v>0.19695428703093532</v>
      </c>
      <c r="L452" s="552">
        <f t="shared" si="387"/>
        <v>7.7958138754426753E-2</v>
      </c>
      <c r="M452" s="552">
        <f t="shared" si="387"/>
        <v>8.779975597154277E-2</v>
      </c>
      <c r="N452" s="552">
        <f t="shared" si="387"/>
        <v>0</v>
      </c>
      <c r="O452" s="552">
        <f t="shared" si="387"/>
        <v>0</v>
      </c>
      <c r="P452" s="199">
        <f t="shared" si="393"/>
        <v>0.36271218175690484</v>
      </c>
      <c r="R452" s="552">
        <f t="shared" si="388"/>
        <v>5.6638917654467033E-2</v>
      </c>
      <c r="S452" s="552">
        <f t="shared" si="389"/>
        <v>2.2418728061065058E-2</v>
      </c>
      <c r="T452" s="552">
        <f t="shared" si="390"/>
        <v>2.5241847698874879E-2</v>
      </c>
      <c r="U452" s="552">
        <f t="shared" si="391"/>
        <v>0</v>
      </c>
      <c r="V452" s="552">
        <f t="shared" si="392"/>
        <v>0</v>
      </c>
      <c r="W452" s="199">
        <f t="shared" si="394"/>
        <v>0.10429949341440697</v>
      </c>
    </row>
    <row r="453" spans="1:23">
      <c r="A453" s="777">
        <v>4</v>
      </c>
      <c r="B453" t="str">
        <f t="shared" si="386"/>
        <v>Other Urban</v>
      </c>
      <c r="K453" s="552">
        <f t="shared" si="387"/>
        <v>0.37350691193891167</v>
      </c>
      <c r="L453" s="552">
        <f t="shared" si="387"/>
        <v>1.0530840475796304</v>
      </c>
      <c r="M453" s="552">
        <f t="shared" si="387"/>
        <v>0.21810596272742147</v>
      </c>
      <c r="N453" s="552">
        <f t="shared" si="387"/>
        <v>9.2070662633813596E-2</v>
      </c>
      <c r="O453" s="552">
        <f t="shared" si="387"/>
        <v>0.21970456202308697</v>
      </c>
      <c r="P453" s="199">
        <f t="shared" si="393"/>
        <v>1.9564721469028643</v>
      </c>
      <c r="R453" s="552">
        <f t="shared" si="388"/>
        <v>6.7925169095808466E-2</v>
      </c>
      <c r="S453" s="552">
        <f t="shared" si="389"/>
        <v>0.19629358814973003</v>
      </c>
      <c r="T453" s="552">
        <f t="shared" si="390"/>
        <v>4.5049554151526644E-2</v>
      </c>
      <c r="U453" s="552">
        <f t="shared" si="391"/>
        <v>1.7059810118455632E-2</v>
      </c>
      <c r="V453" s="552">
        <f t="shared" si="392"/>
        <v>3.9858562616233009E-2</v>
      </c>
      <c r="W453" s="199">
        <f t="shared" si="394"/>
        <v>0.36618668413175376</v>
      </c>
    </row>
    <row r="454" spans="1:23">
      <c r="A454" s="777">
        <v>5</v>
      </c>
      <c r="B454" t="str">
        <f t="shared" si="386"/>
        <v>Improved Pasture</v>
      </c>
      <c r="K454" s="552">
        <f t="shared" si="387"/>
        <v>0</v>
      </c>
      <c r="L454" s="552">
        <f t="shared" si="387"/>
        <v>0</v>
      </c>
      <c r="M454" s="552">
        <f t="shared" si="387"/>
        <v>0</v>
      </c>
      <c r="N454" s="552">
        <f t="shared" si="387"/>
        <v>0</v>
      </c>
      <c r="O454" s="552">
        <f t="shared" si="387"/>
        <v>0</v>
      </c>
      <c r="P454" s="199">
        <f t="shared" si="393"/>
        <v>0</v>
      </c>
      <c r="R454" s="552">
        <f t="shared" si="388"/>
        <v>0</v>
      </c>
      <c r="S454" s="552">
        <f t="shared" si="389"/>
        <v>0</v>
      </c>
      <c r="T454" s="552">
        <f t="shared" si="390"/>
        <v>0</v>
      </c>
      <c r="U454" s="552">
        <f t="shared" si="391"/>
        <v>0</v>
      </c>
      <c r="V454" s="552">
        <f t="shared" si="392"/>
        <v>0</v>
      </c>
      <c r="W454" s="199">
        <f t="shared" si="394"/>
        <v>0</v>
      </c>
    </row>
    <row r="455" spans="1:23">
      <c r="A455" s="777">
        <v>6</v>
      </c>
      <c r="B455" t="str">
        <f t="shared" si="386"/>
        <v>Unimproved Pasture</v>
      </c>
      <c r="K455" s="552">
        <f t="shared" si="387"/>
        <v>0</v>
      </c>
      <c r="L455" s="552">
        <f t="shared" si="387"/>
        <v>0</v>
      </c>
      <c r="M455" s="552">
        <f t="shared" si="387"/>
        <v>0</v>
      </c>
      <c r="N455" s="552">
        <f t="shared" si="387"/>
        <v>0</v>
      </c>
      <c r="O455" s="552">
        <f t="shared" si="387"/>
        <v>0</v>
      </c>
      <c r="P455" s="199">
        <f t="shared" si="393"/>
        <v>0</v>
      </c>
      <c r="R455" s="552">
        <f t="shared" si="388"/>
        <v>0</v>
      </c>
      <c r="S455" s="552">
        <f t="shared" si="389"/>
        <v>0</v>
      </c>
      <c r="T455" s="552">
        <f t="shared" si="390"/>
        <v>0</v>
      </c>
      <c r="U455" s="552">
        <f t="shared" si="391"/>
        <v>0</v>
      </c>
      <c r="V455" s="552">
        <f t="shared" si="392"/>
        <v>0</v>
      </c>
      <c r="W455" s="199">
        <f t="shared" si="394"/>
        <v>0</v>
      </c>
    </row>
    <row r="456" spans="1:23">
      <c r="A456" s="777">
        <v>7</v>
      </c>
      <c r="B456" t="str">
        <f t="shared" si="386"/>
        <v>Rangeland, Woodland Pasture</v>
      </c>
      <c r="K456" s="552">
        <f t="shared" si="387"/>
        <v>0</v>
      </c>
      <c r="L456" s="552">
        <f t="shared" si="387"/>
        <v>0</v>
      </c>
      <c r="M456" s="552">
        <f t="shared" si="387"/>
        <v>0</v>
      </c>
      <c r="N456" s="552">
        <f t="shared" si="387"/>
        <v>0</v>
      </c>
      <c r="O456" s="552">
        <f t="shared" si="387"/>
        <v>0</v>
      </c>
      <c r="P456" s="199">
        <f t="shared" si="393"/>
        <v>0</v>
      </c>
      <c r="R456" s="552">
        <f t="shared" si="388"/>
        <v>0</v>
      </c>
      <c r="S456" s="552">
        <f t="shared" si="389"/>
        <v>0</v>
      </c>
      <c r="T456" s="552">
        <f t="shared" si="390"/>
        <v>0</v>
      </c>
      <c r="U456" s="552">
        <f t="shared" si="391"/>
        <v>0</v>
      </c>
      <c r="V456" s="552">
        <f t="shared" si="392"/>
        <v>0</v>
      </c>
      <c r="W456" s="199">
        <f t="shared" si="394"/>
        <v>0</v>
      </c>
    </row>
    <row r="457" spans="1:23">
      <c r="A457" s="777">
        <v>8</v>
      </c>
      <c r="B457" t="str">
        <f t="shared" si="386"/>
        <v>Row Crops</v>
      </c>
      <c r="K457" s="552">
        <f t="shared" si="387"/>
        <v>0</v>
      </c>
      <c r="L457" s="552">
        <f t="shared" si="387"/>
        <v>0</v>
      </c>
      <c r="M457" s="552">
        <f t="shared" si="387"/>
        <v>0</v>
      </c>
      <c r="N457" s="552">
        <f t="shared" si="387"/>
        <v>0</v>
      </c>
      <c r="O457" s="552">
        <f t="shared" si="387"/>
        <v>0</v>
      </c>
      <c r="P457" s="199">
        <f t="shared" si="393"/>
        <v>0</v>
      </c>
      <c r="R457" s="552">
        <f t="shared" si="388"/>
        <v>0</v>
      </c>
      <c r="S457" s="552">
        <f t="shared" si="389"/>
        <v>0</v>
      </c>
      <c r="T457" s="552">
        <f t="shared" si="390"/>
        <v>0</v>
      </c>
      <c r="U457" s="552">
        <f t="shared" si="391"/>
        <v>0</v>
      </c>
      <c r="V457" s="552">
        <f t="shared" si="392"/>
        <v>0</v>
      </c>
      <c r="W457" s="199">
        <f t="shared" si="394"/>
        <v>0</v>
      </c>
    </row>
    <row r="458" spans="1:23">
      <c r="A458" s="777">
        <v>9</v>
      </c>
      <c r="B458" t="str">
        <f t="shared" si="386"/>
        <v>Sugar Cane</v>
      </c>
      <c r="K458" s="552">
        <f t="shared" si="387"/>
        <v>0</v>
      </c>
      <c r="L458" s="552">
        <f t="shared" si="387"/>
        <v>0</v>
      </c>
      <c r="M458" s="552">
        <f t="shared" si="387"/>
        <v>0</v>
      </c>
      <c r="N458" s="552">
        <f t="shared" si="387"/>
        <v>0</v>
      </c>
      <c r="O458" s="552">
        <f t="shared" si="387"/>
        <v>0</v>
      </c>
      <c r="P458" s="199">
        <f t="shared" si="393"/>
        <v>0</v>
      </c>
      <c r="R458" s="552">
        <f t="shared" si="388"/>
        <v>0</v>
      </c>
      <c r="S458" s="552">
        <f t="shared" si="389"/>
        <v>0</v>
      </c>
      <c r="T458" s="552">
        <f t="shared" si="390"/>
        <v>0</v>
      </c>
      <c r="U458" s="552">
        <f t="shared" si="391"/>
        <v>0</v>
      </c>
      <c r="V458" s="552">
        <f t="shared" si="392"/>
        <v>0</v>
      </c>
      <c r="W458" s="199">
        <f t="shared" si="394"/>
        <v>0</v>
      </c>
    </row>
    <row r="459" spans="1:23">
      <c r="A459" s="777">
        <v>10</v>
      </c>
      <c r="B459" t="str">
        <f t="shared" si="386"/>
        <v>Citrus</v>
      </c>
      <c r="K459" s="552">
        <f t="shared" si="387"/>
        <v>0</v>
      </c>
      <c r="L459" s="552">
        <f t="shared" si="387"/>
        <v>0</v>
      </c>
      <c r="M459" s="552">
        <f t="shared" si="387"/>
        <v>0</v>
      </c>
      <c r="N459" s="552">
        <f t="shared" si="387"/>
        <v>0</v>
      </c>
      <c r="O459" s="552">
        <f t="shared" si="387"/>
        <v>0</v>
      </c>
      <c r="P459" s="199">
        <f t="shared" si="393"/>
        <v>0</v>
      </c>
      <c r="R459" s="552">
        <f t="shared" si="388"/>
        <v>0</v>
      </c>
      <c r="S459" s="552">
        <f t="shared" si="389"/>
        <v>0</v>
      </c>
      <c r="T459" s="552">
        <f t="shared" si="390"/>
        <v>0</v>
      </c>
      <c r="U459" s="552">
        <f t="shared" si="391"/>
        <v>0</v>
      </c>
      <c r="V459" s="552">
        <f t="shared" si="392"/>
        <v>0</v>
      </c>
      <c r="W459" s="199">
        <f t="shared" si="394"/>
        <v>0</v>
      </c>
    </row>
    <row r="460" spans="1:23">
      <c r="A460" s="777">
        <v>11</v>
      </c>
      <c r="B460" t="str">
        <f t="shared" si="386"/>
        <v>Sod</v>
      </c>
      <c r="K460" s="552">
        <f t="shared" ref="K460:O469" si="395">K127*VLOOKUP($A460,bott_bmpeff,$L$616,FALSE)*VLOOKUP($A431,bottbmp_long,K$25+7,FALSE)</f>
        <v>0</v>
      </c>
      <c r="L460" s="552">
        <f t="shared" si="395"/>
        <v>0</v>
      </c>
      <c r="M460" s="552">
        <f t="shared" si="395"/>
        <v>0</v>
      </c>
      <c r="N460" s="552">
        <f t="shared" si="395"/>
        <v>0</v>
      </c>
      <c r="O460" s="552">
        <f t="shared" si="395"/>
        <v>0</v>
      </c>
      <c r="P460" s="199">
        <f t="shared" si="393"/>
        <v>0</v>
      </c>
      <c r="R460" s="552">
        <f t="shared" si="388"/>
        <v>0</v>
      </c>
      <c r="S460" s="552">
        <f t="shared" si="389"/>
        <v>0</v>
      </c>
      <c r="T460" s="552">
        <f t="shared" si="390"/>
        <v>0</v>
      </c>
      <c r="U460" s="552">
        <f t="shared" si="391"/>
        <v>0</v>
      </c>
      <c r="V460" s="552">
        <f t="shared" si="392"/>
        <v>0</v>
      </c>
      <c r="W460" s="199">
        <f t="shared" si="394"/>
        <v>0</v>
      </c>
    </row>
    <row r="461" spans="1:23">
      <c r="A461" s="777">
        <v>12</v>
      </c>
      <c r="B461" t="str">
        <f t="shared" si="386"/>
        <v>Ornamentals</v>
      </c>
      <c r="K461" s="552">
        <f t="shared" si="395"/>
        <v>0</v>
      </c>
      <c r="L461" s="552">
        <f t="shared" si="395"/>
        <v>0</v>
      </c>
      <c r="M461" s="552">
        <f t="shared" si="395"/>
        <v>0</v>
      </c>
      <c r="N461" s="552">
        <f t="shared" si="395"/>
        <v>0</v>
      </c>
      <c r="O461" s="552">
        <f t="shared" si="395"/>
        <v>0</v>
      </c>
      <c r="P461" s="199">
        <f t="shared" si="393"/>
        <v>0</v>
      </c>
      <c r="R461" s="552">
        <f t="shared" si="388"/>
        <v>0</v>
      </c>
      <c r="S461" s="552">
        <f t="shared" si="389"/>
        <v>0</v>
      </c>
      <c r="T461" s="552">
        <f t="shared" si="390"/>
        <v>0</v>
      </c>
      <c r="U461" s="552">
        <f t="shared" si="391"/>
        <v>0</v>
      </c>
      <c r="V461" s="552">
        <f t="shared" si="392"/>
        <v>0</v>
      </c>
      <c r="W461" s="199">
        <f t="shared" si="394"/>
        <v>0</v>
      </c>
    </row>
    <row r="462" spans="1:23">
      <c r="A462" s="777">
        <v>13</v>
      </c>
      <c r="B462" t="str">
        <f t="shared" si="386"/>
        <v>Horse Farms</v>
      </c>
      <c r="K462" s="552">
        <f t="shared" si="395"/>
        <v>0</v>
      </c>
      <c r="L462" s="552">
        <f t="shared" si="395"/>
        <v>0</v>
      </c>
      <c r="M462" s="552">
        <f t="shared" si="395"/>
        <v>0</v>
      </c>
      <c r="N462" s="552">
        <f t="shared" si="395"/>
        <v>0</v>
      </c>
      <c r="O462" s="552">
        <f t="shared" si="395"/>
        <v>0</v>
      </c>
      <c r="P462" s="199">
        <f t="shared" si="393"/>
        <v>0</v>
      </c>
      <c r="R462" s="552">
        <f t="shared" si="388"/>
        <v>0</v>
      </c>
      <c r="S462" s="552">
        <f t="shared" si="389"/>
        <v>0</v>
      </c>
      <c r="T462" s="552">
        <f t="shared" si="390"/>
        <v>0</v>
      </c>
      <c r="U462" s="552">
        <f t="shared" si="391"/>
        <v>0</v>
      </c>
      <c r="V462" s="552">
        <f t="shared" si="392"/>
        <v>0</v>
      </c>
      <c r="W462" s="199">
        <f t="shared" si="394"/>
        <v>0</v>
      </c>
    </row>
    <row r="463" spans="1:23">
      <c r="A463" s="777">
        <v>14</v>
      </c>
      <c r="B463" t="str">
        <f t="shared" si="386"/>
        <v>Dairies</v>
      </c>
      <c r="K463" s="552">
        <f t="shared" si="395"/>
        <v>0</v>
      </c>
      <c r="L463" s="552">
        <f t="shared" si="395"/>
        <v>0</v>
      </c>
      <c r="M463" s="552">
        <f t="shared" si="395"/>
        <v>0</v>
      </c>
      <c r="N463" s="552">
        <f t="shared" si="395"/>
        <v>0</v>
      </c>
      <c r="O463" s="552">
        <f t="shared" si="395"/>
        <v>0</v>
      </c>
      <c r="P463" s="199">
        <f t="shared" si="393"/>
        <v>0</v>
      </c>
      <c r="R463" s="552">
        <f t="shared" si="388"/>
        <v>0</v>
      </c>
      <c r="S463" s="552">
        <f t="shared" si="389"/>
        <v>0</v>
      </c>
      <c r="T463" s="552">
        <f t="shared" si="390"/>
        <v>0</v>
      </c>
      <c r="U463" s="552">
        <f t="shared" si="391"/>
        <v>0</v>
      </c>
      <c r="V463" s="552">
        <f t="shared" si="392"/>
        <v>0</v>
      </c>
      <c r="W463" s="199">
        <f t="shared" si="394"/>
        <v>0</v>
      </c>
    </row>
    <row r="464" spans="1:23">
      <c r="A464" s="777">
        <v>15</v>
      </c>
      <c r="B464" t="str">
        <f t="shared" si="386"/>
        <v>Other Agriculture</v>
      </c>
      <c r="K464" s="552">
        <f t="shared" si="395"/>
        <v>0</v>
      </c>
      <c r="L464" s="552">
        <f t="shared" si="395"/>
        <v>0</v>
      </c>
      <c r="M464" s="552">
        <f t="shared" si="395"/>
        <v>0</v>
      </c>
      <c r="N464" s="552">
        <f t="shared" si="395"/>
        <v>0</v>
      </c>
      <c r="O464" s="552">
        <f t="shared" si="395"/>
        <v>0</v>
      </c>
      <c r="P464" s="199">
        <f t="shared" si="393"/>
        <v>0</v>
      </c>
      <c r="R464" s="552">
        <f t="shared" si="388"/>
        <v>0</v>
      </c>
      <c r="S464" s="552">
        <f t="shared" si="389"/>
        <v>0</v>
      </c>
      <c r="T464" s="552">
        <f t="shared" si="390"/>
        <v>0</v>
      </c>
      <c r="U464" s="552">
        <f t="shared" si="391"/>
        <v>0</v>
      </c>
      <c r="V464" s="552">
        <f t="shared" si="392"/>
        <v>0</v>
      </c>
      <c r="W464" s="199">
        <f t="shared" si="394"/>
        <v>0</v>
      </c>
    </row>
    <row r="465" spans="1:23">
      <c r="A465" s="777">
        <v>16</v>
      </c>
      <c r="B465" t="str">
        <f t="shared" si="386"/>
        <v>Tree Plantations</v>
      </c>
      <c r="K465" s="552">
        <f t="shared" si="395"/>
        <v>0</v>
      </c>
      <c r="L465" s="552">
        <f t="shared" si="395"/>
        <v>0</v>
      </c>
      <c r="M465" s="552">
        <f t="shared" si="395"/>
        <v>0</v>
      </c>
      <c r="N465" s="552">
        <f t="shared" si="395"/>
        <v>0</v>
      </c>
      <c r="O465" s="552">
        <f t="shared" si="395"/>
        <v>0</v>
      </c>
      <c r="P465" s="199">
        <f t="shared" si="393"/>
        <v>0</v>
      </c>
      <c r="R465" s="552">
        <f t="shared" si="388"/>
        <v>0</v>
      </c>
      <c r="S465" s="552">
        <f t="shared" si="389"/>
        <v>0</v>
      </c>
      <c r="T465" s="552">
        <f t="shared" si="390"/>
        <v>0</v>
      </c>
      <c r="U465" s="552">
        <f t="shared" si="391"/>
        <v>0</v>
      </c>
      <c r="V465" s="552">
        <f t="shared" si="392"/>
        <v>0</v>
      </c>
      <c r="W465" s="199">
        <f t="shared" si="394"/>
        <v>0</v>
      </c>
    </row>
    <row r="466" spans="1:23">
      <c r="A466" s="777">
        <v>17</v>
      </c>
      <c r="B466" t="str">
        <f t="shared" si="386"/>
        <v>Water</v>
      </c>
      <c r="K466" s="552">
        <f t="shared" si="395"/>
        <v>0</v>
      </c>
      <c r="L466" s="552">
        <f t="shared" si="395"/>
        <v>0</v>
      </c>
      <c r="M466" s="552">
        <f t="shared" si="395"/>
        <v>0</v>
      </c>
      <c r="N466" s="552">
        <f t="shared" si="395"/>
        <v>0</v>
      </c>
      <c r="O466" s="552">
        <f t="shared" si="395"/>
        <v>0</v>
      </c>
      <c r="P466" s="199">
        <f t="shared" si="393"/>
        <v>0</v>
      </c>
      <c r="R466" s="552">
        <f t="shared" si="388"/>
        <v>0</v>
      </c>
      <c r="S466" s="552">
        <f t="shared" si="389"/>
        <v>0</v>
      </c>
      <c r="T466" s="552">
        <f t="shared" si="390"/>
        <v>0</v>
      </c>
      <c r="U466" s="552">
        <f t="shared" si="391"/>
        <v>0</v>
      </c>
      <c r="V466" s="552">
        <f t="shared" si="392"/>
        <v>0</v>
      </c>
      <c r="W466" s="199">
        <f t="shared" si="394"/>
        <v>0</v>
      </c>
    </row>
    <row r="467" spans="1:23">
      <c r="A467" s="777">
        <v>18</v>
      </c>
      <c r="B467" t="str">
        <f t="shared" si="386"/>
        <v>Natural Areas</v>
      </c>
      <c r="K467" s="552">
        <f t="shared" si="395"/>
        <v>0</v>
      </c>
      <c r="L467" s="552">
        <f t="shared" si="395"/>
        <v>0</v>
      </c>
      <c r="M467" s="552">
        <f t="shared" si="395"/>
        <v>0</v>
      </c>
      <c r="N467" s="552">
        <f t="shared" si="395"/>
        <v>0</v>
      </c>
      <c r="O467" s="552">
        <f t="shared" si="395"/>
        <v>0</v>
      </c>
      <c r="P467" s="199">
        <f t="shared" si="393"/>
        <v>0</v>
      </c>
      <c r="R467" s="552">
        <f t="shared" si="388"/>
        <v>0</v>
      </c>
      <c r="S467" s="552">
        <f t="shared" si="389"/>
        <v>0</v>
      </c>
      <c r="T467" s="552">
        <f t="shared" si="390"/>
        <v>0</v>
      </c>
      <c r="U467" s="552">
        <f t="shared" si="391"/>
        <v>0</v>
      </c>
      <c r="V467" s="552">
        <f t="shared" si="392"/>
        <v>0</v>
      </c>
      <c r="W467" s="199">
        <f t="shared" si="394"/>
        <v>0</v>
      </c>
    </row>
    <row r="468" spans="1:23">
      <c r="A468" s="777">
        <v>19</v>
      </c>
      <c r="B468" t="str">
        <f t="shared" si="386"/>
        <v>Transportation</v>
      </c>
      <c r="K468" s="552">
        <f t="shared" si="395"/>
        <v>0.13421137345103029</v>
      </c>
      <c r="L468" s="552">
        <f t="shared" si="395"/>
        <v>0.71973512460781186</v>
      </c>
      <c r="M468" s="552">
        <f t="shared" si="395"/>
        <v>0.17005698496241076</v>
      </c>
      <c r="N468" s="552">
        <f t="shared" si="395"/>
        <v>0.15546490352583389</v>
      </c>
      <c r="O468" s="552">
        <f t="shared" si="395"/>
        <v>8.9607142473079895E-2</v>
      </c>
      <c r="P468" s="199">
        <f t="shared" si="393"/>
        <v>1.269075529020167</v>
      </c>
      <c r="R468" s="552">
        <f t="shared" si="388"/>
        <v>2.7688213566965734E-2</v>
      </c>
      <c r="S468" s="552">
        <f t="shared" si="389"/>
        <v>0.14848354002620343</v>
      </c>
      <c r="T468" s="552">
        <f t="shared" si="390"/>
        <v>3.507344426325508E-2</v>
      </c>
      <c r="U468" s="552">
        <f t="shared" si="391"/>
        <v>3.2072881308837897E-2</v>
      </c>
      <c r="V468" s="552">
        <f t="shared" si="392"/>
        <v>1.3877299598418862E-2</v>
      </c>
      <c r="W468" s="199">
        <f t="shared" si="394"/>
        <v>0.25719537876368104</v>
      </c>
    </row>
    <row r="469" spans="1:23">
      <c r="A469" s="777">
        <v>20</v>
      </c>
      <c r="B469" t="str">
        <f t="shared" si="386"/>
        <v>Communication, Utilities</v>
      </c>
      <c r="K469" s="552">
        <f t="shared" si="395"/>
        <v>1.9340421299586488E-2</v>
      </c>
      <c r="L469" s="552">
        <f t="shared" si="395"/>
        <v>3.1233580449747653E-2</v>
      </c>
      <c r="M469" s="552">
        <f t="shared" si="395"/>
        <v>7.3099881241009742E-3</v>
      </c>
      <c r="N469" s="552">
        <f t="shared" si="395"/>
        <v>1.3172465055061268E-2</v>
      </c>
      <c r="O469" s="552">
        <f t="shared" si="395"/>
        <v>5.1606726487689516E-3</v>
      </c>
      <c r="P469" s="199">
        <f t="shared" si="393"/>
        <v>7.6217127577265328E-2</v>
      </c>
      <c r="R469" s="552">
        <f t="shared" si="388"/>
        <v>1.779776285599386E-3</v>
      </c>
      <c r="S469" s="552">
        <f t="shared" si="389"/>
        <v>2.8742282775406761E-3</v>
      </c>
      <c r="T469" s="552">
        <f t="shared" si="390"/>
        <v>6.7250339773225183E-4</v>
      </c>
      <c r="U469" s="552">
        <f t="shared" si="391"/>
        <v>1.2121783990499684E-3</v>
      </c>
      <c r="V469" s="552">
        <f t="shared" si="392"/>
        <v>3.5650244954332593E-4</v>
      </c>
      <c r="W469" s="199">
        <f t="shared" si="394"/>
        <v>6.8951888094656091E-3</v>
      </c>
    </row>
    <row r="470" spans="1:23">
      <c r="A470" s="585" t="s">
        <v>701</v>
      </c>
      <c r="B470" s="38" t="s">
        <v>1153</v>
      </c>
      <c r="K470" s="208">
        <f>SUM(K450:K453,K468:K469)</f>
        <v>7.3639769427931379</v>
      </c>
      <c r="L470" s="208">
        <f t="shared" ref="L470:O470" si="396">SUM(L450:L453,L468:L469)</f>
        <v>7.6999186791212413</v>
      </c>
      <c r="M470" s="208">
        <f t="shared" si="396"/>
        <v>3.4880996016685168</v>
      </c>
      <c r="N470" s="208">
        <f t="shared" si="396"/>
        <v>0.50886670041081183</v>
      </c>
      <c r="O470" s="208">
        <f t="shared" si="396"/>
        <v>0.54292106659778816</v>
      </c>
      <c r="P470" s="208">
        <f t="shared" ref="P470:P471" si="397">SUM(K470:O470)</f>
        <v>19.603782990591498</v>
      </c>
      <c r="R470" s="208">
        <f>SUM(R450:R453,R468:R469)</f>
        <v>0.92739823470111626</v>
      </c>
      <c r="S470" s="208">
        <f t="shared" ref="S470:V470" si="398">SUM(S450:S453,S468:S469)</f>
        <v>1.5412250949211947</v>
      </c>
      <c r="T470" s="208">
        <f t="shared" si="398"/>
        <v>0.48790006620184517</v>
      </c>
      <c r="U470" s="208">
        <f t="shared" si="398"/>
        <v>7.9697073684064812E-2</v>
      </c>
      <c r="V470" s="208">
        <f t="shared" si="398"/>
        <v>8.7393875468300242E-2</v>
      </c>
      <c r="W470" s="208">
        <f t="shared" ref="W470:W471" si="399">SUM(R470:V470)</f>
        <v>3.123614344976521</v>
      </c>
    </row>
    <row r="471" spans="1:23">
      <c r="A471" s="585" t="s">
        <v>702</v>
      </c>
      <c r="B471" s="38" t="s">
        <v>1154</v>
      </c>
      <c r="K471" s="208">
        <f>SUM(K454:K465)</f>
        <v>0</v>
      </c>
      <c r="L471" s="208">
        <f t="shared" ref="L471:O471" si="400">SUM(L454:L465)</f>
        <v>0</v>
      </c>
      <c r="M471" s="208">
        <f t="shared" si="400"/>
        <v>0</v>
      </c>
      <c r="N471" s="208">
        <f t="shared" si="400"/>
        <v>0</v>
      </c>
      <c r="O471" s="208">
        <f t="shared" si="400"/>
        <v>0</v>
      </c>
      <c r="P471" s="208">
        <f t="shared" si="397"/>
        <v>0</v>
      </c>
      <c r="R471" s="208">
        <f>SUM(R454:R465)</f>
        <v>0</v>
      </c>
      <c r="S471" s="208">
        <f t="shared" ref="S471:V471" si="401">SUM(S454:S465)</f>
        <v>0</v>
      </c>
      <c r="T471" s="208">
        <f t="shared" si="401"/>
        <v>0</v>
      </c>
      <c r="U471" s="208">
        <f t="shared" si="401"/>
        <v>0</v>
      </c>
      <c r="V471" s="208">
        <f t="shared" si="401"/>
        <v>0</v>
      </c>
      <c r="W471" s="208">
        <f t="shared" si="399"/>
        <v>0</v>
      </c>
    </row>
    <row r="472" spans="1:23">
      <c r="B472" s="209" t="s">
        <v>1155</v>
      </c>
      <c r="D472" s="206">
        <f>D$443</f>
        <v>222351.6538822767</v>
      </c>
      <c r="E472" s="206">
        <f t="shared" ref="E472:H472" si="402">E$443</f>
        <v>435972.92238569196</v>
      </c>
      <c r="F472" s="206">
        <f t="shared" si="402"/>
        <v>592268.25223140384</v>
      </c>
      <c r="G472" s="206">
        <f t="shared" si="402"/>
        <v>298888.44256774255</v>
      </c>
      <c r="H472" s="206">
        <f t="shared" si="402"/>
        <v>61586.099834710752</v>
      </c>
      <c r="I472" s="545">
        <f>SUM(D472:H472)</f>
        <v>1611067.3709018258</v>
      </c>
      <c r="K472" s="547">
        <f>SUM(K450:K469)</f>
        <v>7.3639769427931379</v>
      </c>
      <c r="L472" s="547">
        <f t="shared" ref="L472:O472" si="403">SUM(L450:L469)</f>
        <v>7.6999186791212413</v>
      </c>
      <c r="M472" s="547">
        <f t="shared" si="403"/>
        <v>3.4880996016685168</v>
      </c>
      <c r="N472" s="547">
        <f t="shared" si="403"/>
        <v>0.50886670041081183</v>
      </c>
      <c r="O472" s="547">
        <f t="shared" si="403"/>
        <v>0.54292106659778816</v>
      </c>
      <c r="P472" s="547">
        <f t="shared" si="393"/>
        <v>19.603782990591498</v>
      </c>
      <c r="R472" s="547">
        <f>SUM(R450:R469)</f>
        <v>0.92739823470111626</v>
      </c>
      <c r="S472" s="547">
        <f t="shared" ref="S472:V472" si="404">SUM(S450:S469)</f>
        <v>1.5412250949211947</v>
      </c>
      <c r="T472" s="547">
        <f t="shared" si="404"/>
        <v>0.48790006620184517</v>
      </c>
      <c r="U472" s="547">
        <f t="shared" si="404"/>
        <v>7.9697073684064812E-2</v>
      </c>
      <c r="V472" s="547">
        <f t="shared" si="404"/>
        <v>8.7393875468300242E-2</v>
      </c>
      <c r="W472" s="547">
        <f t="shared" si="394"/>
        <v>3.123614344976521</v>
      </c>
    </row>
    <row r="475" spans="1:23">
      <c r="A475" s="353" t="s">
        <v>1118</v>
      </c>
      <c r="B475" s="229"/>
      <c r="C475" s="230"/>
      <c r="D475" s="231"/>
      <c r="E475" s="231"/>
      <c r="F475" s="231"/>
      <c r="G475" s="231"/>
      <c r="H475" s="231"/>
      <c r="I475" s="231"/>
      <c r="J475" s="230"/>
      <c r="K475" s="232"/>
      <c r="L475" s="232"/>
      <c r="M475" s="232"/>
      <c r="N475" s="232"/>
      <c r="O475" s="232"/>
      <c r="P475" s="232"/>
      <c r="Q475" s="230"/>
      <c r="R475" s="230"/>
      <c r="S475" s="354"/>
      <c r="T475" s="354"/>
      <c r="U475" s="354"/>
      <c r="V475" s="354"/>
      <c r="W475" s="594" t="s">
        <v>753</v>
      </c>
    </row>
    <row r="477" spans="1:23">
      <c r="D477" s="1440" t="s">
        <v>488</v>
      </c>
      <c r="E477" s="1440"/>
      <c r="F477" s="1440"/>
      <c r="G477" s="1440"/>
      <c r="H477" s="1440"/>
      <c r="I477" s="1440"/>
      <c r="K477" s="1441" t="s">
        <v>1119</v>
      </c>
      <c r="L477" s="1441"/>
      <c r="M477" s="1441"/>
      <c r="N477" s="1441"/>
      <c r="O477" s="1441"/>
      <c r="P477" s="1441"/>
      <c r="R477" s="1442" t="s">
        <v>1120</v>
      </c>
      <c r="S477" s="1442"/>
      <c r="T477" s="1442"/>
      <c r="U477" s="1442"/>
      <c r="V477" s="1442"/>
      <c r="W477" s="1442"/>
    </row>
    <row r="478" spans="1:23">
      <c r="D478" s="363" t="str">
        <f t="shared" ref="D478:I478" si="405">VLOOKUP(D$24,subwatgeog,2,FALSE)</f>
        <v>Coastal</v>
      </c>
      <c r="E478" s="363" t="str">
        <f t="shared" si="405"/>
        <v>Tidal Cal.</v>
      </c>
      <c r="F478" s="363" t="str">
        <f t="shared" si="405"/>
        <v>West Cal.</v>
      </c>
      <c r="G478" s="363" t="str">
        <f t="shared" si="405"/>
        <v>East Cal.</v>
      </c>
      <c r="H478" s="363" t="str">
        <f t="shared" si="405"/>
        <v>S-4</v>
      </c>
      <c r="I478" s="364" t="str">
        <f t="shared" si="405"/>
        <v>Total CRWPP</v>
      </c>
      <c r="K478" s="351" t="str">
        <f t="shared" ref="K478:W478" si="406">VLOOKUP(K$24,subwatgeog,2,FALSE)</f>
        <v>Coastal</v>
      </c>
      <c r="L478" s="351" t="str">
        <f t="shared" si="406"/>
        <v>Tidal Cal.</v>
      </c>
      <c r="M478" s="351" t="str">
        <f t="shared" si="406"/>
        <v>West Cal.</v>
      </c>
      <c r="N478" s="351" t="str">
        <f t="shared" si="406"/>
        <v>East Cal.</v>
      </c>
      <c r="O478" s="351" t="str">
        <f t="shared" si="406"/>
        <v>S-4</v>
      </c>
      <c r="P478" s="355" t="str">
        <f t="shared" si="406"/>
        <v>Total CRWPP</v>
      </c>
      <c r="R478" s="352" t="str">
        <f t="shared" si="406"/>
        <v>Coastal</v>
      </c>
      <c r="S478" s="352" t="str">
        <f t="shared" si="406"/>
        <v>Tidal Cal.</v>
      </c>
      <c r="T478" s="352" t="str">
        <f t="shared" si="406"/>
        <v>West Cal.</v>
      </c>
      <c r="U478" s="352" t="str">
        <f t="shared" si="406"/>
        <v>East Cal.</v>
      </c>
      <c r="V478" s="352" t="str">
        <f t="shared" si="406"/>
        <v>S-4</v>
      </c>
      <c r="W478" s="356" t="str">
        <f t="shared" si="406"/>
        <v>Total CRWPP</v>
      </c>
    </row>
    <row r="479" spans="1:23">
      <c r="B479" t="s">
        <v>720</v>
      </c>
      <c r="D479" s="241">
        <f>D$409</f>
        <v>222351.6538822767</v>
      </c>
      <c r="E479" s="241">
        <f t="shared" ref="E479:H479" si="407">E$409</f>
        <v>435972.92238569196</v>
      </c>
      <c r="F479" s="241">
        <f t="shared" si="407"/>
        <v>592268.25223140384</v>
      </c>
      <c r="G479" s="241">
        <f t="shared" si="407"/>
        <v>298888.44256774255</v>
      </c>
      <c r="H479" s="241">
        <f t="shared" si="407"/>
        <v>61586.099834710752</v>
      </c>
      <c r="I479" s="592">
        <f t="shared" ref="I479" si="408">SUM(D479:H479)</f>
        <v>1611067.3709018258</v>
      </c>
      <c r="J479" s="210"/>
      <c r="K479" s="210">
        <f>K$409</f>
        <v>271.74206210926337</v>
      </c>
      <c r="L479" s="210">
        <f t="shared" ref="L479:O479" si="409">L$409</f>
        <v>588.58968330562345</v>
      </c>
      <c r="M479" s="210">
        <f t="shared" si="409"/>
        <v>794.06012217489649</v>
      </c>
      <c r="N479" s="210">
        <f t="shared" si="409"/>
        <v>364.54224039475059</v>
      </c>
      <c r="O479" s="210">
        <f t="shared" si="409"/>
        <v>116.45279390912391</v>
      </c>
      <c r="P479" s="210">
        <f t="shared" ref="P479:P482" si="410">SUM(K479:O479)</f>
        <v>2135.386901893658</v>
      </c>
      <c r="Q479" s="210"/>
      <c r="R479" s="210">
        <f>R$409</f>
        <v>28.319589459756752</v>
      </c>
      <c r="S479" s="210">
        <f t="shared" ref="S479:V479" si="411">S$409</f>
        <v>86.206900525325949</v>
      </c>
      <c r="T479" s="210">
        <f t="shared" si="411"/>
        <v>84.753457838967307</v>
      </c>
      <c r="U479" s="210">
        <f t="shared" si="411"/>
        <v>29.493877228814036</v>
      </c>
      <c r="V479" s="210">
        <f t="shared" si="411"/>
        <v>7.6158275993004159</v>
      </c>
      <c r="W479" s="210">
        <f t="shared" ref="W479:W482" si="412">SUM(R479:V479)</f>
        <v>236.38965265216444</v>
      </c>
    </row>
    <row r="480" spans="1:23">
      <c r="B480" s="596" t="s">
        <v>1245</v>
      </c>
      <c r="D480" s="241"/>
      <c r="E480" s="241"/>
      <c r="F480" s="241"/>
      <c r="G480" s="241"/>
      <c r="H480" s="241"/>
      <c r="I480" s="592"/>
      <c r="J480" s="210"/>
      <c r="K480" s="556">
        <f t="shared" ref="K480:P480" si="413">K$410</f>
        <v>0.99079485676457946</v>
      </c>
      <c r="L480" s="556">
        <f t="shared" si="413"/>
        <v>1.0945116026319424</v>
      </c>
      <c r="M480" s="556">
        <f t="shared" si="413"/>
        <v>1.0869314964701138</v>
      </c>
      <c r="N480" s="556">
        <f t="shared" si="413"/>
        <v>0.98879435231014279</v>
      </c>
      <c r="O480" s="556">
        <f t="shared" si="413"/>
        <v>1.532972809273655</v>
      </c>
      <c r="P480" s="556">
        <f t="shared" si="413"/>
        <v>1.0745586227361117</v>
      </c>
      <c r="Q480" s="556"/>
      <c r="R480" s="556">
        <f t="shared" ref="R480:W480" si="414">R$410</f>
        <v>0.10325565120326982</v>
      </c>
      <c r="S480" s="556">
        <f t="shared" si="414"/>
        <v>0.16030599164089268</v>
      </c>
      <c r="T480" s="556">
        <f t="shared" si="414"/>
        <v>0.11601288137680232</v>
      </c>
      <c r="U480" s="556">
        <f t="shared" si="414"/>
        <v>0.08</v>
      </c>
      <c r="V480" s="556">
        <f t="shared" si="414"/>
        <v>0.10025398479450896</v>
      </c>
      <c r="W480" s="556">
        <f t="shared" si="414"/>
        <v>0.11895480831024949</v>
      </c>
    </row>
    <row r="481" spans="2:23">
      <c r="B481" t="s">
        <v>1231</v>
      </c>
      <c r="D481" s="211"/>
      <c r="E481" s="211"/>
      <c r="F481" s="211"/>
      <c r="G481" s="211"/>
      <c r="H481" s="211"/>
      <c r="I481" s="211"/>
      <c r="J481" s="210"/>
      <c r="K481" s="210">
        <f>K$443+K$472</f>
        <v>20.994222744939343</v>
      </c>
      <c r="L481" s="210">
        <f t="shared" ref="L481:O481" si="415">L$443+L$472</f>
        <v>52.568122254974767</v>
      </c>
      <c r="M481" s="210">
        <f t="shared" si="415"/>
        <v>28.34582939271786</v>
      </c>
      <c r="N481" s="210">
        <f t="shared" si="415"/>
        <v>12.654650228957591</v>
      </c>
      <c r="O481" s="210">
        <f t="shared" si="415"/>
        <v>4.506762162585785</v>
      </c>
      <c r="P481" s="210">
        <f t="shared" si="410"/>
        <v>119.06958678417534</v>
      </c>
      <c r="Q481" s="210"/>
      <c r="R481" s="210">
        <f>R$443+R$472</f>
        <v>3.0304204569701634</v>
      </c>
      <c r="S481" s="210">
        <f t="shared" ref="S481:V481" si="416">S$443+S$472</f>
        <v>9.5895363625991603</v>
      </c>
      <c r="T481" s="210">
        <f t="shared" si="416"/>
        <v>3.9425403350335313</v>
      </c>
      <c r="U481" s="210">
        <f t="shared" si="416"/>
        <v>1.4799062423268823</v>
      </c>
      <c r="V481" s="210">
        <f t="shared" si="416"/>
        <v>0.41023526514564729</v>
      </c>
      <c r="W481" s="210">
        <f t="shared" si="412"/>
        <v>18.452638662075387</v>
      </c>
    </row>
    <row r="482" spans="2:23">
      <c r="B482" s="107" t="s">
        <v>674</v>
      </c>
      <c r="C482" s="107"/>
      <c r="D482" s="241">
        <f>D$472</f>
        <v>222351.6538822767</v>
      </c>
      <c r="E482" s="241">
        <f t="shared" ref="E482:H482" si="417">E$472</f>
        <v>435972.92238569196</v>
      </c>
      <c r="F482" s="241">
        <f t="shared" si="417"/>
        <v>592268.25223140384</v>
      </c>
      <c r="G482" s="241">
        <f t="shared" si="417"/>
        <v>298888.44256774255</v>
      </c>
      <c r="H482" s="241">
        <f t="shared" si="417"/>
        <v>61586.099834710752</v>
      </c>
      <c r="I482" s="592">
        <f t="shared" ref="I482" si="418">SUM(D482:H482)</f>
        <v>1611067.3709018258</v>
      </c>
      <c r="J482" s="242"/>
      <c r="K482" s="242">
        <f>K479-K481</f>
        <v>250.74783936432402</v>
      </c>
      <c r="L482" s="242">
        <f>L479-L481</f>
        <v>536.02156105064864</v>
      </c>
      <c r="M482" s="242">
        <f>M479-M481</f>
        <v>765.71429278217863</v>
      </c>
      <c r="N482" s="242">
        <f>N479-N481</f>
        <v>351.88759016579303</v>
      </c>
      <c r="O482" s="242">
        <f>O479-O481</f>
        <v>111.94603174653813</v>
      </c>
      <c r="P482" s="210">
        <f t="shared" si="410"/>
        <v>2016.3173151094825</v>
      </c>
      <c r="Q482" s="242"/>
      <c r="R482" s="242">
        <f>R479-R481</f>
        <v>25.28916900278659</v>
      </c>
      <c r="S482" s="242">
        <f>S479-S481</f>
        <v>76.617364162726787</v>
      </c>
      <c r="T482" s="242">
        <f>T479-T481</f>
        <v>80.81091750393378</v>
      </c>
      <c r="U482" s="242">
        <f>U479-U481</f>
        <v>28.013970986487152</v>
      </c>
      <c r="V482" s="242">
        <f>V479-V481</f>
        <v>7.205592334154769</v>
      </c>
      <c r="W482" s="242">
        <f t="shared" si="412"/>
        <v>217.93701399008907</v>
      </c>
    </row>
    <row r="483" spans="2:23">
      <c r="B483" s="543" t="s">
        <v>675</v>
      </c>
      <c r="C483" s="107"/>
      <c r="D483" s="241"/>
      <c r="E483" s="241"/>
      <c r="F483" s="241"/>
      <c r="G483" s="241"/>
      <c r="H483" s="241"/>
      <c r="I483" s="241"/>
      <c r="J483" s="242"/>
      <c r="K483" s="556">
        <f>K482/D482*mtonacft_mgl</f>
        <v>0.91424812065755701</v>
      </c>
      <c r="L483" s="556">
        <f t="shared" ref="L483:P483" si="419">L482/E482*mtonacft_mgl</f>
        <v>0.99675858152306107</v>
      </c>
      <c r="M483" s="556">
        <f t="shared" si="419"/>
        <v>1.0481309398118519</v>
      </c>
      <c r="N483" s="556">
        <f t="shared" si="419"/>
        <v>0.95446953260391687</v>
      </c>
      <c r="O483" s="556">
        <f t="shared" si="419"/>
        <v>1.4736462476584935</v>
      </c>
      <c r="P483" s="556">
        <f t="shared" si="419"/>
        <v>1.0146410260368444</v>
      </c>
      <c r="Q483" s="556"/>
      <c r="R483" s="556">
        <f t="shared" ref="R483:W483" si="420">R482/D482*mtonacft_mgl</f>
        <v>9.2206478398387914E-2</v>
      </c>
      <c r="S483" s="556">
        <f t="shared" si="420"/>
        <v>0.14247377488544583</v>
      </c>
      <c r="T483" s="556">
        <f t="shared" si="420"/>
        <v>0.11061622292918427</v>
      </c>
      <c r="U483" s="556">
        <f t="shared" si="420"/>
        <v>7.5985861795393683E-2</v>
      </c>
      <c r="V483" s="556">
        <f t="shared" si="420"/>
        <v>9.4853689226124374E-2</v>
      </c>
      <c r="W483" s="556">
        <f t="shared" si="420"/>
        <v>0.10966916458499154</v>
      </c>
    </row>
    <row r="484" spans="2:23">
      <c r="B484" s="107" t="s">
        <v>766</v>
      </c>
      <c r="C484" s="107"/>
      <c r="D484" s="241"/>
      <c r="E484" s="241"/>
      <c r="F484" s="241"/>
      <c r="G484" s="241"/>
      <c r="H484" s="241"/>
      <c r="I484" s="241"/>
      <c r="J484" s="242"/>
      <c r="K484" s="561">
        <f t="shared" ref="K484:P484" si="421">K479-K485</f>
        <v>20.994222744939378</v>
      </c>
      <c r="L484" s="561">
        <f t="shared" si="421"/>
        <v>52.56812225497481</v>
      </c>
      <c r="M484" s="561">
        <f t="shared" si="421"/>
        <v>28.34582939271786</v>
      </c>
      <c r="N484" s="561">
        <f t="shared" si="421"/>
        <v>12.654650228957564</v>
      </c>
      <c r="O484" s="561">
        <f t="shared" si="421"/>
        <v>4.5067621625857868</v>
      </c>
      <c r="P484" s="561">
        <f t="shared" si="421"/>
        <v>119.0695867841755</v>
      </c>
      <c r="Q484" s="242"/>
      <c r="R484" s="561">
        <f t="shared" ref="R484:W484" si="422">R479-R485</f>
        <v>3.030420456970166</v>
      </c>
      <c r="S484" s="561">
        <f t="shared" si="422"/>
        <v>9.5895363625991621</v>
      </c>
      <c r="T484" s="561">
        <f t="shared" si="422"/>
        <v>3.9425403350335273</v>
      </c>
      <c r="U484" s="561">
        <f t="shared" si="422"/>
        <v>0</v>
      </c>
      <c r="V484" s="561">
        <f t="shared" si="422"/>
        <v>0.4102352651456469</v>
      </c>
      <c r="W484" s="561">
        <f t="shared" si="422"/>
        <v>16.972732419748496</v>
      </c>
    </row>
    <row r="485" spans="2:23">
      <c r="B485" s="107" t="s">
        <v>676</v>
      </c>
      <c r="C485" s="107"/>
      <c r="D485" s="241">
        <f>D482</f>
        <v>222351.6538822767</v>
      </c>
      <c r="E485" s="241">
        <f t="shared" ref="E485:H485" si="423">E482</f>
        <v>435972.92238569196</v>
      </c>
      <c r="F485" s="241">
        <f t="shared" si="423"/>
        <v>592268.25223140384</v>
      </c>
      <c r="G485" s="241">
        <f t="shared" si="423"/>
        <v>298888.44256774255</v>
      </c>
      <c r="H485" s="241">
        <f t="shared" si="423"/>
        <v>61586.099834710752</v>
      </c>
      <c r="I485" s="592">
        <f t="shared" ref="I485" si="424">SUM(D485:H485)</f>
        <v>1611067.3709018258</v>
      </c>
      <c r="J485" s="242"/>
      <c r="K485" s="561">
        <f>D485*K486/mtonacft_mgl</f>
        <v>250.74783936432399</v>
      </c>
      <c r="L485" s="561">
        <f>E485*L486/mtonacft_mgl</f>
        <v>536.02156105064864</v>
      </c>
      <c r="M485" s="561">
        <f>F485*M486/mtonacft_mgl</f>
        <v>765.71429278217863</v>
      </c>
      <c r="N485" s="561">
        <f>G485*N486/mtonacft_mgl</f>
        <v>351.88759016579303</v>
      </c>
      <c r="O485" s="561">
        <f>H485*O486/mtonacft_mgl</f>
        <v>111.94603174653813</v>
      </c>
      <c r="P485" s="561">
        <f t="shared" ref="P485" si="425">SUM(K485:O485)</f>
        <v>2016.3173151094825</v>
      </c>
      <c r="Q485" s="242"/>
      <c r="R485" s="561">
        <f>D485*R486/mtonacft_mgl</f>
        <v>25.289169002786586</v>
      </c>
      <c r="S485" s="561">
        <f>E485*S486/mtonacft_mgl</f>
        <v>76.617364162726787</v>
      </c>
      <c r="T485" s="561">
        <f>F485*T486/mtonacft_mgl</f>
        <v>80.81091750393378</v>
      </c>
      <c r="U485" s="561">
        <f>G485*U486/mtonacft_mgl</f>
        <v>29.493877228814036</v>
      </c>
      <c r="V485" s="561">
        <f>H485*V486/mtonacft_mgl</f>
        <v>7.205592334154769</v>
      </c>
      <c r="W485" s="561">
        <f t="shared" ref="W485" si="426">SUM(R485:V485)</f>
        <v>219.41692023241595</v>
      </c>
    </row>
    <row r="486" spans="2:23">
      <c r="B486" s="543" t="s">
        <v>677</v>
      </c>
      <c r="C486" s="107"/>
      <c r="D486" s="241"/>
      <c r="E486" s="241"/>
      <c r="F486" s="241"/>
      <c r="G486" s="241"/>
      <c r="H486" s="241"/>
      <c r="I486" s="241"/>
      <c r="J486" s="242"/>
      <c r="K486" s="556">
        <f>MAX(K483,MIN(TNBase,K480))</f>
        <v>0.91424812065755701</v>
      </c>
      <c r="L486" s="556">
        <f>MAX(L483,MIN(TNBase,L480))</f>
        <v>0.99675858152306107</v>
      </c>
      <c r="M486" s="556">
        <f>MAX(M483,MIN(TNBase,M480))</f>
        <v>1.0481309398118519</v>
      </c>
      <c r="N486" s="556">
        <f>MAX(N483,MIN(TNBase,N480))</f>
        <v>0.95446953260391687</v>
      </c>
      <c r="O486" s="556">
        <f>MAX(O483,MIN(TNBase,O480))</f>
        <v>1.4736462476584935</v>
      </c>
      <c r="P486" s="556">
        <f>P485/I485*mtonacft_mgl</f>
        <v>1.0146410260368444</v>
      </c>
      <c r="Q486" s="556"/>
      <c r="R486" s="556">
        <f>MAX(R483,MIN(TPBase,R480))</f>
        <v>9.2206478398387914E-2</v>
      </c>
      <c r="S486" s="556">
        <f>MAX(S483,MIN(TPBase,S480))</f>
        <v>0.14247377488544583</v>
      </c>
      <c r="T486" s="556">
        <f>MAX(T483,MIN(TPBase,T480))</f>
        <v>0.11061622292918427</v>
      </c>
      <c r="U486" s="556">
        <f>MAX(U483,MIN(TPBase,U480))</f>
        <v>0.08</v>
      </c>
      <c r="V486" s="556">
        <f>MAX(V483,MIN(TPBase,V480))</f>
        <v>9.4853689226124374E-2</v>
      </c>
      <c r="W486" s="556">
        <f>W485/I485*mtonacft_mgl</f>
        <v>0.11041387553742978</v>
      </c>
    </row>
    <row r="487" spans="2:23">
      <c r="B487" s="249"/>
      <c r="D487" s="211"/>
      <c r="E487" s="211"/>
      <c r="F487" s="211"/>
      <c r="G487" s="211"/>
      <c r="H487" s="211"/>
      <c r="I487" s="211"/>
      <c r="J487" s="210"/>
      <c r="K487" s="555"/>
      <c r="L487" s="555"/>
      <c r="M487" s="555"/>
      <c r="N487" s="555"/>
      <c r="O487" s="555"/>
      <c r="P487" s="555"/>
      <c r="Q487" s="556"/>
      <c r="R487" s="555"/>
      <c r="S487" s="555"/>
      <c r="T487" s="555"/>
      <c r="U487" s="555"/>
      <c r="V487" s="555"/>
      <c r="W487" s="555"/>
    </row>
    <row r="488" spans="2:23">
      <c r="B488" s="38" t="s">
        <v>729</v>
      </c>
      <c r="D488" s="211"/>
      <c r="E488" s="211"/>
      <c r="F488" s="211"/>
      <c r="G488" s="211"/>
      <c r="H488" s="211"/>
      <c r="I488" s="211"/>
      <c r="J488" s="210"/>
      <c r="K488" s="555"/>
      <c r="L488" s="555"/>
      <c r="M488" s="555"/>
      <c r="N488" s="555"/>
      <c r="O488" s="555"/>
      <c r="P488" s="555"/>
      <c r="Q488" s="556"/>
      <c r="R488" s="555"/>
      <c r="S488" s="555"/>
      <c r="T488" s="555"/>
      <c r="U488" s="555"/>
      <c r="V488" s="555"/>
      <c r="W488" s="555"/>
    </row>
    <row r="489" spans="2:23">
      <c r="B489" s="221" t="s">
        <v>703</v>
      </c>
      <c r="D489" s="211"/>
      <c r="E489" s="211"/>
      <c r="F489" s="211"/>
      <c r="G489" s="211"/>
      <c r="H489" s="211"/>
      <c r="I489" s="211"/>
      <c r="J489" s="210"/>
      <c r="K489" s="628">
        <f>K$441*K$484/K$481</f>
        <v>9.1590235213551896</v>
      </c>
      <c r="L489" s="628">
        <f t="shared" ref="L489:O489" si="427">L$441*L$484/L$481</f>
        <v>23.088199489988305</v>
      </c>
      <c r="M489" s="628">
        <f t="shared" si="427"/>
        <v>4.4669689811083773</v>
      </c>
      <c r="N489" s="628">
        <f t="shared" si="427"/>
        <v>0.90889515843863533</v>
      </c>
      <c r="O489" s="628">
        <f t="shared" si="427"/>
        <v>1.2024270189245714</v>
      </c>
      <c r="P489" s="629">
        <f t="shared" ref="P489:P498" si="428">SUM(K489:O489)</f>
        <v>38.825514169815079</v>
      </c>
      <c r="Q489" s="630"/>
      <c r="R489" s="628">
        <f>R$441*R$484/R$481</f>
        <v>1.3138320222577748</v>
      </c>
      <c r="S489" s="628">
        <f t="shared" ref="S489:V489" si="429">S$441*S$484/S$481</f>
        <v>4.2641571963583393</v>
      </c>
      <c r="T489" s="628">
        <f t="shared" si="429"/>
        <v>0.59942372232274499</v>
      </c>
      <c r="U489" s="628">
        <f t="shared" si="429"/>
        <v>0</v>
      </c>
      <c r="V489" s="628">
        <f t="shared" si="429"/>
        <v>0.18465590253156949</v>
      </c>
      <c r="W489" s="629">
        <f t="shared" ref="W489:W498" si="430">SUM(R489:V489)</f>
        <v>6.3620688434704293</v>
      </c>
    </row>
    <row r="490" spans="2:23">
      <c r="B490" s="221" t="s">
        <v>704</v>
      </c>
      <c r="D490" s="211"/>
      <c r="E490" s="211"/>
      <c r="F490" s="211"/>
      <c r="G490" s="211"/>
      <c r="H490" s="211"/>
      <c r="I490" s="211"/>
      <c r="J490" s="210"/>
      <c r="K490" s="628">
        <f>K$442*K$484/K$481</f>
        <v>4.4712222807910367</v>
      </c>
      <c r="L490" s="628">
        <f t="shared" ref="L490:O490" si="431">L$442*L$484/L$481</f>
        <v>21.780004085865254</v>
      </c>
      <c r="M490" s="628">
        <f t="shared" si="431"/>
        <v>20.390760809940971</v>
      </c>
      <c r="N490" s="628">
        <f t="shared" si="431"/>
        <v>11.236888370108121</v>
      </c>
      <c r="O490" s="628">
        <f t="shared" si="431"/>
        <v>2.7614140770634275</v>
      </c>
      <c r="P490" s="629">
        <f t="shared" si="428"/>
        <v>60.640289623768808</v>
      </c>
      <c r="Q490" s="630"/>
      <c r="R490" s="628">
        <f>R$442*R$484/R$481</f>
        <v>0.78919020001127349</v>
      </c>
      <c r="S490" s="628">
        <f t="shared" ref="S490:V490" si="432">S$442*S$484/S$481</f>
        <v>3.7841540713196298</v>
      </c>
      <c r="T490" s="628">
        <f t="shared" si="432"/>
        <v>2.8552165465089376</v>
      </c>
      <c r="U490" s="628">
        <f t="shared" si="432"/>
        <v>0</v>
      </c>
      <c r="V490" s="628">
        <f t="shared" si="432"/>
        <v>0.1381854871457773</v>
      </c>
      <c r="W490" s="629">
        <f t="shared" si="430"/>
        <v>7.5667463049856183</v>
      </c>
    </row>
    <row r="491" spans="2:23">
      <c r="B491" s="221" t="s">
        <v>765</v>
      </c>
      <c r="D491" s="211"/>
      <c r="E491" s="211"/>
      <c r="F491" s="211"/>
      <c r="G491" s="211"/>
      <c r="H491" s="211"/>
      <c r="I491" s="211"/>
      <c r="J491" s="210"/>
      <c r="K491" s="628">
        <f>K$470*K$484/K$481</f>
        <v>7.3639769427931503</v>
      </c>
      <c r="L491" s="628">
        <f t="shared" ref="L491:O491" si="433">L$470*L$484/L$481</f>
        <v>7.6999186791212475</v>
      </c>
      <c r="M491" s="628">
        <f t="shared" si="433"/>
        <v>3.4880996016685168</v>
      </c>
      <c r="N491" s="628">
        <f t="shared" si="433"/>
        <v>0.50886670041081072</v>
      </c>
      <c r="O491" s="628">
        <f t="shared" si="433"/>
        <v>0.54292106659778838</v>
      </c>
      <c r="P491" s="629">
        <f t="shared" si="428"/>
        <v>19.603782990591512</v>
      </c>
      <c r="Q491" s="630"/>
      <c r="R491" s="628">
        <f>R$470*R$484/R$481</f>
        <v>0.92739823470111715</v>
      </c>
      <c r="S491" s="628">
        <f t="shared" ref="S491:V491" si="434">S$470*S$484/S$481</f>
        <v>1.541225094921195</v>
      </c>
      <c r="T491" s="628">
        <f t="shared" si="434"/>
        <v>0.48790006620184467</v>
      </c>
      <c r="U491" s="628">
        <f t="shared" si="434"/>
        <v>0</v>
      </c>
      <c r="V491" s="628">
        <f t="shared" si="434"/>
        <v>8.7393875468300158E-2</v>
      </c>
      <c r="W491" s="629">
        <f t="shared" si="430"/>
        <v>3.0439172712924569</v>
      </c>
    </row>
    <row r="492" spans="2:23">
      <c r="B492" s="221" t="s">
        <v>708</v>
      </c>
      <c r="D492" s="211"/>
      <c r="E492" s="211"/>
      <c r="F492" s="211"/>
      <c r="G492" s="211"/>
      <c r="H492" s="211"/>
      <c r="I492" s="211"/>
      <c r="J492" s="210"/>
      <c r="K492" s="628">
        <f>K$471*K$484/K$481</f>
        <v>0</v>
      </c>
      <c r="L492" s="628">
        <f t="shared" ref="L492:O492" si="435">L$471*L$484/L$481</f>
        <v>0</v>
      </c>
      <c r="M492" s="628">
        <f t="shared" si="435"/>
        <v>0</v>
      </c>
      <c r="N492" s="628">
        <f t="shared" si="435"/>
        <v>0</v>
      </c>
      <c r="O492" s="628">
        <f t="shared" si="435"/>
        <v>0</v>
      </c>
      <c r="P492" s="629">
        <f t="shared" si="428"/>
        <v>0</v>
      </c>
      <c r="Q492" s="630"/>
      <c r="R492" s="628">
        <f>R$471*R$484/R$481</f>
        <v>0</v>
      </c>
      <c r="S492" s="628">
        <f t="shared" ref="S492:V492" si="436">S$471*S$484/S$481</f>
        <v>0</v>
      </c>
      <c r="T492" s="628">
        <f t="shared" si="436"/>
        <v>0</v>
      </c>
      <c r="U492" s="628">
        <f t="shared" si="436"/>
        <v>0</v>
      </c>
      <c r="V492" s="628">
        <f t="shared" si="436"/>
        <v>0</v>
      </c>
      <c r="W492" s="629">
        <f t="shared" si="430"/>
        <v>0</v>
      </c>
    </row>
    <row r="493" spans="2:23">
      <c r="B493" s="59" t="s">
        <v>726</v>
      </c>
      <c r="D493" s="211"/>
      <c r="E493" s="211"/>
      <c r="F493" s="211"/>
      <c r="G493" s="211"/>
      <c r="H493" s="211"/>
      <c r="I493" s="211"/>
      <c r="J493" s="210"/>
      <c r="K493" s="242">
        <f>K489+K490</f>
        <v>13.630245802146227</v>
      </c>
      <c r="L493" s="242">
        <f t="shared" ref="L493:O493" si="437">L489+L490</f>
        <v>44.868203575853556</v>
      </c>
      <c r="M493" s="242">
        <f t="shared" si="437"/>
        <v>24.857729791049348</v>
      </c>
      <c r="N493" s="242">
        <f t="shared" si="437"/>
        <v>12.145783528546756</v>
      </c>
      <c r="O493" s="242">
        <f t="shared" si="437"/>
        <v>3.9638410959879988</v>
      </c>
      <c r="P493" s="629">
        <f t="shared" si="428"/>
        <v>99.465803793583888</v>
      </c>
      <c r="Q493" s="560"/>
      <c r="R493" s="242">
        <f>R489+R490</f>
        <v>2.1030222222690482</v>
      </c>
      <c r="S493" s="242">
        <f t="shared" ref="S493:V493" si="438">S489+S490</f>
        <v>8.0483112676779687</v>
      </c>
      <c r="T493" s="242">
        <f t="shared" si="438"/>
        <v>3.4546402688316826</v>
      </c>
      <c r="U493" s="242">
        <f t="shared" si="438"/>
        <v>0</v>
      </c>
      <c r="V493" s="242">
        <f t="shared" si="438"/>
        <v>0.32284138967734677</v>
      </c>
      <c r="W493" s="629">
        <f t="shared" si="430"/>
        <v>13.928815148456046</v>
      </c>
    </row>
    <row r="494" spans="2:23">
      <c r="B494" s="59" t="s">
        <v>727</v>
      </c>
      <c r="D494" s="211"/>
      <c r="E494" s="211"/>
      <c r="F494" s="211"/>
      <c r="G494" s="211"/>
      <c r="H494" s="211"/>
      <c r="I494" s="211"/>
      <c r="J494" s="210"/>
      <c r="K494" s="242">
        <f>K491+K492</f>
        <v>7.3639769427931503</v>
      </c>
      <c r="L494" s="242">
        <f t="shared" ref="L494:O494" si="439">L491+L492</f>
        <v>7.6999186791212475</v>
      </c>
      <c r="M494" s="242">
        <f t="shared" si="439"/>
        <v>3.4880996016685168</v>
      </c>
      <c r="N494" s="242">
        <f t="shared" si="439"/>
        <v>0.50886670041081072</v>
      </c>
      <c r="O494" s="242">
        <f t="shared" si="439"/>
        <v>0.54292106659778838</v>
      </c>
      <c r="P494" s="629">
        <f t="shared" si="428"/>
        <v>19.603782990591512</v>
      </c>
      <c r="Q494" s="560"/>
      <c r="R494" s="242">
        <f>R491+R492</f>
        <v>0.92739823470111715</v>
      </c>
      <c r="S494" s="242">
        <f t="shared" ref="S494:V494" si="440">S491+S492</f>
        <v>1.541225094921195</v>
      </c>
      <c r="T494" s="242">
        <f t="shared" si="440"/>
        <v>0.48790006620184467</v>
      </c>
      <c r="U494" s="242">
        <f t="shared" si="440"/>
        <v>0</v>
      </c>
      <c r="V494" s="242">
        <f t="shared" si="440"/>
        <v>8.7393875468300158E-2</v>
      </c>
      <c r="W494" s="629">
        <f t="shared" si="430"/>
        <v>3.0439172712924569</v>
      </c>
    </row>
    <row r="495" spans="2:23">
      <c r="B495" s="61" t="s">
        <v>945</v>
      </c>
      <c r="D495" s="211"/>
      <c r="E495" s="211"/>
      <c r="F495" s="211"/>
      <c r="G495" s="211"/>
      <c r="H495" s="211"/>
      <c r="I495" s="211"/>
      <c r="J495" s="210"/>
      <c r="K495" s="242">
        <f>K489+K491</f>
        <v>16.523000464148339</v>
      </c>
      <c r="L495" s="242">
        <f t="shared" ref="L495:O495" si="441">L489+L491</f>
        <v>30.788118169109552</v>
      </c>
      <c r="M495" s="242">
        <f t="shared" si="441"/>
        <v>7.9550685827768941</v>
      </c>
      <c r="N495" s="242">
        <f t="shared" si="441"/>
        <v>1.4177618588494461</v>
      </c>
      <c r="O495" s="242">
        <f t="shared" si="441"/>
        <v>1.7453480855223598</v>
      </c>
      <c r="P495" s="629">
        <f t="shared" si="428"/>
        <v>58.429297160406591</v>
      </c>
      <c r="Q495" s="560"/>
      <c r="R495" s="242">
        <f>R489+R491</f>
        <v>2.2412302569588922</v>
      </c>
      <c r="S495" s="242">
        <f t="shared" ref="S495:V495" si="442">S489+S491</f>
        <v>5.8053822912795345</v>
      </c>
      <c r="T495" s="242">
        <f t="shared" si="442"/>
        <v>1.0873237885245897</v>
      </c>
      <c r="U495" s="242">
        <f t="shared" si="442"/>
        <v>0</v>
      </c>
      <c r="V495" s="242">
        <f t="shared" si="442"/>
        <v>0.27204977799986962</v>
      </c>
      <c r="W495" s="629">
        <f t="shared" si="430"/>
        <v>9.4059861147628858</v>
      </c>
    </row>
    <row r="496" spans="2:23">
      <c r="B496" s="61" t="s">
        <v>946</v>
      </c>
      <c r="D496" s="211"/>
      <c r="E496" s="211"/>
      <c r="F496" s="211"/>
      <c r="G496" s="211"/>
      <c r="H496" s="211"/>
      <c r="I496" s="211"/>
      <c r="J496" s="210"/>
      <c r="K496" s="242">
        <f>K490+K492</f>
        <v>4.4712222807910367</v>
      </c>
      <c r="L496" s="242">
        <f t="shared" ref="L496:O496" si="443">L490+L492</f>
        <v>21.780004085865254</v>
      </c>
      <c r="M496" s="242">
        <f t="shared" si="443"/>
        <v>20.390760809940971</v>
      </c>
      <c r="N496" s="242">
        <f t="shared" si="443"/>
        <v>11.236888370108121</v>
      </c>
      <c r="O496" s="242">
        <f t="shared" si="443"/>
        <v>2.7614140770634275</v>
      </c>
      <c r="P496" s="629">
        <f t="shared" si="428"/>
        <v>60.640289623768808</v>
      </c>
      <c r="Q496" s="560"/>
      <c r="R496" s="242">
        <f>R490+R492</f>
        <v>0.78919020001127349</v>
      </c>
      <c r="S496" s="242">
        <f t="shared" ref="S496:V496" si="444">S490+S492</f>
        <v>3.7841540713196298</v>
      </c>
      <c r="T496" s="242">
        <f t="shared" si="444"/>
        <v>2.8552165465089376</v>
      </c>
      <c r="U496" s="242">
        <f t="shared" si="444"/>
        <v>0</v>
      </c>
      <c r="V496" s="242">
        <f t="shared" si="444"/>
        <v>0.1381854871457773</v>
      </c>
      <c r="W496" s="629">
        <f t="shared" si="430"/>
        <v>7.5667463049856183</v>
      </c>
    </row>
    <row r="497" spans="1:23">
      <c r="B497" s="38" t="s">
        <v>766</v>
      </c>
      <c r="D497" s="211"/>
      <c r="E497" s="211"/>
      <c r="F497" s="211"/>
      <c r="G497" s="211"/>
      <c r="H497" s="211"/>
      <c r="I497" s="211"/>
      <c r="J497" s="210"/>
      <c r="K497" s="554">
        <f>SUM(K489:K492)</f>
        <v>20.994222744939378</v>
      </c>
      <c r="L497" s="554">
        <f t="shared" ref="L497:O497" si="445">SUM(L489:L492)</f>
        <v>52.568122254974803</v>
      </c>
      <c r="M497" s="554">
        <f t="shared" si="445"/>
        <v>28.345829392717864</v>
      </c>
      <c r="N497" s="554">
        <f t="shared" si="445"/>
        <v>12.654650228957568</v>
      </c>
      <c r="O497" s="554">
        <f t="shared" si="445"/>
        <v>4.5067621625857868</v>
      </c>
      <c r="P497" s="837">
        <f t="shared" si="428"/>
        <v>119.0695867841754</v>
      </c>
      <c r="Q497" s="624"/>
      <c r="R497" s="554">
        <f>SUM(R489:R492)</f>
        <v>3.0304204569701652</v>
      </c>
      <c r="S497" s="554">
        <f t="shared" ref="S497:V497" si="446">SUM(S489:S492)</f>
        <v>9.5895363625991639</v>
      </c>
      <c r="T497" s="554">
        <f t="shared" si="446"/>
        <v>3.9425403350335273</v>
      </c>
      <c r="U497" s="554">
        <f t="shared" si="446"/>
        <v>0</v>
      </c>
      <c r="V497" s="554">
        <f t="shared" si="446"/>
        <v>0.4102352651456469</v>
      </c>
      <c r="W497" s="837">
        <f t="shared" si="430"/>
        <v>16.972732419748503</v>
      </c>
    </row>
    <row r="498" spans="1:23">
      <c r="B498" s="38" t="s">
        <v>676</v>
      </c>
      <c r="D498" s="550">
        <f>D485</f>
        <v>222351.6538822767</v>
      </c>
      <c r="E498" s="550">
        <f t="shared" ref="E498:H498" si="447">E485</f>
        <v>435972.92238569196</v>
      </c>
      <c r="F498" s="550">
        <f t="shared" si="447"/>
        <v>592268.25223140384</v>
      </c>
      <c r="G498" s="550">
        <f t="shared" si="447"/>
        <v>298888.44256774255</v>
      </c>
      <c r="H498" s="550">
        <f t="shared" si="447"/>
        <v>61586.099834710752</v>
      </c>
      <c r="I498" s="591">
        <f t="shared" ref="I498" si="448">SUM(D498:H498)</f>
        <v>1611067.3709018258</v>
      </c>
      <c r="J498" s="210"/>
      <c r="K498" s="554">
        <f>K479-K497</f>
        <v>250.74783936432399</v>
      </c>
      <c r="L498" s="554">
        <f t="shared" ref="L498:O498" si="449">L479-L497</f>
        <v>536.02156105064864</v>
      </c>
      <c r="M498" s="554">
        <f t="shared" si="449"/>
        <v>765.71429278217863</v>
      </c>
      <c r="N498" s="554">
        <f t="shared" si="449"/>
        <v>351.88759016579303</v>
      </c>
      <c r="O498" s="554">
        <f t="shared" si="449"/>
        <v>111.94603174653813</v>
      </c>
      <c r="P498" s="837">
        <f t="shared" si="428"/>
        <v>2016.3173151094825</v>
      </c>
      <c r="Q498" s="624"/>
      <c r="R498" s="554">
        <f>R479-R497</f>
        <v>25.289169002786586</v>
      </c>
      <c r="S498" s="554">
        <f t="shared" ref="S498" si="450">S479-S497</f>
        <v>76.617364162726787</v>
      </c>
      <c r="T498" s="554">
        <f t="shared" ref="T498" si="451">T479-T497</f>
        <v>80.81091750393378</v>
      </c>
      <c r="U498" s="554">
        <f t="shared" ref="U498" si="452">U479-U497</f>
        <v>29.493877228814036</v>
      </c>
      <c r="V498" s="554">
        <f t="shared" ref="V498" si="453">V479-V497</f>
        <v>7.205592334154769</v>
      </c>
      <c r="W498" s="837">
        <f t="shared" si="430"/>
        <v>219.41692023241595</v>
      </c>
    </row>
    <row r="499" spans="1:23" s="543" customFormat="1">
      <c r="B499" s="249" t="s">
        <v>677</v>
      </c>
      <c r="D499" s="559"/>
      <c r="E499" s="559"/>
      <c r="F499" s="559"/>
      <c r="G499" s="559"/>
      <c r="H499" s="559"/>
      <c r="I499" s="559"/>
      <c r="J499" s="560"/>
      <c r="K499" s="555">
        <f t="shared" ref="K499:P499" si="454">K498/D498*mtonacft_mgl</f>
        <v>0.91424812065755701</v>
      </c>
      <c r="L499" s="555">
        <f t="shared" si="454"/>
        <v>0.99675858152306107</v>
      </c>
      <c r="M499" s="555">
        <f t="shared" si="454"/>
        <v>1.0481309398118519</v>
      </c>
      <c r="N499" s="555">
        <f t="shared" si="454"/>
        <v>0.95446953260391687</v>
      </c>
      <c r="O499" s="555">
        <f t="shared" si="454"/>
        <v>1.4736462476584935</v>
      </c>
      <c r="P499" s="555">
        <f t="shared" si="454"/>
        <v>1.0146410260368444</v>
      </c>
      <c r="Q499" s="560"/>
      <c r="R499" s="555">
        <f t="shared" ref="R499:W499" si="455">R498/D498*mtonacft_mgl</f>
        <v>9.2206478398387914E-2</v>
      </c>
      <c r="S499" s="555">
        <f t="shared" si="455"/>
        <v>0.14247377488544583</v>
      </c>
      <c r="T499" s="555">
        <f t="shared" si="455"/>
        <v>0.11061622292918427</v>
      </c>
      <c r="U499" s="555">
        <f t="shared" si="455"/>
        <v>0.08</v>
      </c>
      <c r="V499" s="555">
        <f t="shared" si="455"/>
        <v>9.4853689226124374E-2</v>
      </c>
      <c r="W499" s="555">
        <f t="shared" si="455"/>
        <v>0.11041387553742978</v>
      </c>
    </row>
    <row r="500" spans="1:23">
      <c r="B500" s="1231" t="s">
        <v>1083</v>
      </c>
      <c r="D500" s="211"/>
      <c r="E500" s="211"/>
      <c r="F500" s="211"/>
      <c r="G500" s="211"/>
      <c r="H500" s="211"/>
      <c r="I500" s="211"/>
      <c r="K500" s="1230">
        <f>K479-K498-K497</f>
        <v>0</v>
      </c>
      <c r="L500" s="1230">
        <f t="shared" ref="L500:W500" si="456">L479-L498-L497</f>
        <v>0</v>
      </c>
      <c r="M500" s="1230">
        <f t="shared" si="456"/>
        <v>0</v>
      </c>
      <c r="N500" s="1230">
        <f t="shared" si="456"/>
        <v>0</v>
      </c>
      <c r="O500" s="1230">
        <f t="shared" si="456"/>
        <v>0</v>
      </c>
      <c r="P500" s="1230">
        <f t="shared" si="456"/>
        <v>0</v>
      </c>
      <c r="Q500" s="1230">
        <f t="shared" si="456"/>
        <v>0</v>
      </c>
      <c r="R500" s="1230">
        <f t="shared" si="456"/>
        <v>0</v>
      </c>
      <c r="S500" s="1230">
        <f t="shared" si="456"/>
        <v>0</v>
      </c>
      <c r="T500" s="1230">
        <f t="shared" si="456"/>
        <v>0</v>
      </c>
      <c r="U500" s="1230">
        <f t="shared" si="456"/>
        <v>0</v>
      </c>
      <c r="V500" s="1230">
        <f t="shared" si="456"/>
        <v>0</v>
      </c>
      <c r="W500" s="1230">
        <f t="shared" si="456"/>
        <v>0</v>
      </c>
    </row>
    <row r="502" spans="1:23">
      <c r="A502" s="353" t="s">
        <v>1121</v>
      </c>
      <c r="B502" s="229"/>
      <c r="C502" s="230"/>
      <c r="D502" s="231"/>
      <c r="E502" s="231"/>
      <c r="F502" s="231"/>
      <c r="G502" s="231"/>
      <c r="H502" s="231"/>
      <c r="I502" s="231"/>
      <c r="J502" s="230"/>
      <c r="K502" s="232"/>
      <c r="L502" s="232"/>
      <c r="M502" s="232"/>
      <c r="N502" s="232"/>
      <c r="O502" s="232"/>
      <c r="P502" s="232"/>
      <c r="Q502" s="230"/>
      <c r="R502" s="230"/>
      <c r="S502" s="354"/>
      <c r="T502" s="354"/>
      <c r="U502" s="354"/>
      <c r="V502" s="354"/>
      <c r="W502" s="594" t="s">
        <v>747</v>
      </c>
    </row>
    <row r="504" spans="1:23">
      <c r="D504" s="1440" t="s">
        <v>488</v>
      </c>
      <c r="E504" s="1440"/>
      <c r="F504" s="1440"/>
      <c r="G504" s="1440"/>
      <c r="H504" s="1440"/>
      <c r="I504" s="1440"/>
      <c r="K504" s="1441" t="s">
        <v>1136</v>
      </c>
      <c r="L504" s="1441"/>
      <c r="M504" s="1441"/>
      <c r="N504" s="1441"/>
      <c r="O504" s="1441"/>
      <c r="P504" s="1441"/>
      <c r="R504" s="1442" t="s">
        <v>1123</v>
      </c>
      <c r="S504" s="1442"/>
      <c r="T504" s="1442"/>
      <c r="U504" s="1442"/>
      <c r="V504" s="1442"/>
      <c r="W504" s="1442"/>
    </row>
    <row r="505" spans="1:23">
      <c r="D505" s="363" t="str">
        <f t="shared" ref="D505:I505" si="457">VLOOKUP(D$24,subwatgeog,2,FALSE)</f>
        <v>Coastal</v>
      </c>
      <c r="E505" s="363" t="str">
        <f t="shared" si="457"/>
        <v>Tidal Cal.</v>
      </c>
      <c r="F505" s="363" t="str">
        <f t="shared" si="457"/>
        <v>West Cal.</v>
      </c>
      <c r="G505" s="363" t="str">
        <f t="shared" si="457"/>
        <v>East Cal.</v>
      </c>
      <c r="H505" s="363" t="str">
        <f t="shared" si="457"/>
        <v>S-4</v>
      </c>
      <c r="I505" s="364" t="str">
        <f t="shared" si="457"/>
        <v>Total CRWPP</v>
      </c>
      <c r="K505" s="351" t="str">
        <f t="shared" ref="K505:W505" si="458">VLOOKUP(K$24,subwatgeog,2,FALSE)</f>
        <v>Coastal</v>
      </c>
      <c r="L505" s="351" t="str">
        <f t="shared" si="458"/>
        <v>Tidal Cal.</v>
      </c>
      <c r="M505" s="351" t="str">
        <f t="shared" si="458"/>
        <v>West Cal.</v>
      </c>
      <c r="N505" s="351" t="str">
        <f t="shared" si="458"/>
        <v>East Cal.</v>
      </c>
      <c r="O505" s="351" t="str">
        <f t="shared" si="458"/>
        <v>S-4</v>
      </c>
      <c r="P505" s="355" t="str">
        <f t="shared" si="458"/>
        <v>Total CRWPP</v>
      </c>
      <c r="R505" s="352" t="str">
        <f t="shared" si="458"/>
        <v>Coastal</v>
      </c>
      <c r="S505" s="352" t="str">
        <f t="shared" si="458"/>
        <v>Tidal Cal.</v>
      </c>
      <c r="T505" s="352" t="str">
        <f t="shared" si="458"/>
        <v>West Cal.</v>
      </c>
      <c r="U505" s="352" t="str">
        <f t="shared" si="458"/>
        <v>East Cal.</v>
      </c>
      <c r="V505" s="352" t="str">
        <f t="shared" si="458"/>
        <v>S-4</v>
      </c>
      <c r="W505" s="356" t="str">
        <f t="shared" si="458"/>
        <v>Total CRWPP</v>
      </c>
    </row>
    <row r="506" spans="1:23">
      <c r="B506" t="s">
        <v>720</v>
      </c>
      <c r="D506" s="211">
        <f xml:space="preserve"> D$498</f>
        <v>222351.6538822767</v>
      </c>
      <c r="E506" s="211">
        <f t="shared" ref="E506:H506" si="459" xml:space="preserve"> E$498</f>
        <v>435972.92238569196</v>
      </c>
      <c r="F506" s="211">
        <f t="shared" si="459"/>
        <v>592268.25223140384</v>
      </c>
      <c r="G506" s="211">
        <f t="shared" si="459"/>
        <v>298888.44256774255</v>
      </c>
      <c r="H506" s="211">
        <f t="shared" si="459"/>
        <v>61586.099834710752</v>
      </c>
      <c r="I506" s="592">
        <f t="shared" ref="I506:I512" si="460">SUM(D506:H506)</f>
        <v>1611067.3709018258</v>
      </c>
      <c r="J506" s="210"/>
      <c r="K506" s="548">
        <f>K$498</f>
        <v>250.74783936432399</v>
      </c>
      <c r="L506" s="548">
        <f t="shared" ref="L506:O506" si="461">L$498</f>
        <v>536.02156105064864</v>
      </c>
      <c r="M506" s="548">
        <f t="shared" si="461"/>
        <v>765.71429278217863</v>
      </c>
      <c r="N506" s="548">
        <f t="shared" si="461"/>
        <v>351.88759016579303</v>
      </c>
      <c r="O506" s="548">
        <f t="shared" si="461"/>
        <v>111.94603174653813</v>
      </c>
      <c r="P506" s="210">
        <f>SUM(K506:O506)</f>
        <v>2016.3173151094825</v>
      </c>
      <c r="Q506" s="210"/>
      <c r="R506" s="548">
        <f>R$498</f>
        <v>25.289169002786586</v>
      </c>
      <c r="S506" s="548">
        <f t="shared" ref="S506:V506" si="462">S$498</f>
        <v>76.617364162726787</v>
      </c>
      <c r="T506" s="548">
        <f t="shared" si="462"/>
        <v>80.81091750393378</v>
      </c>
      <c r="U506" s="548">
        <f t="shared" si="462"/>
        <v>29.493877228814036</v>
      </c>
      <c r="V506" s="548">
        <f t="shared" si="462"/>
        <v>7.205592334154769</v>
      </c>
      <c r="W506" s="210">
        <f>SUM(R506:V506)</f>
        <v>219.41692023241595</v>
      </c>
    </row>
    <row r="507" spans="1:23">
      <c r="B507" s="596" t="s">
        <v>1245</v>
      </c>
      <c r="D507" s="211"/>
      <c r="E507" s="211"/>
      <c r="F507" s="211"/>
      <c r="G507" s="211"/>
      <c r="H507" s="211"/>
      <c r="I507" s="592"/>
      <c r="J507" s="210"/>
      <c r="K507" s="563">
        <f t="shared" ref="K507:P507" si="463">K$499</f>
        <v>0.91424812065755701</v>
      </c>
      <c r="L507" s="563">
        <f t="shared" si="463"/>
        <v>0.99675858152306107</v>
      </c>
      <c r="M507" s="563">
        <f t="shared" si="463"/>
        <v>1.0481309398118519</v>
      </c>
      <c r="N507" s="563">
        <f t="shared" si="463"/>
        <v>0.95446953260391687</v>
      </c>
      <c r="O507" s="563">
        <f t="shared" si="463"/>
        <v>1.4736462476584935</v>
      </c>
      <c r="P507" s="563">
        <f t="shared" si="463"/>
        <v>1.0146410260368444</v>
      </c>
      <c r="Q507" s="563"/>
      <c r="R507" s="563">
        <f t="shared" ref="R507:W507" si="464">R$499</f>
        <v>9.2206478398387914E-2</v>
      </c>
      <c r="S507" s="563">
        <f t="shared" si="464"/>
        <v>0.14247377488544583</v>
      </c>
      <c r="T507" s="563">
        <f t="shared" si="464"/>
        <v>0.11061622292918427</v>
      </c>
      <c r="U507" s="563">
        <f t="shared" si="464"/>
        <v>0.08</v>
      </c>
      <c r="V507" s="563">
        <f t="shared" si="464"/>
        <v>9.4853689226124374E-2</v>
      </c>
      <c r="W507" s="563">
        <f t="shared" si="464"/>
        <v>0.11041387553742978</v>
      </c>
    </row>
    <row r="508" spans="1:23">
      <c r="B508" t="s">
        <v>1235</v>
      </c>
      <c r="D508" s="549">
        <f>-VLOOKUP(D$25,dispersedsum,4,FALSE)</f>
        <v>0</v>
      </c>
      <c r="E508" s="549">
        <f>-VLOOKUP(E$25,dispersedsum,4,FALSE)</f>
        <v>-115</v>
      </c>
      <c r="F508" s="549">
        <f>-VLOOKUP(F$25,dispersedsum,4,FALSE)</f>
        <v>-4400</v>
      </c>
      <c r="G508" s="549">
        <f>-VLOOKUP(G$25,dispersedsum,4,FALSE)</f>
        <v>-2290</v>
      </c>
      <c r="H508" s="549">
        <f>-VLOOKUP(H$25,dispersedsum,4,FALSE)</f>
        <v>-30</v>
      </c>
      <c r="I508" s="592">
        <f t="shared" si="460"/>
        <v>-6835</v>
      </c>
      <c r="J508" s="210"/>
      <c r="K508" s="210">
        <f>VLOOKUP(K$25,dispersedsum,12,FALSE)/1000</f>
        <v>0</v>
      </c>
      <c r="L508" s="210">
        <f>VLOOKUP(L$25,dispersedsum,12,FALSE)/1000</f>
        <v>0.13539189579033123</v>
      </c>
      <c r="M508" s="210">
        <f>VLOOKUP(M$25,dispersedsum,12,FALSE)/1000</f>
        <v>7.9979498784099468</v>
      </c>
      <c r="N508" s="210">
        <f>VLOOKUP(N$25,dispersedsum,12,FALSE)/1000</f>
        <v>2.815517459407864</v>
      </c>
      <c r="O508" s="210">
        <f>VLOOKUP(O$25,dispersedsum,12,FALSE)/1000</f>
        <v>3.8785514328885967E-2</v>
      </c>
      <c r="P508" s="210">
        <f>SUM(K508:O508)</f>
        <v>10.987644747937029</v>
      </c>
      <c r="Q508" s="210"/>
      <c r="R508" s="210">
        <f>VLOOKUP(K$25,dispersedsum,8,FALSE)/1000</f>
        <v>0</v>
      </c>
      <c r="S508" s="210">
        <f>VLOOKUP(L$25,dispersedsum,8,FALSE)/1000</f>
        <v>1.1348032905437185E-2</v>
      </c>
      <c r="T508" s="210">
        <f>VLOOKUP(M$25,dispersedsum,8,FALSE)/1000</f>
        <v>0.51480133269312567</v>
      </c>
      <c r="U508" s="210">
        <f>VLOOKUP(N$25,dispersedsum,8,FALSE)/1000</f>
        <v>0.40244188325399199</v>
      </c>
      <c r="V508" s="210">
        <f>VLOOKUP(O$25,dispersedsum,8,FALSE)/1000</f>
        <v>4.0932930576376902E-3</v>
      </c>
      <c r="W508" s="210">
        <f>SUM(R508:V508)</f>
        <v>0.93268454191019257</v>
      </c>
    </row>
    <row r="509" spans="1:23">
      <c r="B509" t="s">
        <v>674</v>
      </c>
      <c r="C509" s="107"/>
      <c r="D509" s="241">
        <f>D506+D508</f>
        <v>222351.6538822767</v>
      </c>
      <c r="E509" s="241">
        <f t="shared" ref="E509:H509" si="465">E506+E508</f>
        <v>435857.92238569196</v>
      </c>
      <c r="F509" s="241">
        <f t="shared" si="465"/>
        <v>587868.25223140384</v>
      </c>
      <c r="G509" s="241">
        <f t="shared" si="465"/>
        <v>296598.44256774255</v>
      </c>
      <c r="H509" s="241">
        <f t="shared" si="465"/>
        <v>61556.099834710752</v>
      </c>
      <c r="I509" s="592">
        <f t="shared" si="460"/>
        <v>1604232.3709018258</v>
      </c>
      <c r="J509" s="242"/>
      <c r="K509" s="561">
        <f>K506-K508</f>
        <v>250.74783936432399</v>
      </c>
      <c r="L509" s="561">
        <f t="shared" ref="L509:O509" si="466">L506-L508</f>
        <v>535.88616915485829</v>
      </c>
      <c r="M509" s="561">
        <f t="shared" si="466"/>
        <v>757.71634290376869</v>
      </c>
      <c r="N509" s="561">
        <f t="shared" si="466"/>
        <v>349.07207270638514</v>
      </c>
      <c r="O509" s="561">
        <f t="shared" si="466"/>
        <v>111.90724623220925</v>
      </c>
      <c r="P509" s="561">
        <f t="shared" ref="P509" si="467">SUM(K509:O509)</f>
        <v>2005.3296703615454</v>
      </c>
      <c r="Q509" s="242"/>
      <c r="R509" s="561">
        <f>R506-R508</f>
        <v>25.289169002786586</v>
      </c>
      <c r="S509" s="561">
        <f t="shared" ref="S509:V509" si="468">S506-S508</f>
        <v>76.606016129821356</v>
      </c>
      <c r="T509" s="561">
        <f t="shared" si="468"/>
        <v>80.296116171240655</v>
      </c>
      <c r="U509" s="561">
        <f t="shared" si="468"/>
        <v>29.091435345560043</v>
      </c>
      <c r="V509" s="561">
        <f t="shared" si="468"/>
        <v>7.2014990410971311</v>
      </c>
      <c r="W509" s="561">
        <f t="shared" ref="W509" si="469">SUM(R509:V509)</f>
        <v>218.48423569050578</v>
      </c>
    </row>
    <row r="510" spans="1:23">
      <c r="B510" s="543" t="s">
        <v>675</v>
      </c>
      <c r="C510" s="107"/>
      <c r="D510" s="241"/>
      <c r="E510" s="241"/>
      <c r="F510" s="241"/>
      <c r="G510" s="241"/>
      <c r="H510" s="241"/>
      <c r="I510" s="592"/>
      <c r="J510" s="242"/>
      <c r="K510" s="556">
        <f t="shared" ref="K510:P510" si="470">K509/D509*mtonacft_mgl</f>
        <v>0.91424812065755701</v>
      </c>
      <c r="L510" s="556">
        <f t="shared" si="470"/>
        <v>0.99676973938064706</v>
      </c>
      <c r="M510" s="556">
        <f t="shared" si="470"/>
        <v>1.0449460980596079</v>
      </c>
      <c r="N510" s="556">
        <f t="shared" si="470"/>
        <v>0.9541430240720904</v>
      </c>
      <c r="O510" s="556">
        <f t="shared" si="470"/>
        <v>1.4738536269315416</v>
      </c>
      <c r="P510" s="556">
        <f t="shared" si="470"/>
        <v>1.0134113057116285</v>
      </c>
      <c r="Q510" s="556"/>
      <c r="R510" s="556">
        <f t="shared" ref="R510:W510" si="471">R509/D509*mtonacft_mgl</f>
        <v>9.2206478398387914E-2</v>
      </c>
      <c r="S510" s="556">
        <f t="shared" si="471"/>
        <v>0.14249025843144289</v>
      </c>
      <c r="T510" s="556">
        <f t="shared" si="471"/>
        <v>0.11073420029576293</v>
      </c>
      <c r="U510" s="556">
        <f t="shared" si="471"/>
        <v>7.9517647688069043E-2</v>
      </c>
      <c r="V510" s="556">
        <f t="shared" si="471"/>
        <v>9.4846007192786297E-2</v>
      </c>
      <c r="W510" s="556">
        <f t="shared" si="471"/>
        <v>0.11041296493090005</v>
      </c>
    </row>
    <row r="511" spans="1:23">
      <c r="B511" s="38" t="s">
        <v>685</v>
      </c>
      <c r="D511" s="550">
        <f>D512-D506</f>
        <v>0</v>
      </c>
      <c r="E511" s="550">
        <f>E512-E506</f>
        <v>-115</v>
      </c>
      <c r="F511" s="550">
        <f>F512-F506</f>
        <v>-4400</v>
      </c>
      <c r="G511" s="550">
        <f>G512-G506</f>
        <v>-2290</v>
      </c>
      <c r="H511" s="550">
        <f>H512-H506</f>
        <v>-30</v>
      </c>
      <c r="I511" s="591">
        <f t="shared" si="460"/>
        <v>-6835</v>
      </c>
      <c r="J511" s="554"/>
      <c r="K511" s="551">
        <f t="shared" ref="K511:P511" si="472">K506-K512</f>
        <v>0</v>
      </c>
      <c r="L511" s="551">
        <f t="shared" si="472"/>
        <v>0.13539189579046251</v>
      </c>
      <c r="M511" s="551">
        <f t="shared" si="472"/>
        <v>7.9979498784099405</v>
      </c>
      <c r="N511" s="551">
        <f t="shared" si="472"/>
        <v>2.8155174594078858</v>
      </c>
      <c r="O511" s="551">
        <f t="shared" si="472"/>
        <v>3.87855143288931E-2</v>
      </c>
      <c r="P511" s="551">
        <f t="shared" si="472"/>
        <v>10.987644747937111</v>
      </c>
      <c r="Q511" s="554"/>
      <c r="R511" s="551">
        <f t="shared" ref="R511:W511" si="473">R506-R512</f>
        <v>0</v>
      </c>
      <c r="S511" s="551">
        <f t="shared" si="473"/>
        <v>1.1348032905431182E-2</v>
      </c>
      <c r="T511" s="551">
        <f t="shared" si="473"/>
        <v>0.51480133269312489</v>
      </c>
      <c r="U511" s="551">
        <f t="shared" si="473"/>
        <v>0.22597387263870417</v>
      </c>
      <c r="V511" s="551">
        <f t="shared" si="473"/>
        <v>4.093293057638725E-3</v>
      </c>
      <c r="W511" s="551">
        <f t="shared" si="473"/>
        <v>0.75621653129488209</v>
      </c>
    </row>
    <row r="512" spans="1:23">
      <c r="B512" s="38" t="s">
        <v>676</v>
      </c>
      <c r="D512" s="550">
        <f>D509</f>
        <v>222351.6538822767</v>
      </c>
      <c r="E512" s="550">
        <f t="shared" ref="E512:H512" si="474">E509</f>
        <v>435857.92238569196</v>
      </c>
      <c r="F512" s="550">
        <f t="shared" si="474"/>
        <v>587868.25223140384</v>
      </c>
      <c r="G512" s="550">
        <f t="shared" si="474"/>
        <v>296598.44256774255</v>
      </c>
      <c r="H512" s="550">
        <f t="shared" si="474"/>
        <v>61556.099834710752</v>
      </c>
      <c r="I512" s="591">
        <f t="shared" si="460"/>
        <v>1604232.3709018258</v>
      </c>
      <c r="J512" s="210"/>
      <c r="K512" s="551">
        <f>D512*K513/mtonacft_mgl</f>
        <v>250.74783936432399</v>
      </c>
      <c r="L512" s="551">
        <f>E512*L513/mtonacft_mgl</f>
        <v>535.88616915485818</v>
      </c>
      <c r="M512" s="551">
        <f>F512*M513/mtonacft_mgl</f>
        <v>757.71634290376869</v>
      </c>
      <c r="N512" s="551">
        <f>G512*N513/mtonacft_mgl</f>
        <v>349.07207270638514</v>
      </c>
      <c r="O512" s="551">
        <f>H512*O513/mtonacft_mgl</f>
        <v>111.90724623220923</v>
      </c>
      <c r="P512" s="551">
        <f t="shared" ref="P512" si="475">SUM(K512:O512)</f>
        <v>2005.3296703615454</v>
      </c>
      <c r="Q512" s="210"/>
      <c r="R512" s="551">
        <f>D512*R513/mtonacft_mgl</f>
        <v>25.289169002786586</v>
      </c>
      <c r="S512" s="551">
        <f>E512*S513/mtonacft_mgl</f>
        <v>76.606016129821356</v>
      </c>
      <c r="T512" s="551">
        <f>F512*T513/mtonacft_mgl</f>
        <v>80.296116171240655</v>
      </c>
      <c r="U512" s="551">
        <f>G512*U513/mtonacft_mgl</f>
        <v>29.267903356175331</v>
      </c>
      <c r="V512" s="551">
        <f>H512*V513/mtonacft_mgl</f>
        <v>7.2014990410971302</v>
      </c>
      <c r="W512" s="551">
        <f t="shared" ref="W512" si="476">SUM(R512:V512)</f>
        <v>218.66070370112107</v>
      </c>
    </row>
    <row r="513" spans="1:23">
      <c r="B513" s="249" t="s">
        <v>677</v>
      </c>
      <c r="D513" s="211"/>
      <c r="E513" s="211"/>
      <c r="F513" s="211"/>
      <c r="G513" s="211"/>
      <c r="H513" s="211"/>
      <c r="I513" s="211"/>
      <c r="J513" s="210"/>
      <c r="K513" s="555">
        <f>MAX(K510,MIN(TNBase,K507))</f>
        <v>0.91424812065755701</v>
      </c>
      <c r="L513" s="555">
        <f>MAX(L510,MIN(TNBase,L507))</f>
        <v>0.99676973938064706</v>
      </c>
      <c r="M513" s="555">
        <f>MAX(M510,MIN(TNBase,M507))</f>
        <v>1.0449460980596079</v>
      </c>
      <c r="N513" s="555">
        <f>MAX(N510,MIN(TNBase,N507))</f>
        <v>0.9541430240720904</v>
      </c>
      <c r="O513" s="555">
        <f>MAX(O510,MIN(TNBase,O507))</f>
        <v>1.4738536269315416</v>
      </c>
      <c r="P513" s="555">
        <f>P512/I512*mtonacft_mgl</f>
        <v>1.0134113057116285</v>
      </c>
      <c r="Q513" s="556"/>
      <c r="R513" s="555">
        <f>MAX(R510,MIN(TPBase,R507))</f>
        <v>9.2206478398387914E-2</v>
      </c>
      <c r="S513" s="555">
        <f>MAX(S510,MIN(TPBase,S507))</f>
        <v>0.14249025843144289</v>
      </c>
      <c r="T513" s="555">
        <f>MAX(T510,MIN(TPBase,T507))</f>
        <v>0.11073420029576293</v>
      </c>
      <c r="U513" s="555">
        <f>MAX(U510,MIN(TPBase,U507))</f>
        <v>0.08</v>
      </c>
      <c r="V513" s="555">
        <f>MAX(V510,MIN(TPBase,V507))</f>
        <v>9.4846007192786297E-2</v>
      </c>
      <c r="W513" s="555">
        <f>W512/I512*mtonacft_mgl</f>
        <v>0.11050214462025344</v>
      </c>
    </row>
    <row r="516" spans="1:23">
      <c r="A516" s="353" t="s">
        <v>1137</v>
      </c>
      <c r="B516" s="229"/>
      <c r="C516" s="230"/>
      <c r="D516" s="231"/>
      <c r="E516" s="231"/>
      <c r="F516" s="231"/>
      <c r="G516" s="231"/>
      <c r="H516" s="231"/>
      <c r="I516" s="231"/>
      <c r="J516" s="230"/>
      <c r="K516" s="232"/>
      <c r="L516" s="232"/>
      <c r="M516" s="232"/>
      <c r="N516" s="232"/>
      <c r="O516" s="232"/>
      <c r="P516" s="232"/>
      <c r="Q516" s="230"/>
      <c r="R516" s="230"/>
      <c r="S516" s="354"/>
      <c r="T516" s="354"/>
      <c r="U516" s="354"/>
      <c r="V516" s="354"/>
      <c r="W516" s="594" t="s">
        <v>748</v>
      </c>
    </row>
    <row r="518" spans="1:23">
      <c r="D518" s="1440" t="s">
        <v>488</v>
      </c>
      <c r="E518" s="1440"/>
      <c r="F518" s="1440"/>
      <c r="G518" s="1440"/>
      <c r="H518" s="1440"/>
      <c r="I518" s="1440"/>
      <c r="K518" s="1441" t="s">
        <v>1138</v>
      </c>
      <c r="L518" s="1441"/>
      <c r="M518" s="1441"/>
      <c r="N518" s="1441"/>
      <c r="O518" s="1441"/>
      <c r="P518" s="1441"/>
      <c r="R518" s="1442" t="s">
        <v>1139</v>
      </c>
      <c r="S518" s="1442"/>
      <c r="T518" s="1442"/>
      <c r="U518" s="1442"/>
      <c r="V518" s="1442"/>
      <c r="W518" s="1442"/>
    </row>
    <row r="519" spans="1:23">
      <c r="D519" s="363" t="str">
        <f t="shared" ref="D519:I519" si="477">VLOOKUP(D$24,subwatgeog,2,FALSE)</f>
        <v>Coastal</v>
      </c>
      <c r="E519" s="363" t="str">
        <f t="shared" si="477"/>
        <v>Tidal Cal.</v>
      </c>
      <c r="F519" s="363" t="str">
        <f t="shared" si="477"/>
        <v>West Cal.</v>
      </c>
      <c r="G519" s="363" t="str">
        <f t="shared" si="477"/>
        <v>East Cal.</v>
      </c>
      <c r="H519" s="363" t="str">
        <f t="shared" si="477"/>
        <v>S-4</v>
      </c>
      <c r="I519" s="364" t="str">
        <f t="shared" si="477"/>
        <v>Total CRWPP</v>
      </c>
      <c r="K519" s="351" t="str">
        <f t="shared" ref="K519:W519" si="478">VLOOKUP(K$24,subwatgeog,2,FALSE)</f>
        <v>Coastal</v>
      </c>
      <c r="L519" s="351" t="str">
        <f t="shared" si="478"/>
        <v>Tidal Cal.</v>
      </c>
      <c r="M519" s="351" t="str">
        <f t="shared" si="478"/>
        <v>West Cal.</v>
      </c>
      <c r="N519" s="351" t="str">
        <f t="shared" si="478"/>
        <v>East Cal.</v>
      </c>
      <c r="O519" s="351" t="str">
        <f t="shared" si="478"/>
        <v>S-4</v>
      </c>
      <c r="P519" s="355" t="str">
        <f t="shared" si="478"/>
        <v>Total CRWPP</v>
      </c>
      <c r="R519" s="352" t="str">
        <f t="shared" si="478"/>
        <v>Coastal</v>
      </c>
      <c r="S519" s="352" t="str">
        <f t="shared" si="478"/>
        <v>Tidal Cal.</v>
      </c>
      <c r="T519" s="352" t="str">
        <f t="shared" si="478"/>
        <v>West Cal.</v>
      </c>
      <c r="U519" s="352" t="str">
        <f t="shared" si="478"/>
        <v>East Cal.</v>
      </c>
      <c r="V519" s="352" t="str">
        <f t="shared" si="478"/>
        <v>S-4</v>
      </c>
      <c r="W519" s="356" t="str">
        <f t="shared" si="478"/>
        <v>Total CRWPP</v>
      </c>
    </row>
    <row r="520" spans="1:23">
      <c r="B520" t="s">
        <v>720</v>
      </c>
      <c r="D520" s="211">
        <f>D$512</f>
        <v>222351.6538822767</v>
      </c>
      <c r="E520" s="211">
        <f t="shared" ref="E520:H520" si="479">E$512</f>
        <v>435857.92238569196</v>
      </c>
      <c r="F520" s="211">
        <f t="shared" si="479"/>
        <v>587868.25223140384</v>
      </c>
      <c r="G520" s="211">
        <f t="shared" si="479"/>
        <v>296598.44256774255</v>
      </c>
      <c r="H520" s="211">
        <f t="shared" si="479"/>
        <v>61556.099834710752</v>
      </c>
      <c r="I520" s="592">
        <f t="shared" ref="I520:I526" si="480">SUM(D520:H520)</f>
        <v>1604232.3709018258</v>
      </c>
      <c r="J520" s="210"/>
      <c r="K520" s="548">
        <f>K$512</f>
        <v>250.74783936432399</v>
      </c>
      <c r="L520" s="548">
        <f t="shared" ref="L520:O520" si="481">L$512</f>
        <v>535.88616915485818</v>
      </c>
      <c r="M520" s="548">
        <f t="shared" si="481"/>
        <v>757.71634290376869</v>
      </c>
      <c r="N520" s="548">
        <f t="shared" si="481"/>
        <v>349.07207270638514</v>
      </c>
      <c r="O520" s="548">
        <f t="shared" si="481"/>
        <v>111.90724623220923</v>
      </c>
      <c r="P520" s="548">
        <f t="shared" ref="P520:P525" si="482">SUM(K520:O520)</f>
        <v>2005.3296703615454</v>
      </c>
      <c r="Q520" s="210"/>
      <c r="R520" s="548">
        <f>R$512</f>
        <v>25.289169002786586</v>
      </c>
      <c r="S520" s="548">
        <f t="shared" ref="S520:V520" si="483">S$512</f>
        <v>76.606016129821356</v>
      </c>
      <c r="T520" s="548">
        <f t="shared" si="483"/>
        <v>80.296116171240655</v>
      </c>
      <c r="U520" s="548">
        <f t="shared" si="483"/>
        <v>29.267903356175331</v>
      </c>
      <c r="V520" s="548">
        <f t="shared" si="483"/>
        <v>7.2014990410971302</v>
      </c>
      <c r="W520" s="548">
        <f t="shared" ref="W520:W525" si="484">SUM(R520:V520)</f>
        <v>218.66070370112107</v>
      </c>
    </row>
    <row r="521" spans="1:23">
      <c r="B521" s="596" t="s">
        <v>1245</v>
      </c>
      <c r="D521" s="211"/>
      <c r="E521" s="211"/>
      <c r="F521" s="211"/>
      <c r="G521" s="211"/>
      <c r="H521" s="211"/>
      <c r="I521" s="592"/>
      <c r="J521" s="210"/>
      <c r="K521" s="563">
        <f t="shared" ref="K521:P521" si="485">K$513</f>
        <v>0.91424812065755701</v>
      </c>
      <c r="L521" s="563">
        <f t="shared" si="485"/>
        <v>0.99676973938064706</v>
      </c>
      <c r="M521" s="563">
        <f t="shared" si="485"/>
        <v>1.0449460980596079</v>
      </c>
      <c r="N521" s="563">
        <f t="shared" si="485"/>
        <v>0.9541430240720904</v>
      </c>
      <c r="O521" s="563">
        <f t="shared" si="485"/>
        <v>1.4738536269315416</v>
      </c>
      <c r="P521" s="563">
        <f t="shared" si="485"/>
        <v>1.0134113057116285</v>
      </c>
      <c r="Q521" s="563"/>
      <c r="R521" s="563">
        <f t="shared" ref="R521:W521" si="486">R$513</f>
        <v>9.2206478398387914E-2</v>
      </c>
      <c r="S521" s="563">
        <f t="shared" si="486"/>
        <v>0.14249025843144289</v>
      </c>
      <c r="T521" s="563">
        <f t="shared" si="486"/>
        <v>0.11073420029576293</v>
      </c>
      <c r="U521" s="563">
        <f t="shared" si="486"/>
        <v>0.08</v>
      </c>
      <c r="V521" s="563">
        <f t="shared" si="486"/>
        <v>9.4846007192786297E-2</v>
      </c>
      <c r="W521" s="563">
        <f t="shared" si="486"/>
        <v>0.11050214462025344</v>
      </c>
    </row>
    <row r="522" spans="1:23">
      <c r="B522" t="s">
        <v>1237</v>
      </c>
      <c r="D522" s="211">
        <f>VLOOKUP("3_L_Flow",mm_sum,D$25+1,FALSE)</f>
        <v>-5894</v>
      </c>
      <c r="E522" s="211">
        <f>VLOOKUP("3_L_Flow",mm_sum,E$25+1,FALSE)</f>
        <v>-3306</v>
      </c>
      <c r="F522" s="211">
        <f>VLOOKUP("3_L_Flow",mm_sum,F$25+1,FALSE)</f>
        <v>0</v>
      </c>
      <c r="G522" s="211">
        <f>VLOOKUP("3_L_Flow",mm_sum,G$25+1,FALSE)</f>
        <v>0</v>
      </c>
      <c r="H522" s="211">
        <f>VLOOKUP("3_L_Flow",mm_sum,H$25+1,FALSE)</f>
        <v>0</v>
      </c>
      <c r="I522" s="592">
        <f t="shared" si="480"/>
        <v>-9200</v>
      </c>
      <c r="J522" s="210"/>
      <c r="K522" s="548">
        <f>VLOOKUP("3_L_TN",mm_sum,K$25+1,FALSE)/lb_mton</f>
        <v>27.862551325449601</v>
      </c>
      <c r="L522" s="548">
        <f>VLOOKUP("3_L_TN",mm_sum,L$25+1,FALSE)/lb_mton</f>
        <v>10.48551094775039</v>
      </c>
      <c r="M522" s="548">
        <f>VLOOKUP("3_L_TN",mm_sum,M$25+1,FALSE)/lb_mton</f>
        <v>39.703396364399993</v>
      </c>
      <c r="N522" s="548">
        <f>VLOOKUP("3_L_TN",mm_sum,N$25+1,FALSE)/lb_mton</f>
        <v>0</v>
      </c>
      <c r="O522" s="548">
        <f>VLOOKUP("3_L_TN",mm_sum,O$25+1,FALSE)/lb_mton</f>
        <v>0</v>
      </c>
      <c r="P522" s="548">
        <f t="shared" si="482"/>
        <v>78.051458637599978</v>
      </c>
      <c r="Q522" s="210"/>
      <c r="R522" s="548">
        <f>VLOOKUP("3_L_TP",mm_sum,R$25+1,FALSE)/lb_mton</f>
        <v>5.6628570531962499</v>
      </c>
      <c r="S522" s="548">
        <f>VLOOKUP("3_L_TP",mm_sum,S$25+1,FALSE)/lb_mton</f>
        <v>1.7488427628037482</v>
      </c>
      <c r="T522" s="548">
        <f>VLOOKUP("3_L_TP",mm_sum,T$25+1,FALSE)/lb_mton</f>
        <v>7.027507053199999</v>
      </c>
      <c r="U522" s="548">
        <f>VLOOKUP("3_L_TP",mm_sum,U$25+1,FALSE)/lb_mton</f>
        <v>0</v>
      </c>
      <c r="V522" s="548">
        <f>VLOOKUP("3_L_TP",mm_sum,V$25+1,FALSE)/lb_mton</f>
        <v>0</v>
      </c>
      <c r="W522" s="548">
        <f t="shared" si="484"/>
        <v>14.439206869199996</v>
      </c>
    </row>
    <row r="523" spans="1:23">
      <c r="B523" t="s">
        <v>674</v>
      </c>
      <c r="C523" s="107"/>
      <c r="D523" s="241">
        <f>D520+D522</f>
        <v>216457.6538822767</v>
      </c>
      <c r="E523" s="241">
        <f t="shared" ref="E523:H523" si="487">E520+E522</f>
        <v>432551.92238569196</v>
      </c>
      <c r="F523" s="241">
        <f t="shared" si="487"/>
        <v>587868.25223140384</v>
      </c>
      <c r="G523" s="241">
        <f t="shared" si="487"/>
        <v>296598.44256774255</v>
      </c>
      <c r="H523" s="241">
        <f t="shared" si="487"/>
        <v>61556.099834710752</v>
      </c>
      <c r="I523" s="592">
        <f t="shared" si="480"/>
        <v>1595032.3709018258</v>
      </c>
      <c r="J523" s="242"/>
      <c r="K523" s="561">
        <f>K520-K522</f>
        <v>222.88528803887439</v>
      </c>
      <c r="L523" s="561">
        <f t="shared" ref="L523:O523" si="488">L520-L522</f>
        <v>525.40065820710777</v>
      </c>
      <c r="M523" s="561">
        <f t="shared" si="488"/>
        <v>718.01294653936873</v>
      </c>
      <c r="N523" s="561">
        <f t="shared" si="488"/>
        <v>349.07207270638514</v>
      </c>
      <c r="O523" s="561">
        <f t="shared" si="488"/>
        <v>111.90724623220923</v>
      </c>
      <c r="P523" s="561">
        <f t="shared" si="482"/>
        <v>1927.2782117239451</v>
      </c>
      <c r="Q523" s="242"/>
      <c r="R523" s="561">
        <f>R520-R522</f>
        <v>19.626311949590338</v>
      </c>
      <c r="S523" s="561">
        <f t="shared" ref="S523:V523" si="489">S520-S522</f>
        <v>74.857173367017609</v>
      </c>
      <c r="T523" s="561">
        <f t="shared" si="489"/>
        <v>73.268609118040658</v>
      </c>
      <c r="U523" s="561">
        <f t="shared" si="489"/>
        <v>29.267903356175331</v>
      </c>
      <c r="V523" s="561">
        <f t="shared" si="489"/>
        <v>7.2014990410971302</v>
      </c>
      <c r="W523" s="561">
        <f t="shared" si="484"/>
        <v>204.22149683192106</v>
      </c>
    </row>
    <row r="524" spans="1:23">
      <c r="B524" s="543" t="s">
        <v>675</v>
      </c>
      <c r="C524" s="107"/>
      <c r="D524" s="241"/>
      <c r="E524" s="241"/>
      <c r="F524" s="241"/>
      <c r="G524" s="241"/>
      <c r="H524" s="241"/>
      <c r="I524" s="592"/>
      <c r="J524" s="242"/>
      <c r="K524" s="563">
        <f t="shared" ref="K524:P524" si="490">K523/D523*mtonacft_mgl</f>
        <v>0.83478703789820408</v>
      </c>
      <c r="L524" s="563">
        <f t="shared" si="490"/>
        <v>0.98473552789947383</v>
      </c>
      <c r="M524" s="563">
        <f t="shared" si="490"/>
        <v>0.99019221885502173</v>
      </c>
      <c r="N524" s="563">
        <f t="shared" si="490"/>
        <v>0.9541430240720904</v>
      </c>
      <c r="O524" s="563">
        <f t="shared" si="490"/>
        <v>1.4738536269315414</v>
      </c>
      <c r="P524" s="556">
        <f t="shared" si="490"/>
        <v>0.97958505598542533</v>
      </c>
      <c r="Q524" s="556"/>
      <c r="R524" s="556">
        <f t="shared" ref="R524:W524" si="491">R523/D523*mtonacft_mgl</f>
        <v>7.3507726604221071E-2</v>
      </c>
      <c r="S524" s="556">
        <f t="shared" si="491"/>
        <v>0.14030153366038414</v>
      </c>
      <c r="T524" s="556">
        <f t="shared" si="491"/>
        <v>0.10104275554457015</v>
      </c>
      <c r="U524" s="556">
        <f t="shared" si="491"/>
        <v>0.08</v>
      </c>
      <c r="V524" s="556">
        <f t="shared" si="491"/>
        <v>9.4846007192786297E-2</v>
      </c>
      <c r="W524" s="556">
        <f t="shared" si="491"/>
        <v>0.10380044001461443</v>
      </c>
    </row>
    <row r="525" spans="1:23">
      <c r="B525" s="38" t="s">
        <v>685</v>
      </c>
      <c r="D525" s="550">
        <f>D526-D520</f>
        <v>-5894</v>
      </c>
      <c r="E525" s="550">
        <f t="shared" ref="E525:H525" si="492">E526-E520</f>
        <v>-3306</v>
      </c>
      <c r="F525" s="550">
        <f t="shared" si="492"/>
        <v>0</v>
      </c>
      <c r="G525" s="550">
        <f t="shared" si="492"/>
        <v>0</v>
      </c>
      <c r="H525" s="550">
        <f t="shared" si="492"/>
        <v>0</v>
      </c>
      <c r="I525" s="591">
        <f t="shared" si="480"/>
        <v>-9200</v>
      </c>
      <c r="J525" s="554"/>
      <c r="K525" s="551">
        <f>K520-K526</f>
        <v>27.862551325449573</v>
      </c>
      <c r="L525" s="551">
        <f t="shared" ref="L525:O525" si="493">L520-L526</f>
        <v>10.485510947750413</v>
      </c>
      <c r="M525" s="551">
        <f t="shared" si="493"/>
        <v>39.703396364399964</v>
      </c>
      <c r="N525" s="551">
        <f t="shared" si="493"/>
        <v>0</v>
      </c>
      <c r="O525" s="551">
        <f t="shared" si="493"/>
        <v>0</v>
      </c>
      <c r="P525" s="551">
        <f t="shared" si="482"/>
        <v>78.05145863759995</v>
      </c>
      <c r="Q525" s="554"/>
      <c r="R525" s="551">
        <f>R520-R526</f>
        <v>3.9294422298317286</v>
      </c>
      <c r="S525" s="551">
        <f t="shared" ref="S525:V525" si="494">S520-S526</f>
        <v>1.7488427628037471</v>
      </c>
      <c r="T525" s="551">
        <f t="shared" si="494"/>
        <v>7.0275070532000115</v>
      </c>
      <c r="U525" s="551">
        <f t="shared" si="494"/>
        <v>0</v>
      </c>
      <c r="V525" s="551">
        <f t="shared" si="494"/>
        <v>0</v>
      </c>
      <c r="W525" s="551">
        <f t="shared" si="484"/>
        <v>12.705792045835487</v>
      </c>
    </row>
    <row r="526" spans="1:23">
      <c r="B526" s="38" t="s">
        <v>676</v>
      </c>
      <c r="D526" s="550">
        <f>D523</f>
        <v>216457.6538822767</v>
      </c>
      <c r="E526" s="550">
        <f t="shared" ref="E526:H526" si="495">E523</f>
        <v>432551.92238569196</v>
      </c>
      <c r="F526" s="550">
        <f t="shared" si="495"/>
        <v>587868.25223140384</v>
      </c>
      <c r="G526" s="550">
        <f t="shared" si="495"/>
        <v>296598.44256774255</v>
      </c>
      <c r="H526" s="550">
        <f t="shared" si="495"/>
        <v>61556.099834710752</v>
      </c>
      <c r="I526" s="591">
        <f t="shared" si="480"/>
        <v>1595032.3709018258</v>
      </c>
      <c r="J526" s="210"/>
      <c r="K526" s="551">
        <f>D526*K527/mtonacft_mgl</f>
        <v>222.88528803887442</v>
      </c>
      <c r="L526" s="551">
        <f>E526*L527/mtonacft_mgl</f>
        <v>525.40065820710777</v>
      </c>
      <c r="M526" s="551">
        <f>F526*M527/mtonacft_mgl</f>
        <v>718.01294653936873</v>
      </c>
      <c r="N526" s="551">
        <f>G526*N527/mtonacft_mgl</f>
        <v>349.07207270638514</v>
      </c>
      <c r="O526" s="551">
        <f>H526*O527/mtonacft_mgl</f>
        <v>111.90724623220923</v>
      </c>
      <c r="P526" s="551">
        <f t="shared" ref="P526" si="496">SUM(K526:O526)</f>
        <v>1927.2782117239451</v>
      </c>
      <c r="Q526" s="210"/>
      <c r="R526" s="551">
        <f>D526*R527/mtonacft_mgl</f>
        <v>21.359726772954858</v>
      </c>
      <c r="S526" s="551">
        <f>E526*S527/mtonacft_mgl</f>
        <v>74.857173367017609</v>
      </c>
      <c r="T526" s="551">
        <f>F526*T527/mtonacft_mgl</f>
        <v>73.268609118040644</v>
      </c>
      <c r="U526" s="551">
        <f>G526*U527/mtonacft_mgl</f>
        <v>29.267903356175331</v>
      </c>
      <c r="V526" s="551">
        <f>H526*V527/mtonacft_mgl</f>
        <v>7.2014990410971302</v>
      </c>
      <c r="W526" s="551">
        <f t="shared" ref="W526" si="497">SUM(R526:V526)</f>
        <v>205.95491165528557</v>
      </c>
    </row>
    <row r="527" spans="1:23">
      <c r="B527" s="249" t="s">
        <v>677</v>
      </c>
      <c r="D527" s="211"/>
      <c r="E527" s="211"/>
      <c r="F527" s="211"/>
      <c r="G527" s="211"/>
      <c r="H527" s="211"/>
      <c r="I527" s="211"/>
      <c r="J527" s="210"/>
      <c r="K527" s="555">
        <f>MAX(K524,MIN(TNBase,K521))</f>
        <v>0.83478703789820408</v>
      </c>
      <c r="L527" s="555">
        <f>MAX(L524,MIN(TNBase,L521))</f>
        <v>0.98473552789947383</v>
      </c>
      <c r="M527" s="555">
        <f>MAX(M524,MIN(TNBase,M521))</f>
        <v>0.99019221885502173</v>
      </c>
      <c r="N527" s="555">
        <f>MAX(N524,MIN(TNBase,N521))</f>
        <v>0.9541430240720904</v>
      </c>
      <c r="O527" s="555">
        <f>MAX(O524,MIN(TNBase,O521))</f>
        <v>1.4738536269315414</v>
      </c>
      <c r="P527" s="555">
        <f>P526/I526*mtonacft_mgl</f>
        <v>0.97958505598542533</v>
      </c>
      <c r="Q527" s="556"/>
      <c r="R527" s="555">
        <f>MAX(R524,MIN(TPBase,R521))</f>
        <v>0.08</v>
      </c>
      <c r="S527" s="555">
        <f>MAX(S524,MIN(TPBase,S521))</f>
        <v>0.14030153366038414</v>
      </c>
      <c r="T527" s="555">
        <f>MAX(T524,MIN(TPBase,T521))</f>
        <v>0.10104275554457015</v>
      </c>
      <c r="U527" s="555">
        <f>MAX(U524,MIN(TPBase,U521))</f>
        <v>0.08</v>
      </c>
      <c r="V527" s="555">
        <f>MAX(V524,MIN(TPBase,V521))</f>
        <v>9.4846007192786297E-2</v>
      </c>
      <c r="W527" s="555">
        <f>W526/I526*mtonacft_mgl</f>
        <v>0.104681489385931</v>
      </c>
    </row>
    <row r="530" spans="1:23">
      <c r="A530" s="353" t="s">
        <v>1140</v>
      </c>
      <c r="B530" s="229"/>
      <c r="C530" s="230"/>
      <c r="D530" s="231"/>
      <c r="E530" s="231"/>
      <c r="F530" s="231"/>
      <c r="G530" s="231"/>
      <c r="H530" s="231"/>
      <c r="I530" s="231"/>
      <c r="J530" s="230"/>
      <c r="K530" s="232"/>
      <c r="L530" s="232"/>
      <c r="M530" s="232"/>
      <c r="N530" s="232"/>
      <c r="O530" s="232"/>
      <c r="P530" s="232"/>
      <c r="Q530" s="230"/>
      <c r="R530" s="230"/>
      <c r="S530" s="354"/>
      <c r="T530" s="354"/>
      <c r="U530" s="354"/>
      <c r="V530" s="354"/>
      <c r="W530" s="594" t="s">
        <v>749</v>
      </c>
    </row>
    <row r="532" spans="1:23">
      <c r="D532" s="1440" t="s">
        <v>488</v>
      </c>
      <c r="E532" s="1440"/>
      <c r="F532" s="1440"/>
      <c r="G532" s="1440"/>
      <c r="H532" s="1440"/>
      <c r="I532" s="1440"/>
      <c r="K532" s="1441" t="s">
        <v>1141</v>
      </c>
      <c r="L532" s="1441"/>
      <c r="M532" s="1441"/>
      <c r="N532" s="1441"/>
      <c r="O532" s="1441"/>
      <c r="P532" s="1441"/>
      <c r="R532" s="1442" t="s">
        <v>1142</v>
      </c>
      <c r="S532" s="1442"/>
      <c r="T532" s="1442"/>
      <c r="U532" s="1442"/>
      <c r="V532" s="1442"/>
      <c r="W532" s="1442"/>
    </row>
    <row r="533" spans="1:23">
      <c r="D533" s="363" t="str">
        <f t="shared" ref="D533:I533" si="498">VLOOKUP(D$24,subwatgeog,2,FALSE)</f>
        <v>Coastal</v>
      </c>
      <c r="E533" s="363" t="str">
        <f t="shared" si="498"/>
        <v>Tidal Cal.</v>
      </c>
      <c r="F533" s="363" t="str">
        <f t="shared" si="498"/>
        <v>West Cal.</v>
      </c>
      <c r="G533" s="363" t="str">
        <f t="shared" si="498"/>
        <v>East Cal.</v>
      </c>
      <c r="H533" s="363" t="str">
        <f t="shared" si="498"/>
        <v>S-4</v>
      </c>
      <c r="I533" s="364" t="str">
        <f t="shared" si="498"/>
        <v>Total CRWPP</v>
      </c>
      <c r="K533" s="351" t="str">
        <f t="shared" ref="K533:W533" si="499">VLOOKUP(K$24,subwatgeog,2,FALSE)</f>
        <v>Coastal</v>
      </c>
      <c r="L533" s="351" t="str">
        <f t="shared" si="499"/>
        <v>Tidal Cal.</v>
      </c>
      <c r="M533" s="351" t="str">
        <f t="shared" si="499"/>
        <v>West Cal.</v>
      </c>
      <c r="N533" s="351" t="str">
        <f t="shared" si="499"/>
        <v>East Cal.</v>
      </c>
      <c r="O533" s="351" t="str">
        <f t="shared" si="499"/>
        <v>S-4</v>
      </c>
      <c r="P533" s="355" t="str">
        <f t="shared" si="499"/>
        <v>Total CRWPP</v>
      </c>
      <c r="R533" s="352" t="str">
        <f t="shared" si="499"/>
        <v>Coastal</v>
      </c>
      <c r="S533" s="352" t="str">
        <f t="shared" si="499"/>
        <v>Tidal Cal.</v>
      </c>
      <c r="T533" s="352" t="str">
        <f t="shared" si="499"/>
        <v>West Cal.</v>
      </c>
      <c r="U533" s="352" t="str">
        <f t="shared" si="499"/>
        <v>East Cal.</v>
      </c>
      <c r="V533" s="352" t="str">
        <f t="shared" si="499"/>
        <v>S-4</v>
      </c>
      <c r="W533" s="356" t="str">
        <f t="shared" si="499"/>
        <v>Total CRWPP</v>
      </c>
    </row>
    <row r="534" spans="1:23">
      <c r="B534" t="s">
        <v>720</v>
      </c>
      <c r="D534" s="211">
        <f>D$526</f>
        <v>216457.6538822767</v>
      </c>
      <c r="E534" s="211">
        <f t="shared" ref="E534:H534" si="500">E$526</f>
        <v>432551.92238569196</v>
      </c>
      <c r="F534" s="211">
        <f t="shared" si="500"/>
        <v>587868.25223140384</v>
      </c>
      <c r="G534" s="211">
        <f t="shared" si="500"/>
        <v>296598.44256774255</v>
      </c>
      <c r="H534" s="211">
        <f t="shared" si="500"/>
        <v>61556.099834710752</v>
      </c>
      <c r="I534" s="592">
        <f t="shared" ref="I534:I540" si="501">SUM(D534:H534)</f>
        <v>1595032.3709018258</v>
      </c>
      <c r="J534" s="210"/>
      <c r="K534" s="548">
        <f>K$526</f>
        <v>222.88528803887442</v>
      </c>
      <c r="L534" s="548">
        <f t="shared" ref="L534:O534" si="502">L$526</f>
        <v>525.40065820710777</v>
      </c>
      <c r="M534" s="548">
        <f t="shared" si="502"/>
        <v>718.01294653936873</v>
      </c>
      <c r="N534" s="548">
        <f t="shared" si="502"/>
        <v>349.07207270638514</v>
      </c>
      <c r="O534" s="548">
        <f t="shared" si="502"/>
        <v>111.90724623220923</v>
      </c>
      <c r="P534" s="548">
        <f>SUM(K534:O534)</f>
        <v>1927.2782117239451</v>
      </c>
      <c r="Q534" s="210"/>
      <c r="R534" s="548">
        <f>R$526</f>
        <v>21.359726772954858</v>
      </c>
      <c r="S534" s="548">
        <f t="shared" ref="S534:V534" si="503">S$526</f>
        <v>74.857173367017609</v>
      </c>
      <c r="T534" s="548">
        <f t="shared" si="503"/>
        <v>73.268609118040644</v>
      </c>
      <c r="U534" s="548">
        <f t="shared" si="503"/>
        <v>29.267903356175331</v>
      </c>
      <c r="V534" s="548">
        <f t="shared" si="503"/>
        <v>7.2014990410971302</v>
      </c>
      <c r="W534" s="548">
        <f>SUM(R534:V534)</f>
        <v>205.95491165528557</v>
      </c>
    </row>
    <row r="535" spans="1:23">
      <c r="B535" s="596" t="s">
        <v>1245</v>
      </c>
      <c r="D535" s="211"/>
      <c r="E535" s="211"/>
      <c r="F535" s="211"/>
      <c r="G535" s="211"/>
      <c r="H535" s="211"/>
      <c r="I535" s="592"/>
      <c r="J535" s="210"/>
      <c r="K535" s="563">
        <f t="shared" ref="K535:P535" si="504">K$527</f>
        <v>0.83478703789820408</v>
      </c>
      <c r="L535" s="563">
        <f t="shared" si="504"/>
        <v>0.98473552789947383</v>
      </c>
      <c r="M535" s="563">
        <f t="shared" si="504"/>
        <v>0.99019221885502173</v>
      </c>
      <c r="N535" s="563">
        <f t="shared" si="504"/>
        <v>0.9541430240720904</v>
      </c>
      <c r="O535" s="563">
        <f t="shared" si="504"/>
        <v>1.4738536269315414</v>
      </c>
      <c r="P535" s="563">
        <f t="shared" si="504"/>
        <v>0.97958505598542533</v>
      </c>
      <c r="Q535" s="563"/>
      <c r="R535" s="563">
        <f t="shared" ref="R535:W535" si="505">R$527</f>
        <v>0.08</v>
      </c>
      <c r="S535" s="563">
        <f t="shared" si="505"/>
        <v>0.14030153366038414</v>
      </c>
      <c r="T535" s="563">
        <f t="shared" si="505"/>
        <v>0.10104275554457015</v>
      </c>
      <c r="U535" s="563">
        <f t="shared" si="505"/>
        <v>0.08</v>
      </c>
      <c r="V535" s="563">
        <f t="shared" si="505"/>
        <v>9.4846007192786297E-2</v>
      </c>
      <c r="W535" s="563">
        <f t="shared" si="505"/>
        <v>0.104681489385931</v>
      </c>
    </row>
    <row r="536" spans="1:23">
      <c r="B536" t="s">
        <v>1238</v>
      </c>
      <c r="D536" s="211">
        <f>VLOOKUP("3_R_Flow",mm_sum,D$25+1,FALSE)</f>
        <v>0</v>
      </c>
      <c r="E536" s="211">
        <f>VLOOKUP("3_R_Flow",mm_sum,E$25+1,FALSE)</f>
        <v>0</v>
      </c>
      <c r="F536" s="211">
        <f>VLOOKUP("3_R_Flow",mm_sum,F$25+1,FALSE)</f>
        <v>0</v>
      </c>
      <c r="G536" s="211">
        <f>VLOOKUP("3_R_Flow",mm_sum,G$25+1,FALSE)</f>
        <v>0</v>
      </c>
      <c r="H536" s="211">
        <f>VLOOKUP("3_R_Flow",mm_sum,H$25+1,FALSE)</f>
        <v>0</v>
      </c>
      <c r="I536" s="592">
        <f t="shared" si="501"/>
        <v>0</v>
      </c>
      <c r="J536" s="210"/>
      <c r="K536" s="548">
        <f>VLOOKUP("3_R_TN",mm_sum,K$25+1,FALSE)/lb_mton</f>
        <v>0</v>
      </c>
      <c r="L536" s="548">
        <f>VLOOKUP("3_R_TN",mm_sum,L$25+1,FALSE)/lb_mton</f>
        <v>13.495984153019998</v>
      </c>
      <c r="M536" s="548">
        <f>VLOOKUP("3_R_TN",mm_sum,M$25+1,FALSE)/lb_mton</f>
        <v>183.97743260284918</v>
      </c>
      <c r="N536" s="553">
        <f>VLOOKUP("3_R_TN",mm_sum,N$25+1,FALSE)/lb_mton</f>
        <v>360.71140872717206</v>
      </c>
      <c r="O536" s="548">
        <f>VLOOKUP("3_R_TN",mm_sum,O$25+1,FALSE)/lb_mton</f>
        <v>11.851498514591999</v>
      </c>
      <c r="P536" s="548">
        <f t="shared" ref="P536:P539" si="506">SUM(K536:O536)</f>
        <v>570.03632399763319</v>
      </c>
      <c r="Q536" s="210"/>
      <c r="R536" s="548">
        <f>VLOOKUP("3_R_TP",mm_sum,R$25+1,FALSE)/lb_mton</f>
        <v>0</v>
      </c>
      <c r="S536" s="548">
        <f>VLOOKUP("3_R_TP",mm_sum,S$25+1,FALSE)/lb_mton</f>
        <v>2.8673104210387992</v>
      </c>
      <c r="T536" s="548">
        <f>VLOOKUP("3_R_TP",mm_sum,T$25+1,FALSE)/lb_mton</f>
        <v>36.496031449610726</v>
      </c>
      <c r="U536" s="553">
        <f>VLOOKUP("3_R_TP",mm_sum,U$25+1,FALSE)/lb_mton</f>
        <v>53.660756544758605</v>
      </c>
      <c r="V536" s="548">
        <f>VLOOKUP("3_R_TP",mm_sum,V$25+1,FALSE)/lb_mton</f>
        <v>2.4090972752599993</v>
      </c>
      <c r="W536" s="548">
        <f t="shared" ref="W536:W537" si="507">SUM(R536:V536)</f>
        <v>95.433195690668128</v>
      </c>
    </row>
    <row r="537" spans="1:23">
      <c r="B537" t="s">
        <v>674</v>
      </c>
      <c r="C537" s="107"/>
      <c r="D537" s="241">
        <f>D534+D536</f>
        <v>216457.6538822767</v>
      </c>
      <c r="E537" s="241">
        <f t="shared" ref="E537:H537" si="508">E534+E536</f>
        <v>432551.92238569196</v>
      </c>
      <c r="F537" s="241">
        <f t="shared" si="508"/>
        <v>587868.25223140384</v>
      </c>
      <c r="G537" s="241">
        <f t="shared" si="508"/>
        <v>296598.44256774255</v>
      </c>
      <c r="H537" s="241">
        <f t="shared" si="508"/>
        <v>61556.099834710752</v>
      </c>
      <c r="I537" s="592">
        <f t="shared" si="501"/>
        <v>1595032.3709018258</v>
      </c>
      <c r="J537" s="242"/>
      <c r="K537" s="561">
        <f>K534-K536</f>
        <v>222.88528803887442</v>
      </c>
      <c r="L537" s="561">
        <f t="shared" ref="L537:O537" si="509">L534-L536</f>
        <v>511.90467405408776</v>
      </c>
      <c r="M537" s="561">
        <f t="shared" si="509"/>
        <v>534.03551393651958</v>
      </c>
      <c r="N537" s="562">
        <f t="shared" si="509"/>
        <v>-11.639336020786914</v>
      </c>
      <c r="O537" s="561">
        <f t="shared" si="509"/>
        <v>100.05574771761724</v>
      </c>
      <c r="P537" s="561">
        <f t="shared" si="506"/>
        <v>1357.2418877263121</v>
      </c>
      <c r="Q537" s="242"/>
      <c r="R537" s="561">
        <f>R534-R536</f>
        <v>21.359726772954858</v>
      </c>
      <c r="S537" s="561">
        <f t="shared" ref="S537:V537" si="510">S534-S536</f>
        <v>71.989862945978814</v>
      </c>
      <c r="T537" s="561">
        <f t="shared" si="510"/>
        <v>36.772577668429918</v>
      </c>
      <c r="U537" s="562">
        <f t="shared" si="510"/>
        <v>-24.392853188583274</v>
      </c>
      <c r="V537" s="561">
        <f t="shared" si="510"/>
        <v>4.7924017658371305</v>
      </c>
      <c r="W537" s="561">
        <f t="shared" si="507"/>
        <v>110.52171596461744</v>
      </c>
    </row>
    <row r="538" spans="1:23">
      <c r="B538" s="543" t="s">
        <v>675</v>
      </c>
      <c r="C538" s="107"/>
      <c r="D538" s="241"/>
      <c r="E538" s="241"/>
      <c r="F538" s="241"/>
      <c r="G538" s="241"/>
      <c r="H538" s="241"/>
      <c r="I538" s="592"/>
      <c r="J538" s="242"/>
      <c r="K538" s="563">
        <f t="shared" ref="K538:P538" si="511">K537/D537*mtonacft_mgl</f>
        <v>0.83478703789820408</v>
      </c>
      <c r="L538" s="563">
        <f t="shared" si="511"/>
        <v>0.95944059369669188</v>
      </c>
      <c r="M538" s="563">
        <f t="shared" si="511"/>
        <v>0.73647392159270797</v>
      </c>
      <c r="N538" s="564">
        <f t="shared" si="511"/>
        <v>-3.1814608321319583E-2</v>
      </c>
      <c r="O538" s="563">
        <f t="shared" si="511"/>
        <v>1.3177656642802211</v>
      </c>
      <c r="P538" s="556">
        <f t="shared" si="511"/>
        <v>0.68985051690325472</v>
      </c>
      <c r="Q538" s="556"/>
      <c r="R538" s="556">
        <f t="shared" ref="R538:W538" si="512">R537/D537*mtonacft_mgl</f>
        <v>0.08</v>
      </c>
      <c r="S538" s="556">
        <f t="shared" si="512"/>
        <v>0.13492745885288687</v>
      </c>
      <c r="T538" s="556">
        <f t="shared" si="512"/>
        <v>5.0712066474590749E-2</v>
      </c>
      <c r="U538" s="565">
        <f t="shared" si="512"/>
        <v>-6.6674685621951932E-2</v>
      </c>
      <c r="V538" s="556">
        <f t="shared" si="512"/>
        <v>6.3117438433215725E-2</v>
      </c>
      <c r="W538" s="556">
        <f t="shared" si="512"/>
        <v>5.6175294600545468E-2</v>
      </c>
    </row>
    <row r="539" spans="1:23">
      <c r="B539" s="38" t="s">
        <v>685</v>
      </c>
      <c r="D539" s="550">
        <f>D540-D534</f>
        <v>0</v>
      </c>
      <c r="E539" s="550">
        <f t="shared" ref="E539:H539" si="513">E540-E534</f>
        <v>0</v>
      </c>
      <c r="F539" s="550">
        <f t="shared" si="513"/>
        <v>0</v>
      </c>
      <c r="G539" s="550">
        <f t="shared" si="513"/>
        <v>0</v>
      </c>
      <c r="H539" s="550">
        <f t="shared" si="513"/>
        <v>0</v>
      </c>
      <c r="I539" s="591">
        <f t="shared" si="501"/>
        <v>0</v>
      </c>
      <c r="J539" s="554"/>
      <c r="K539" s="551">
        <f>K534-K540</f>
        <v>0</v>
      </c>
      <c r="L539" s="551">
        <f t="shared" ref="L539:O539" si="514">L534-L540</f>
        <v>13.495984153020004</v>
      </c>
      <c r="M539" s="551">
        <f t="shared" si="514"/>
        <v>137.91309694077586</v>
      </c>
      <c r="N539" s="551">
        <f t="shared" si="514"/>
        <v>56.393039144631814</v>
      </c>
      <c r="O539" s="551">
        <f t="shared" si="514"/>
        <v>11.851498514592009</v>
      </c>
      <c r="P539" s="551">
        <f t="shared" si="506"/>
        <v>219.65361875301969</v>
      </c>
      <c r="Q539" s="554"/>
      <c r="R539" s="551">
        <f>R534-R540</f>
        <v>0</v>
      </c>
      <c r="S539" s="551">
        <f t="shared" ref="S539:V539" si="515">S534-S540</f>
        <v>2.8673104210387947</v>
      </c>
      <c r="T539" s="551">
        <f t="shared" si="515"/>
        <v>15.258624158181362</v>
      </c>
      <c r="U539" s="551">
        <f t="shared" si="515"/>
        <v>0</v>
      </c>
      <c r="V539" s="551">
        <f t="shared" si="515"/>
        <v>1.1272325501869211</v>
      </c>
      <c r="W539" s="551">
        <f t="shared" ref="W539:W540" si="516">SUM(R539:V539)</f>
        <v>19.253167129407078</v>
      </c>
    </row>
    <row r="540" spans="1:23">
      <c r="B540" s="38" t="s">
        <v>676</v>
      </c>
      <c r="D540" s="550">
        <f>D537</f>
        <v>216457.6538822767</v>
      </c>
      <c r="E540" s="550">
        <f t="shared" ref="E540:H540" si="517">E537</f>
        <v>432551.92238569196</v>
      </c>
      <c r="F540" s="550">
        <f t="shared" si="517"/>
        <v>587868.25223140384</v>
      </c>
      <c r="G540" s="550">
        <f t="shared" si="517"/>
        <v>296598.44256774255</v>
      </c>
      <c r="H540" s="550">
        <f t="shared" si="517"/>
        <v>61556.099834710752</v>
      </c>
      <c r="I540" s="591">
        <f t="shared" si="501"/>
        <v>1595032.3709018258</v>
      </c>
      <c r="J540" s="210"/>
      <c r="K540" s="551">
        <f>D540*K541/mtonacft_mgl</f>
        <v>222.88528803887442</v>
      </c>
      <c r="L540" s="551">
        <f>E540*L541/mtonacft_mgl</f>
        <v>511.90467405408776</v>
      </c>
      <c r="M540" s="551">
        <f>F540*M541/mtonacft_mgl</f>
        <v>580.09984959859287</v>
      </c>
      <c r="N540" s="551">
        <f>G540*N541/mtonacft_mgl</f>
        <v>292.67903356175333</v>
      </c>
      <c r="O540" s="551">
        <f>H540*O541/mtonacft_mgl</f>
        <v>100.05574771761722</v>
      </c>
      <c r="P540" s="551">
        <f t="shared" ref="P540" si="518">SUM(K540:O540)</f>
        <v>1707.6245929709257</v>
      </c>
      <c r="Q540" s="210"/>
      <c r="R540" s="551">
        <f>D540*R541/mtonacft_mgl</f>
        <v>21.359726772954858</v>
      </c>
      <c r="S540" s="551">
        <f>E540*S541/mtonacft_mgl</f>
        <v>71.989862945978814</v>
      </c>
      <c r="T540" s="551">
        <f>F540*T541/mtonacft_mgl</f>
        <v>58.009984959859281</v>
      </c>
      <c r="U540" s="551">
        <f>G540*U541/mtonacft_mgl</f>
        <v>29.267903356175331</v>
      </c>
      <c r="V540" s="551">
        <f>H540*V541/mtonacft_mgl</f>
        <v>6.0742664909102091</v>
      </c>
      <c r="W540" s="551">
        <f t="shared" si="516"/>
        <v>186.70174452587852</v>
      </c>
    </row>
    <row r="541" spans="1:23">
      <c r="B541" s="249" t="s">
        <v>677</v>
      </c>
      <c r="D541" s="211"/>
      <c r="E541" s="211"/>
      <c r="F541" s="211"/>
      <c r="G541" s="211"/>
      <c r="H541" s="211"/>
      <c r="I541" s="211"/>
      <c r="J541" s="210"/>
      <c r="K541" s="555">
        <f>MAX(K538,MIN(TNBase,K535))</f>
        <v>0.83478703789820408</v>
      </c>
      <c r="L541" s="555">
        <f>MAX(L538,MIN(TNBase,L535))</f>
        <v>0.95944059369669188</v>
      </c>
      <c r="M541" s="555">
        <f>MAX(M538,MIN(TNBase,M535))</f>
        <v>0.8</v>
      </c>
      <c r="N541" s="555">
        <f>MAX(N538,MIN(TNBase,N535))</f>
        <v>0.8</v>
      </c>
      <c r="O541" s="555">
        <f>MAX(O538,MIN(TNBase,O535))</f>
        <v>1.3177656642802211</v>
      </c>
      <c r="P541" s="555">
        <f>P540/I540*mtonacft_mgl</f>
        <v>0.86794087243441154</v>
      </c>
      <c r="Q541" s="556"/>
      <c r="R541" s="555">
        <f>MAX(R538,MIN(TPBase,R535))</f>
        <v>0.08</v>
      </c>
      <c r="S541" s="555">
        <f>MAX(S538,MIN(TPBase,S535))</f>
        <v>0.13492745885288687</v>
      </c>
      <c r="T541" s="555">
        <f>MAX(T538,MIN(TPBase,T535))</f>
        <v>0.08</v>
      </c>
      <c r="U541" s="555">
        <f>MAX(U538,MIN(TPBase,U535))</f>
        <v>0.08</v>
      </c>
      <c r="V541" s="555">
        <f>MAX(V538,MIN(TPBase,V535))</f>
        <v>0.08</v>
      </c>
      <c r="W541" s="555">
        <f>W540/I540*mtonacft_mgl</f>
        <v>9.4895608610842175E-2</v>
      </c>
    </row>
    <row r="544" spans="1:23">
      <c r="A544" s="353" t="s">
        <v>1143</v>
      </c>
      <c r="B544" s="229"/>
      <c r="C544" s="230"/>
      <c r="D544" s="231"/>
      <c r="E544" s="231"/>
      <c r="F544" s="231"/>
      <c r="G544" s="231"/>
      <c r="H544" s="231"/>
      <c r="I544" s="231"/>
      <c r="J544" s="230"/>
      <c r="K544" s="232"/>
      <c r="L544" s="232"/>
      <c r="M544" s="232"/>
      <c r="N544" s="232"/>
      <c r="O544" s="232"/>
      <c r="P544" s="232"/>
      <c r="Q544" s="230"/>
      <c r="R544" s="230"/>
      <c r="S544" s="354"/>
      <c r="T544" s="354"/>
      <c r="U544" s="354"/>
      <c r="V544" s="354"/>
      <c r="W544" s="594" t="s">
        <v>754</v>
      </c>
    </row>
    <row r="546" spans="1:23">
      <c r="D546" s="1440" t="s">
        <v>488</v>
      </c>
      <c r="E546" s="1440"/>
      <c r="F546" s="1440"/>
      <c r="G546" s="1440"/>
      <c r="H546" s="1440"/>
      <c r="I546" s="1440"/>
      <c r="K546" s="1441" t="s">
        <v>1144</v>
      </c>
      <c r="L546" s="1441"/>
      <c r="M546" s="1441"/>
      <c r="N546" s="1441"/>
      <c r="O546" s="1441"/>
      <c r="P546" s="1441"/>
      <c r="R546" s="1442" t="s">
        <v>1145</v>
      </c>
      <c r="S546" s="1442"/>
      <c r="T546" s="1442"/>
      <c r="U546" s="1442"/>
      <c r="V546" s="1442"/>
      <c r="W546" s="1442"/>
    </row>
    <row r="547" spans="1:23">
      <c r="D547" s="363" t="str">
        <f t="shared" ref="D547:I547" si="519">VLOOKUP(D$24,subwatgeog,2,FALSE)</f>
        <v>Coastal</v>
      </c>
      <c r="E547" s="363" t="str">
        <f t="shared" si="519"/>
        <v>Tidal Cal.</v>
      </c>
      <c r="F547" s="363" t="str">
        <f t="shared" si="519"/>
        <v>West Cal.</v>
      </c>
      <c r="G547" s="363" t="str">
        <f t="shared" si="519"/>
        <v>East Cal.</v>
      </c>
      <c r="H547" s="363" t="str">
        <f t="shared" si="519"/>
        <v>S-4</v>
      </c>
      <c r="I547" s="364" t="str">
        <f t="shared" si="519"/>
        <v>Total CRWPP</v>
      </c>
      <c r="K547" s="351" t="str">
        <f t="shared" ref="K547:W547" si="520">VLOOKUP(K$24,subwatgeog,2,FALSE)</f>
        <v>Coastal</v>
      </c>
      <c r="L547" s="351" t="str">
        <f t="shared" si="520"/>
        <v>Tidal Cal.</v>
      </c>
      <c r="M547" s="351" t="str">
        <f t="shared" si="520"/>
        <v>West Cal.</v>
      </c>
      <c r="N547" s="351" t="str">
        <f t="shared" si="520"/>
        <v>East Cal.</v>
      </c>
      <c r="O547" s="351" t="str">
        <f t="shared" si="520"/>
        <v>S-4</v>
      </c>
      <c r="P547" s="355" t="str">
        <f t="shared" si="520"/>
        <v>Total CRWPP</v>
      </c>
      <c r="R547" s="352" t="str">
        <f t="shared" si="520"/>
        <v>Coastal</v>
      </c>
      <c r="S547" s="352" t="str">
        <f t="shared" si="520"/>
        <v>Tidal Cal.</v>
      </c>
      <c r="T547" s="352" t="str">
        <f t="shared" si="520"/>
        <v>West Cal.</v>
      </c>
      <c r="U547" s="352" t="str">
        <f t="shared" si="520"/>
        <v>East Cal.</v>
      </c>
      <c r="V547" s="352" t="str">
        <f t="shared" si="520"/>
        <v>S-4</v>
      </c>
      <c r="W547" s="356" t="str">
        <f t="shared" si="520"/>
        <v>Total CRWPP</v>
      </c>
    </row>
    <row r="548" spans="1:23">
      <c r="B548" t="s">
        <v>720</v>
      </c>
      <c r="D548" s="211">
        <f xml:space="preserve"> D$540</f>
        <v>216457.6538822767</v>
      </c>
      <c r="E548" s="211">
        <f xml:space="preserve"> E$540</f>
        <v>432551.92238569196</v>
      </c>
      <c r="F548" s="211">
        <f xml:space="preserve"> F$540</f>
        <v>587868.25223140384</v>
      </c>
      <c r="G548" s="211">
        <f xml:space="preserve"> G$540</f>
        <v>296598.44256774255</v>
      </c>
      <c r="H548" s="211">
        <f xml:space="preserve"> H$540</f>
        <v>61556.099834710752</v>
      </c>
      <c r="I548" s="592">
        <f t="shared" ref="I548:I551" si="521">SUM(D548:H548)</f>
        <v>1595032.3709018258</v>
      </c>
      <c r="J548" s="210"/>
      <c r="K548" s="548">
        <f>K$540</f>
        <v>222.88528803887442</v>
      </c>
      <c r="L548" s="548">
        <f>L$540</f>
        <v>511.90467405408776</v>
      </c>
      <c r="M548" s="548">
        <f>M$540</f>
        <v>580.09984959859287</v>
      </c>
      <c r="N548" s="548">
        <f>N$540</f>
        <v>292.67903356175333</v>
      </c>
      <c r="O548" s="548">
        <f>O$540</f>
        <v>100.05574771761722</v>
      </c>
      <c r="P548" s="210">
        <f>SUM(K548:O548)</f>
        <v>1707.6245929709257</v>
      </c>
      <c r="Q548" s="210"/>
      <c r="R548" s="548">
        <f>R$540</f>
        <v>21.359726772954858</v>
      </c>
      <c r="S548" s="548">
        <f>S$540</f>
        <v>71.989862945978814</v>
      </c>
      <c r="T548" s="548">
        <f>T$540</f>
        <v>58.009984959859281</v>
      </c>
      <c r="U548" s="548">
        <f>U$540</f>
        <v>29.267903356175331</v>
      </c>
      <c r="V548" s="548">
        <f>V$540</f>
        <v>6.0742664909102091</v>
      </c>
      <c r="W548" s="210">
        <f>SUM(R548:V548)</f>
        <v>186.70174452587852</v>
      </c>
    </row>
    <row r="549" spans="1:23">
      <c r="B549" s="596" t="s">
        <v>1245</v>
      </c>
      <c r="D549" s="211"/>
      <c r="E549" s="211"/>
      <c r="F549" s="211"/>
      <c r="G549" s="211"/>
      <c r="H549" s="211"/>
      <c r="I549" s="592"/>
      <c r="J549" s="210"/>
      <c r="K549" s="563">
        <f t="shared" ref="K549:P549" si="522">K$541</f>
        <v>0.83478703789820408</v>
      </c>
      <c r="L549" s="563">
        <f t="shared" si="522"/>
        <v>0.95944059369669188</v>
      </c>
      <c r="M549" s="563">
        <f t="shared" si="522"/>
        <v>0.8</v>
      </c>
      <c r="N549" s="563">
        <f t="shared" si="522"/>
        <v>0.8</v>
      </c>
      <c r="O549" s="563">
        <f t="shared" si="522"/>
        <v>1.3177656642802211</v>
      </c>
      <c r="P549" s="563">
        <f t="shared" si="522"/>
        <v>0.86794087243441154</v>
      </c>
      <c r="Q549" s="563"/>
      <c r="R549" s="563">
        <f t="shared" ref="R549:W549" si="523">R$541</f>
        <v>0.08</v>
      </c>
      <c r="S549" s="563">
        <f t="shared" si="523"/>
        <v>0.13492745885288687</v>
      </c>
      <c r="T549" s="563">
        <f t="shared" si="523"/>
        <v>0.08</v>
      </c>
      <c r="U549" s="563">
        <f t="shared" si="523"/>
        <v>0.08</v>
      </c>
      <c r="V549" s="563">
        <f t="shared" si="523"/>
        <v>0.08</v>
      </c>
      <c r="W549" s="563">
        <f t="shared" si="523"/>
        <v>9.4895608610842175E-2</v>
      </c>
    </row>
    <row r="550" spans="1:23">
      <c r="B550" t="s">
        <v>1236</v>
      </c>
      <c r="D550" s="211"/>
      <c r="E550" s="211"/>
      <c r="F550" s="211"/>
      <c r="G550" s="211"/>
      <c r="H550" s="211"/>
      <c r="I550" s="592"/>
      <c r="J550" s="210"/>
      <c r="K550" s="322">
        <f>VLOOKUP(K$25,parchemtrt,3,FALSE)/1000</f>
        <v>0</v>
      </c>
      <c r="L550" s="322">
        <f>VLOOKUP(L$25,parchemtrt,3,FALSE)/1000</f>
        <v>13.78462558336126</v>
      </c>
      <c r="M550" s="322">
        <f>VLOOKUP(M$25,parchemtrt,3,FALSE)/1000</f>
        <v>14.147409031857954</v>
      </c>
      <c r="N550" s="322">
        <f>VLOOKUP(N$25,parchemtrt,3,FALSE)/1000</f>
        <v>3.4632195958265957</v>
      </c>
      <c r="O550" s="322">
        <f>VLOOKUP(O$25,parchemtrt,3,FALSE)/1000</f>
        <v>0</v>
      </c>
      <c r="P550" s="322">
        <f t="shared" ref="P550:P551" si="524">SUM(K550:O550)</f>
        <v>31.39525421104581</v>
      </c>
      <c r="Q550" s="322"/>
      <c r="R550" s="322">
        <f>VLOOKUP(R$25,parchemtrt,2,FALSE)/1000</f>
        <v>0</v>
      </c>
      <c r="S550" s="322">
        <f>VLOOKUP(S$25,parchemtrt,2,FALSE)/1000</f>
        <v>2.6427326025184956</v>
      </c>
      <c r="T550" s="322">
        <f>VLOOKUP(T$25,parchemtrt,2,FALSE)/1000</f>
        <v>2.585921531406064</v>
      </c>
      <c r="U550" s="322">
        <f>VLOOKUP(U$25,parchemtrt,2,FALSE)/1000</f>
        <v>0.63463968807958182</v>
      </c>
      <c r="V550" s="322">
        <f>VLOOKUP(V$25,parchemtrt,2,FALSE)/1000</f>
        <v>0</v>
      </c>
      <c r="W550" s="548">
        <f>SUM(R550:V550)</f>
        <v>5.8632938220041408</v>
      </c>
    </row>
    <row r="551" spans="1:23">
      <c r="B551" t="s">
        <v>674</v>
      </c>
      <c r="C551" s="107"/>
      <c r="D551" s="241">
        <f>D548</f>
        <v>216457.6538822767</v>
      </c>
      <c r="E551" s="241">
        <f t="shared" ref="E551:H551" si="525">E548</f>
        <v>432551.92238569196</v>
      </c>
      <c r="F551" s="241">
        <f t="shared" si="525"/>
        <v>587868.25223140384</v>
      </c>
      <c r="G551" s="241">
        <f t="shared" si="525"/>
        <v>296598.44256774255</v>
      </c>
      <c r="H551" s="241">
        <f t="shared" si="525"/>
        <v>61556.099834710752</v>
      </c>
      <c r="I551" s="592">
        <f t="shared" si="521"/>
        <v>1595032.3709018258</v>
      </c>
      <c r="J551" s="242"/>
      <c r="K551" s="561">
        <f>K548-K550</f>
        <v>222.88528803887442</v>
      </c>
      <c r="L551" s="561">
        <f t="shared" ref="L551:O551" si="526">L548-L550</f>
        <v>498.12004847072649</v>
      </c>
      <c r="M551" s="561">
        <f t="shared" si="526"/>
        <v>565.95244056673494</v>
      </c>
      <c r="N551" s="561">
        <f t="shared" si="526"/>
        <v>289.21581396592671</v>
      </c>
      <c r="O551" s="561">
        <f t="shared" si="526"/>
        <v>100.05574771761722</v>
      </c>
      <c r="P551" s="561">
        <f t="shared" si="524"/>
        <v>1676.2293387598797</v>
      </c>
      <c r="Q551" s="242"/>
      <c r="R551" s="561">
        <f>R548-R550</f>
        <v>21.359726772954858</v>
      </c>
      <c r="S551" s="561">
        <f t="shared" ref="S551:V551" si="527">S548-S550</f>
        <v>69.347130343460321</v>
      </c>
      <c r="T551" s="561">
        <f t="shared" si="527"/>
        <v>55.424063428453216</v>
      </c>
      <c r="U551" s="561">
        <f t="shared" si="527"/>
        <v>28.633263668095751</v>
      </c>
      <c r="V551" s="561">
        <f t="shared" si="527"/>
        <v>6.0742664909102091</v>
      </c>
      <c r="W551" s="561">
        <f t="shared" ref="W551" si="528">SUM(R551:V551)</f>
        <v>180.83845070387437</v>
      </c>
    </row>
    <row r="552" spans="1:23">
      <c r="B552" s="543" t="s">
        <v>675</v>
      </c>
      <c r="C552" s="107"/>
      <c r="D552" s="241"/>
      <c r="E552" s="241"/>
      <c r="F552" s="241"/>
      <c r="G552" s="241"/>
      <c r="H552" s="241"/>
      <c r="I552" s="592"/>
      <c r="J552" s="242"/>
      <c r="K552" s="556">
        <f t="shared" ref="K552:P552" si="529">K551/D551*mtonacft_mgl</f>
        <v>0.83478703789820408</v>
      </c>
      <c r="L552" s="556">
        <f t="shared" si="529"/>
        <v>0.93360467145584647</v>
      </c>
      <c r="M552" s="556">
        <f t="shared" si="529"/>
        <v>0.78048969115693134</v>
      </c>
      <c r="N552" s="556">
        <f t="shared" si="529"/>
        <v>0.79053374051791547</v>
      </c>
      <c r="O552" s="556">
        <f t="shared" si="529"/>
        <v>1.3177656642802209</v>
      </c>
      <c r="P552" s="556">
        <f t="shared" si="529"/>
        <v>0.85198348669377444</v>
      </c>
      <c r="Q552" s="556"/>
      <c r="R552" s="556">
        <f t="shared" ref="R552:W552" si="530">R551/D551*mtonacft_mgl</f>
        <v>0.08</v>
      </c>
      <c r="S552" s="556">
        <f t="shared" si="530"/>
        <v>0.12997430045122313</v>
      </c>
      <c r="T552" s="556">
        <f t="shared" si="530"/>
        <v>7.6433825613717463E-2</v>
      </c>
      <c r="U552" s="556">
        <f t="shared" si="530"/>
        <v>7.8265295110875988E-2</v>
      </c>
      <c r="V552" s="556">
        <f t="shared" si="530"/>
        <v>8.0000000000000016E-2</v>
      </c>
      <c r="W552" s="556">
        <f t="shared" si="530"/>
        <v>9.1915449870942703E-2</v>
      </c>
    </row>
    <row r="553" spans="1:23">
      <c r="B553" s="38" t="s">
        <v>685</v>
      </c>
      <c r="D553" s="550"/>
      <c r="E553" s="550"/>
      <c r="F553" s="550"/>
      <c r="G553" s="550"/>
      <c r="H553" s="550"/>
      <c r="I553" s="591"/>
      <c r="J553" s="554"/>
      <c r="K553" s="551">
        <f t="shared" ref="K553:O553" si="531">K548-K554</f>
        <v>0</v>
      </c>
      <c r="L553" s="551">
        <f t="shared" si="531"/>
        <v>13.784625583361276</v>
      </c>
      <c r="M553" s="551">
        <f t="shared" si="531"/>
        <v>0</v>
      </c>
      <c r="N553" s="551">
        <f t="shared" si="531"/>
        <v>0</v>
      </c>
      <c r="O553" s="551">
        <f t="shared" si="531"/>
        <v>0</v>
      </c>
      <c r="P553" s="551">
        <f t="shared" ref="P553:P554" si="532">SUM(K553:O553)</f>
        <v>13.784625583361276</v>
      </c>
      <c r="Q553" s="554"/>
      <c r="R553" s="551">
        <f t="shared" ref="R553:V553" si="533">R548-R554</f>
        <v>0</v>
      </c>
      <c r="S553" s="551">
        <f t="shared" si="533"/>
        <v>2.6427326025184925</v>
      </c>
      <c r="T553" s="551">
        <f t="shared" si="533"/>
        <v>0</v>
      </c>
      <c r="U553" s="551">
        <f t="shared" si="533"/>
        <v>0</v>
      </c>
      <c r="V553" s="551">
        <f t="shared" si="533"/>
        <v>0</v>
      </c>
      <c r="W553" s="551">
        <f t="shared" ref="W553:W554" si="534">SUM(R553:V553)</f>
        <v>2.6427326025184925</v>
      </c>
    </row>
    <row r="554" spans="1:23">
      <c r="B554" s="38" t="s">
        <v>676</v>
      </c>
      <c r="D554" s="550">
        <f>D551</f>
        <v>216457.6538822767</v>
      </c>
      <c r="E554" s="550">
        <f t="shared" ref="E554:H554" si="535">E551</f>
        <v>432551.92238569196</v>
      </c>
      <c r="F554" s="550">
        <f t="shared" si="535"/>
        <v>587868.25223140384</v>
      </c>
      <c r="G554" s="550">
        <f t="shared" si="535"/>
        <v>296598.44256774255</v>
      </c>
      <c r="H554" s="550">
        <f t="shared" si="535"/>
        <v>61556.099834710752</v>
      </c>
      <c r="I554" s="591">
        <f t="shared" ref="I554" si="536">SUM(D554:H554)</f>
        <v>1595032.3709018258</v>
      </c>
      <c r="J554" s="210"/>
      <c r="K554" s="551">
        <f>D554*K555/mtonacft_mgl</f>
        <v>222.88528803887442</v>
      </c>
      <c r="L554" s="551">
        <f>E554*L555/mtonacft_mgl</f>
        <v>498.12004847072649</v>
      </c>
      <c r="M554" s="551">
        <f>F554*M555/mtonacft_mgl</f>
        <v>580.09984959859287</v>
      </c>
      <c r="N554" s="551">
        <f>G554*N555/mtonacft_mgl</f>
        <v>292.67903356175333</v>
      </c>
      <c r="O554" s="551">
        <f>H554*O555/mtonacft_mgl</f>
        <v>100.05574771761721</v>
      </c>
      <c r="P554" s="551">
        <f t="shared" si="532"/>
        <v>1693.8399673875642</v>
      </c>
      <c r="Q554" s="210"/>
      <c r="R554" s="551">
        <f>D554*R555/mtonacft_mgl</f>
        <v>21.359726772954858</v>
      </c>
      <c r="S554" s="551">
        <f>E554*S555/mtonacft_mgl</f>
        <v>69.347130343460321</v>
      </c>
      <c r="T554" s="551">
        <f>F554*T555/mtonacft_mgl</f>
        <v>58.009984959859281</v>
      </c>
      <c r="U554" s="551">
        <f>G554*U555/mtonacft_mgl</f>
        <v>29.267903356175331</v>
      </c>
      <c r="V554" s="551">
        <f>H554*V555/mtonacft_mgl</f>
        <v>6.07426649091021</v>
      </c>
      <c r="W554" s="551">
        <f t="shared" si="534"/>
        <v>184.05901192336003</v>
      </c>
    </row>
    <row r="555" spans="1:23">
      <c r="B555" s="249" t="s">
        <v>677</v>
      </c>
      <c r="D555" s="211"/>
      <c r="E555" s="211"/>
      <c r="F555" s="211"/>
      <c r="G555" s="211"/>
      <c r="H555" s="211"/>
      <c r="I555" s="211"/>
      <c r="J555" s="210"/>
      <c r="K555" s="555">
        <f>MAX(K552,MIN(TNBase,K549))</f>
        <v>0.83478703789820408</v>
      </c>
      <c r="L555" s="555">
        <f>MAX(L552,MIN(TNBase,L549))</f>
        <v>0.93360467145584647</v>
      </c>
      <c r="M555" s="555">
        <f>MAX(M552,MIN(TNBase,M549))</f>
        <v>0.8</v>
      </c>
      <c r="N555" s="555">
        <f>MAX(N552,MIN(TNBase,N549))</f>
        <v>0.8</v>
      </c>
      <c r="O555" s="555">
        <f>MAX(O552,MIN(TNBase,O549))</f>
        <v>1.3177656642802209</v>
      </c>
      <c r="P555" s="555">
        <f>P554/I554*mtonacft_mgl</f>
        <v>0.86093450815255901</v>
      </c>
      <c r="Q555" s="556"/>
      <c r="R555" s="555">
        <f>MAX(R552,MIN(TPBase,R549))</f>
        <v>0.08</v>
      </c>
      <c r="S555" s="555">
        <f>MAX(S552,MIN(TPBase,S549))</f>
        <v>0.12997430045122313</v>
      </c>
      <c r="T555" s="555">
        <f>MAX(T552,MIN(TPBase,T549))</f>
        <v>0.08</v>
      </c>
      <c r="U555" s="555">
        <f>MAX(U552,MIN(TPBase,U549))</f>
        <v>0.08</v>
      </c>
      <c r="V555" s="555">
        <f>MAX(V552,MIN(TPBase,V549))</f>
        <v>8.0000000000000016E-2</v>
      </c>
      <c r="W555" s="555">
        <f>W554/I554*mtonacft_mgl</f>
        <v>9.3552376819684771E-2</v>
      </c>
    </row>
    <row r="558" spans="1:23">
      <c r="A558" s="353" t="s">
        <v>1146</v>
      </c>
      <c r="B558" s="229"/>
      <c r="C558" s="230"/>
      <c r="D558" s="231"/>
      <c r="E558" s="231"/>
      <c r="F558" s="231"/>
      <c r="G558" s="231"/>
      <c r="H558" s="231"/>
      <c r="I558" s="231"/>
      <c r="J558" s="230"/>
      <c r="K558" s="232"/>
      <c r="L558" s="232"/>
      <c r="M558" s="232"/>
      <c r="N558" s="232"/>
      <c r="O558" s="232"/>
      <c r="P558" s="232"/>
      <c r="Q558" s="230"/>
      <c r="R558" s="230"/>
      <c r="S558" s="354"/>
      <c r="T558" s="354"/>
      <c r="U558" s="354"/>
      <c r="V558" s="354"/>
      <c r="W558" s="594" t="s">
        <v>1147</v>
      </c>
    </row>
    <row r="560" spans="1:23">
      <c r="D560" s="1440" t="s">
        <v>688</v>
      </c>
      <c r="E560" s="1440"/>
      <c r="F560" s="1440"/>
      <c r="G560" s="1440"/>
      <c r="H560" s="1440"/>
      <c r="I560" s="1440"/>
      <c r="K560" s="1441" t="s">
        <v>689</v>
      </c>
      <c r="L560" s="1441"/>
      <c r="M560" s="1441"/>
      <c r="N560" s="1441"/>
      <c r="O560" s="1441"/>
      <c r="P560" s="1441"/>
      <c r="R560" s="1442" t="s">
        <v>690</v>
      </c>
      <c r="S560" s="1442"/>
      <c r="T560" s="1442"/>
      <c r="U560" s="1442"/>
      <c r="V560" s="1442"/>
      <c r="W560" s="1442"/>
    </row>
    <row r="561" spans="1:23">
      <c r="D561" s="363" t="str">
        <f t="shared" ref="D561:I561" si="537">VLOOKUP(D$24,subwatgeog,2,FALSE)</f>
        <v>Coastal</v>
      </c>
      <c r="E561" s="363" t="str">
        <f t="shared" si="537"/>
        <v>Tidal Cal.</v>
      </c>
      <c r="F561" s="363" t="str">
        <f t="shared" si="537"/>
        <v>West Cal.</v>
      </c>
      <c r="G561" s="363" t="str">
        <f t="shared" si="537"/>
        <v>East Cal.</v>
      </c>
      <c r="H561" s="363" t="str">
        <f t="shared" si="537"/>
        <v>S-4</v>
      </c>
      <c r="I561" s="364" t="str">
        <f t="shared" si="537"/>
        <v>Total CRWPP</v>
      </c>
      <c r="K561" s="351" t="str">
        <f t="shared" ref="K561:W561" si="538">VLOOKUP(K$24,subwatgeog,2,FALSE)</f>
        <v>Coastal</v>
      </c>
      <c r="L561" s="351" t="str">
        <f t="shared" si="538"/>
        <v>Tidal Cal.</v>
      </c>
      <c r="M561" s="351" t="str">
        <f t="shared" si="538"/>
        <v>West Cal.</v>
      </c>
      <c r="N561" s="351" t="str">
        <f t="shared" si="538"/>
        <v>East Cal.</v>
      </c>
      <c r="O561" s="351" t="str">
        <f t="shared" si="538"/>
        <v>S-4</v>
      </c>
      <c r="P561" s="355" t="str">
        <f t="shared" si="538"/>
        <v>Total CRWPP</v>
      </c>
      <c r="R561" s="352" t="str">
        <f t="shared" si="538"/>
        <v>Coastal</v>
      </c>
      <c r="S561" s="352" t="str">
        <f t="shared" si="538"/>
        <v>Tidal Cal.</v>
      </c>
      <c r="T561" s="352" t="str">
        <f t="shared" si="538"/>
        <v>West Cal.</v>
      </c>
      <c r="U561" s="352" t="str">
        <f t="shared" si="538"/>
        <v>East Cal.</v>
      </c>
      <c r="V561" s="352" t="str">
        <f t="shared" si="538"/>
        <v>S-4</v>
      </c>
      <c r="W561" s="356" t="str">
        <f t="shared" si="538"/>
        <v>Total CRWPP</v>
      </c>
    </row>
    <row r="562" spans="1:23">
      <c r="B562" t="s">
        <v>720</v>
      </c>
      <c r="D562" s="241">
        <f>D$409</f>
        <v>222351.6538822767</v>
      </c>
      <c r="E562" s="241">
        <f t="shared" ref="E562:H562" si="539">E$409</f>
        <v>435972.92238569196</v>
      </c>
      <c r="F562" s="241">
        <f t="shared" si="539"/>
        <v>592268.25223140384</v>
      </c>
      <c r="G562" s="241">
        <f t="shared" si="539"/>
        <v>298888.44256774255</v>
      </c>
      <c r="H562" s="241">
        <f t="shared" si="539"/>
        <v>61586.099834710752</v>
      </c>
      <c r="I562" s="211">
        <f>SUM(D562:H562)</f>
        <v>1611067.3709018258</v>
      </c>
      <c r="J562" s="210"/>
      <c r="K562" s="548">
        <f>K$409</f>
        <v>271.74206210926337</v>
      </c>
      <c r="L562" s="548">
        <f t="shared" ref="L562:O562" si="540">L$409</f>
        <v>588.58968330562345</v>
      </c>
      <c r="M562" s="548">
        <f t="shared" si="540"/>
        <v>794.06012217489649</v>
      </c>
      <c r="N562" s="548">
        <f t="shared" si="540"/>
        <v>364.54224039475059</v>
      </c>
      <c r="O562" s="548">
        <f t="shared" si="540"/>
        <v>116.45279390912391</v>
      </c>
      <c r="P562" s="548">
        <f t="shared" ref="P562:P572" si="541">SUM(K562:O562)</f>
        <v>2135.386901893658</v>
      </c>
      <c r="Q562" s="210"/>
      <c r="R562" s="548">
        <f>R$409</f>
        <v>28.319589459756752</v>
      </c>
      <c r="S562" s="548">
        <f t="shared" ref="S562:V562" si="542">S$409</f>
        <v>86.206900525325949</v>
      </c>
      <c r="T562" s="548">
        <f t="shared" si="542"/>
        <v>84.753457838967307</v>
      </c>
      <c r="U562" s="548">
        <f t="shared" si="542"/>
        <v>29.493877228814036</v>
      </c>
      <c r="V562" s="548">
        <f t="shared" si="542"/>
        <v>7.6158275993004159</v>
      </c>
      <c r="W562" s="548">
        <f t="shared" ref="W562:W570" si="543">SUM(R562:V562)</f>
        <v>236.38965265216444</v>
      </c>
    </row>
    <row r="563" spans="1:23">
      <c r="B563" s="269" t="s">
        <v>947</v>
      </c>
      <c r="D563" s="241"/>
      <c r="E563" s="241"/>
      <c r="F563" s="241"/>
      <c r="G563" s="241"/>
      <c r="H563" s="241"/>
      <c r="I563" s="211"/>
      <c r="J563" s="210"/>
      <c r="K563" s="548">
        <f>K$495</f>
        <v>16.523000464148339</v>
      </c>
      <c r="L563" s="548">
        <f t="shared" ref="L563:O563" si="544">L$495</f>
        <v>30.788118169109552</v>
      </c>
      <c r="M563" s="548">
        <f t="shared" si="544"/>
        <v>7.9550685827768941</v>
      </c>
      <c r="N563" s="548">
        <f t="shared" si="544"/>
        <v>1.4177618588494461</v>
      </c>
      <c r="O563" s="548">
        <f t="shared" si="544"/>
        <v>1.7453480855223598</v>
      </c>
      <c r="P563" s="548">
        <f t="shared" si="541"/>
        <v>58.429297160406591</v>
      </c>
      <c r="Q563" s="210"/>
      <c r="R563" s="548">
        <f>R$495</f>
        <v>2.2412302569588922</v>
      </c>
      <c r="S563" s="548">
        <f t="shared" ref="S563:V563" si="545">S$495</f>
        <v>5.8053822912795345</v>
      </c>
      <c r="T563" s="548">
        <f t="shared" si="545"/>
        <v>1.0873237885245897</v>
      </c>
      <c r="U563" s="548">
        <f t="shared" si="545"/>
        <v>0</v>
      </c>
      <c r="V563" s="548">
        <f t="shared" si="545"/>
        <v>0.27204977799986962</v>
      </c>
      <c r="W563" s="548">
        <f t="shared" si="543"/>
        <v>9.4059861147628858</v>
      </c>
    </row>
    <row r="564" spans="1:23">
      <c r="B564" s="269" t="s">
        <v>948</v>
      </c>
      <c r="D564" s="211"/>
      <c r="E564" s="211"/>
      <c r="F564" s="211"/>
      <c r="G564" s="211"/>
      <c r="H564" s="211"/>
      <c r="I564" s="211"/>
      <c r="J564" s="210"/>
      <c r="K564" s="548">
        <f>K$496</f>
        <v>4.4712222807910367</v>
      </c>
      <c r="L564" s="548">
        <f t="shared" ref="L564:O564" si="546">L$496</f>
        <v>21.780004085865254</v>
      </c>
      <c r="M564" s="548">
        <f t="shared" si="546"/>
        <v>20.390760809940971</v>
      </c>
      <c r="N564" s="548">
        <f t="shared" si="546"/>
        <v>11.236888370108121</v>
      </c>
      <c r="O564" s="548">
        <f t="shared" si="546"/>
        <v>2.7614140770634275</v>
      </c>
      <c r="P564" s="548">
        <f t="shared" si="541"/>
        <v>60.640289623768808</v>
      </c>
      <c r="Q564" s="210"/>
      <c r="R564" s="548">
        <f>R$496</f>
        <v>0.78919020001127349</v>
      </c>
      <c r="S564" s="548">
        <f t="shared" ref="S564:V564" si="547">S$496</f>
        <v>3.7841540713196298</v>
      </c>
      <c r="T564" s="548">
        <f t="shared" si="547"/>
        <v>2.8552165465089376</v>
      </c>
      <c r="U564" s="548">
        <f t="shared" si="547"/>
        <v>0</v>
      </c>
      <c r="V564" s="548">
        <f t="shared" si="547"/>
        <v>0.1381854871457773</v>
      </c>
      <c r="W564" s="548">
        <f t="shared" si="543"/>
        <v>7.5667463049856183</v>
      </c>
    </row>
    <row r="565" spans="1:23">
      <c r="B565" t="s">
        <v>673</v>
      </c>
      <c r="D565" s="211">
        <f>D$511</f>
        <v>0</v>
      </c>
      <c r="E565" s="211">
        <f t="shared" ref="E565:H565" si="548">E$511</f>
        <v>-115</v>
      </c>
      <c r="F565" s="211">
        <f t="shared" si="548"/>
        <v>-4400</v>
      </c>
      <c r="G565" s="211">
        <f t="shared" si="548"/>
        <v>-2290</v>
      </c>
      <c r="H565" s="211">
        <f t="shared" si="548"/>
        <v>-30</v>
      </c>
      <c r="I565" s="211">
        <f>SUM(D565:H565)</f>
        <v>-6835</v>
      </c>
      <c r="J565" s="210"/>
      <c r="K565" s="548">
        <f>K$511</f>
        <v>0</v>
      </c>
      <c r="L565" s="548">
        <f t="shared" ref="L565:O565" si="549">L$511</f>
        <v>0.13539189579046251</v>
      </c>
      <c r="M565" s="548">
        <f t="shared" si="549"/>
        <v>7.9979498784099405</v>
      </c>
      <c r="N565" s="548">
        <f t="shared" si="549"/>
        <v>2.8155174594078858</v>
      </c>
      <c r="O565" s="548">
        <f t="shared" si="549"/>
        <v>3.87855143288931E-2</v>
      </c>
      <c r="P565" s="548">
        <f t="shared" si="541"/>
        <v>10.987644747937182</v>
      </c>
      <c r="Q565" s="210"/>
      <c r="R565" s="548">
        <f>R$511</f>
        <v>0</v>
      </c>
      <c r="S565" s="548">
        <f t="shared" ref="S565:V565" si="550">S$511</f>
        <v>1.1348032905431182E-2</v>
      </c>
      <c r="T565" s="548">
        <f t="shared" si="550"/>
        <v>0.51480133269312489</v>
      </c>
      <c r="U565" s="548">
        <f t="shared" si="550"/>
        <v>0.22597387263870417</v>
      </c>
      <c r="V565" s="548">
        <f t="shared" si="550"/>
        <v>4.093293057638725E-3</v>
      </c>
      <c r="W565" s="548">
        <f t="shared" si="543"/>
        <v>0.75621653129489896</v>
      </c>
    </row>
    <row r="566" spans="1:23">
      <c r="B566" t="s">
        <v>1156</v>
      </c>
      <c r="D566" s="211">
        <f>D$525</f>
        <v>-5894</v>
      </c>
      <c r="E566" s="211">
        <f t="shared" ref="E566:H566" si="551">E$525</f>
        <v>-3306</v>
      </c>
      <c r="F566" s="211">
        <f t="shared" si="551"/>
        <v>0</v>
      </c>
      <c r="G566" s="211">
        <f t="shared" si="551"/>
        <v>0</v>
      </c>
      <c r="H566" s="211">
        <f t="shared" si="551"/>
        <v>0</v>
      </c>
      <c r="I566" s="211">
        <f>SUM(D566:H566)</f>
        <v>-9200</v>
      </c>
      <c r="J566" s="210"/>
      <c r="K566" s="548">
        <f>K$525</f>
        <v>27.862551325449573</v>
      </c>
      <c r="L566" s="548">
        <f t="shared" ref="L566:O566" si="552">L$525</f>
        <v>10.485510947750413</v>
      </c>
      <c r="M566" s="548">
        <f t="shared" si="552"/>
        <v>39.703396364399964</v>
      </c>
      <c r="N566" s="548">
        <f t="shared" si="552"/>
        <v>0</v>
      </c>
      <c r="O566" s="548">
        <f t="shared" si="552"/>
        <v>0</v>
      </c>
      <c r="P566" s="548">
        <f t="shared" si="541"/>
        <v>78.05145863759995</v>
      </c>
      <c r="Q566" s="210"/>
      <c r="R566" s="548">
        <f>R$525</f>
        <v>3.9294422298317286</v>
      </c>
      <c r="S566" s="548">
        <f t="shared" ref="S566:V566" si="553">S$525</f>
        <v>1.7488427628037471</v>
      </c>
      <c r="T566" s="548">
        <f t="shared" si="553"/>
        <v>7.0275070532000115</v>
      </c>
      <c r="U566" s="548">
        <f t="shared" si="553"/>
        <v>0</v>
      </c>
      <c r="V566" s="548">
        <f t="shared" si="553"/>
        <v>0</v>
      </c>
      <c r="W566" s="548">
        <f t="shared" si="543"/>
        <v>12.705792045835487</v>
      </c>
    </row>
    <row r="567" spans="1:23">
      <c r="B567" t="s">
        <v>1157</v>
      </c>
      <c r="D567" s="211">
        <f>D$539</f>
        <v>0</v>
      </c>
      <c r="E567" s="211">
        <f>E$539</f>
        <v>0</v>
      </c>
      <c r="F567" s="211">
        <f>F$539</f>
        <v>0</v>
      </c>
      <c r="G567" s="211">
        <f>G$539</f>
        <v>0</v>
      </c>
      <c r="H567" s="211">
        <f>H$539</f>
        <v>0</v>
      </c>
      <c r="I567" s="211">
        <f t="shared" ref="I567:I570" si="554">SUM(D567:H567)</f>
        <v>0</v>
      </c>
      <c r="J567" s="210"/>
      <c r="K567" s="548">
        <f>K$539</f>
        <v>0</v>
      </c>
      <c r="L567" s="548">
        <f>L$539</f>
        <v>13.495984153020004</v>
      </c>
      <c r="M567" s="548">
        <f>M$539</f>
        <v>137.91309694077586</v>
      </c>
      <c r="N567" s="548">
        <f>N$539</f>
        <v>56.393039144631814</v>
      </c>
      <c r="O567" s="548">
        <f>O$539</f>
        <v>11.851498514592009</v>
      </c>
      <c r="P567" s="548">
        <f t="shared" si="541"/>
        <v>219.65361875301969</v>
      </c>
      <c r="Q567" s="210"/>
      <c r="R567" s="548">
        <f>R$539</f>
        <v>0</v>
      </c>
      <c r="S567" s="548">
        <f>S$539</f>
        <v>2.8673104210387947</v>
      </c>
      <c r="T567" s="548">
        <f>T$539</f>
        <v>15.258624158181362</v>
      </c>
      <c r="U567" s="548">
        <f>U$539</f>
        <v>0</v>
      </c>
      <c r="V567" s="548">
        <f>V$539</f>
        <v>1.1272325501869211</v>
      </c>
      <c r="W567" s="548">
        <f t="shared" si="543"/>
        <v>19.253167129407078</v>
      </c>
    </row>
    <row r="568" spans="1:23">
      <c r="B568" t="s">
        <v>713</v>
      </c>
      <c r="K568" s="210">
        <f>K$553</f>
        <v>0</v>
      </c>
      <c r="L568" s="210">
        <f t="shared" ref="L568:O568" si="555">L$553</f>
        <v>13.784625583361276</v>
      </c>
      <c r="M568" s="210">
        <f t="shared" si="555"/>
        <v>0</v>
      </c>
      <c r="N568" s="210">
        <f t="shared" si="555"/>
        <v>0</v>
      </c>
      <c r="O568" s="210">
        <f t="shared" si="555"/>
        <v>0</v>
      </c>
      <c r="P568" s="548">
        <f t="shared" si="541"/>
        <v>13.784625583361276</v>
      </c>
      <c r="R568" s="210">
        <f>R$553</f>
        <v>0</v>
      </c>
      <c r="S568" s="210">
        <f t="shared" ref="S568:V568" si="556">S$553</f>
        <v>2.6427326025184925</v>
      </c>
      <c r="T568" s="210">
        <f t="shared" si="556"/>
        <v>0</v>
      </c>
      <c r="U568" s="210">
        <f t="shared" si="556"/>
        <v>0</v>
      </c>
      <c r="V568" s="210">
        <f t="shared" si="556"/>
        <v>0</v>
      </c>
      <c r="W568" s="548">
        <f t="shared" si="543"/>
        <v>2.6427326025184925</v>
      </c>
    </row>
    <row r="569" spans="1:23">
      <c r="B569" s="38" t="s">
        <v>1158</v>
      </c>
      <c r="D569" s="550">
        <f>SUM(D563:D568)</f>
        <v>-5894</v>
      </c>
      <c r="E569" s="550">
        <f t="shared" ref="E569:H569" si="557">SUM(E563:E568)</f>
        <v>-3421</v>
      </c>
      <c r="F569" s="550">
        <f t="shared" si="557"/>
        <v>-4400</v>
      </c>
      <c r="G569" s="550">
        <f t="shared" si="557"/>
        <v>-2290</v>
      </c>
      <c r="H569" s="550">
        <f t="shared" si="557"/>
        <v>-30</v>
      </c>
      <c r="I569" s="550">
        <f t="shared" si="554"/>
        <v>-16035</v>
      </c>
      <c r="J569" s="554"/>
      <c r="K569" s="551">
        <f>SUM(K563:K568)</f>
        <v>48.856774070388951</v>
      </c>
      <c r="L569" s="551">
        <f t="shared" ref="L569:O569" si="558">SUM(L563:L568)</f>
        <v>90.469634834896965</v>
      </c>
      <c r="M569" s="551">
        <f t="shared" si="558"/>
        <v>213.96027257630362</v>
      </c>
      <c r="N569" s="551">
        <f t="shared" si="558"/>
        <v>71.863206832997264</v>
      </c>
      <c r="O569" s="551">
        <f t="shared" si="558"/>
        <v>16.397046191506689</v>
      </c>
      <c r="P569" s="551">
        <f t="shared" si="541"/>
        <v>441.54693450609352</v>
      </c>
      <c r="Q569" s="554"/>
      <c r="R569" s="551">
        <f>SUM(R563:R568)</f>
        <v>6.9598626868018947</v>
      </c>
      <c r="S569" s="551">
        <f t="shared" ref="S569:V569" si="559">SUM(S563:S568)</f>
        <v>16.859770181865628</v>
      </c>
      <c r="T569" s="551">
        <f t="shared" si="559"/>
        <v>26.743472879108026</v>
      </c>
      <c r="U569" s="551">
        <f t="shared" si="559"/>
        <v>0.22597387263870417</v>
      </c>
      <c r="V569" s="551">
        <f t="shared" si="559"/>
        <v>1.5415611083902068</v>
      </c>
      <c r="W569" s="551">
        <f t="shared" si="543"/>
        <v>52.330640728804461</v>
      </c>
    </row>
    <row r="570" spans="1:23">
      <c r="B570" s="38" t="s">
        <v>676</v>
      </c>
      <c r="D570" s="550">
        <f>D562+D569</f>
        <v>216457.6538822767</v>
      </c>
      <c r="E570" s="550">
        <f>E562+E569</f>
        <v>432551.92238569196</v>
      </c>
      <c r="F570" s="550">
        <f>F562+F569</f>
        <v>587868.25223140384</v>
      </c>
      <c r="G570" s="550">
        <f>G562+G569</f>
        <v>296598.44256774255</v>
      </c>
      <c r="H570" s="550">
        <f>H562+H569</f>
        <v>61556.099834710752</v>
      </c>
      <c r="I570" s="550">
        <f t="shared" si="554"/>
        <v>1595032.3709018258</v>
      </c>
      <c r="J570" s="554"/>
      <c r="K570" s="554">
        <f>K562-K569</f>
        <v>222.88528803887442</v>
      </c>
      <c r="L570" s="554">
        <f>L562-L569</f>
        <v>498.12004847072649</v>
      </c>
      <c r="M570" s="554">
        <f>M562-M569</f>
        <v>580.09984959859287</v>
      </c>
      <c r="N570" s="554">
        <f>N562-N569</f>
        <v>292.67903356175333</v>
      </c>
      <c r="O570" s="554">
        <f>O562-O569</f>
        <v>100.05574771761722</v>
      </c>
      <c r="P570" s="551">
        <f t="shared" si="541"/>
        <v>1693.8399673875642</v>
      </c>
      <c r="Q570" s="554"/>
      <c r="R570" s="554">
        <f>R562-R569</f>
        <v>21.359726772954858</v>
      </c>
      <c r="S570" s="554">
        <f>S562-S569</f>
        <v>69.347130343460321</v>
      </c>
      <c r="T570" s="554">
        <f>T562-T569</f>
        <v>58.009984959859281</v>
      </c>
      <c r="U570" s="554">
        <f>U562-U569</f>
        <v>29.267903356175331</v>
      </c>
      <c r="V570" s="554">
        <f>V562-V569</f>
        <v>6.0742664909102091</v>
      </c>
      <c r="W570" s="551">
        <f t="shared" si="543"/>
        <v>184.05901192336003</v>
      </c>
    </row>
    <row r="571" spans="1:23">
      <c r="B571" s="249" t="s">
        <v>677</v>
      </c>
      <c r="D571" s="550"/>
      <c r="E571" s="550"/>
      <c r="F571" s="550"/>
      <c r="G571" s="550"/>
      <c r="H571" s="550"/>
      <c r="I571" s="550"/>
      <c r="J571" s="554"/>
      <c r="K571" s="555">
        <f t="shared" ref="K571:P571" si="560">K570/D570*mtonacft_mgl</f>
        <v>0.83478703789820408</v>
      </c>
      <c r="L571" s="555">
        <f t="shared" si="560"/>
        <v>0.93360467145584647</v>
      </c>
      <c r="M571" s="555">
        <f t="shared" si="560"/>
        <v>0.80000000000000016</v>
      </c>
      <c r="N571" s="555">
        <f t="shared" si="560"/>
        <v>0.80000000000000016</v>
      </c>
      <c r="O571" s="555">
        <f t="shared" si="560"/>
        <v>1.3177656642802209</v>
      </c>
      <c r="P571" s="555">
        <f t="shared" si="560"/>
        <v>0.86093450815255901</v>
      </c>
      <c r="Q571" s="555"/>
      <c r="R571" s="555">
        <f t="shared" ref="R571:W571" si="561">R570/D570*mtonacft_mgl</f>
        <v>0.08</v>
      </c>
      <c r="S571" s="555">
        <f t="shared" si="561"/>
        <v>0.12997430045122313</v>
      </c>
      <c r="T571" s="555">
        <f t="shared" si="561"/>
        <v>8.0000000000000016E-2</v>
      </c>
      <c r="U571" s="555">
        <f t="shared" si="561"/>
        <v>0.08</v>
      </c>
      <c r="V571" s="555">
        <f t="shared" si="561"/>
        <v>8.0000000000000016E-2</v>
      </c>
      <c r="W571" s="555">
        <f t="shared" si="561"/>
        <v>9.3552376819684771E-2</v>
      </c>
    </row>
    <row r="572" spans="1:23">
      <c r="B572" s="1085" t="s">
        <v>1083</v>
      </c>
      <c r="K572" s="1079">
        <f>K554-K570</f>
        <v>0</v>
      </c>
      <c r="L572" s="1079">
        <f t="shared" ref="L572:O572" si="562">L554-L570</f>
        <v>0</v>
      </c>
      <c r="M572" s="1079">
        <f t="shared" si="562"/>
        <v>0</v>
      </c>
      <c r="N572" s="1079">
        <f t="shared" si="562"/>
        <v>0</v>
      </c>
      <c r="O572" s="1079">
        <f t="shared" si="562"/>
        <v>0</v>
      </c>
      <c r="P572" s="1080">
        <f t="shared" si="541"/>
        <v>0</v>
      </c>
      <c r="Q572" s="1081"/>
      <c r="R572" s="1079">
        <f>R554-R570</f>
        <v>0</v>
      </c>
      <c r="S572" s="1079">
        <f t="shared" ref="S572:V572" si="563">S554-S570</f>
        <v>0</v>
      </c>
      <c r="T572" s="1079">
        <f t="shared" si="563"/>
        <v>0</v>
      </c>
      <c r="U572" s="1079">
        <f t="shared" si="563"/>
        <v>0</v>
      </c>
      <c r="V572" s="1079">
        <f t="shared" si="563"/>
        <v>0</v>
      </c>
      <c r="W572" s="1080">
        <f t="shared" ref="W572" si="564">SUM(R572:V572)</f>
        <v>0</v>
      </c>
    </row>
    <row r="573" spans="1:23">
      <c r="B573" s="1085"/>
      <c r="K573" s="1079"/>
      <c r="L573" s="1079"/>
      <c r="M573" s="1079"/>
      <c r="N573" s="1079"/>
      <c r="O573" s="1079"/>
      <c r="P573" s="1080"/>
      <c r="Q573" s="1081"/>
      <c r="R573" s="1079"/>
      <c r="S573" s="1079"/>
      <c r="T573" s="1079"/>
      <c r="U573" s="1079"/>
      <c r="V573" s="1079"/>
      <c r="W573" s="1080"/>
    </row>
    <row r="575" spans="1:23">
      <c r="A575" s="779" t="s">
        <v>921</v>
      </c>
      <c r="B575" s="838" t="s">
        <v>971</v>
      </c>
    </row>
    <row r="576" spans="1:23">
      <c r="A576" s="567" t="s">
        <v>1149</v>
      </c>
      <c r="B576" s="568"/>
      <c r="C576" s="569"/>
      <c r="D576" s="570"/>
      <c r="E576" s="570"/>
      <c r="F576" s="570"/>
      <c r="G576" s="570"/>
      <c r="H576" s="570"/>
      <c r="I576" s="570"/>
      <c r="J576" s="569"/>
      <c r="K576" s="571"/>
      <c r="L576" s="571"/>
      <c r="M576" s="571"/>
      <c r="N576" s="571"/>
      <c r="O576" s="571"/>
      <c r="P576" s="571"/>
      <c r="Q576" s="569"/>
      <c r="R576" s="569"/>
      <c r="S576" s="572"/>
      <c r="T576" s="572"/>
      <c r="U576" s="572"/>
      <c r="V576" s="572"/>
      <c r="W576" s="606" t="s">
        <v>969</v>
      </c>
    </row>
    <row r="578" spans="2:23">
      <c r="D578" s="1440" t="s">
        <v>966</v>
      </c>
      <c r="E578" s="1440"/>
      <c r="F578" s="1440"/>
      <c r="G578" s="1440"/>
      <c r="H578" s="1440"/>
      <c r="I578" s="1440"/>
      <c r="K578" s="1441" t="s">
        <v>967</v>
      </c>
      <c r="L578" s="1441"/>
      <c r="M578" s="1441"/>
      <c r="N578" s="1441"/>
      <c r="O578" s="1441"/>
      <c r="P578" s="1441"/>
      <c r="R578" s="1442" t="s">
        <v>968</v>
      </c>
      <c r="S578" s="1442"/>
      <c r="T578" s="1442"/>
      <c r="U578" s="1442"/>
      <c r="V578" s="1442"/>
      <c r="W578" s="1442"/>
    </row>
    <row r="579" spans="2:23">
      <c r="D579" s="363" t="str">
        <f t="shared" ref="D579:I579" si="565">VLOOKUP(D$24,subwatgeog,2,FALSE)</f>
        <v>Coastal</v>
      </c>
      <c r="E579" s="363" t="str">
        <f t="shared" si="565"/>
        <v>Tidal Cal.</v>
      </c>
      <c r="F579" s="363" t="str">
        <f t="shared" si="565"/>
        <v>West Cal.</v>
      </c>
      <c r="G579" s="363" t="str">
        <f t="shared" si="565"/>
        <v>East Cal.</v>
      </c>
      <c r="H579" s="363" t="str">
        <f t="shared" si="565"/>
        <v>S-4</v>
      </c>
      <c r="I579" s="364" t="str">
        <f t="shared" si="565"/>
        <v>Total CRWPP</v>
      </c>
      <c r="K579" s="351" t="str">
        <f t="shared" ref="K579:W579" si="566">VLOOKUP(K$24,subwatgeog,2,FALSE)</f>
        <v>Coastal</v>
      </c>
      <c r="L579" s="351" t="str">
        <f t="shared" si="566"/>
        <v>Tidal Cal.</v>
      </c>
      <c r="M579" s="351" t="str">
        <f t="shared" si="566"/>
        <v>West Cal.</v>
      </c>
      <c r="N579" s="351" t="str">
        <f t="shared" si="566"/>
        <v>East Cal.</v>
      </c>
      <c r="O579" s="351" t="str">
        <f t="shared" si="566"/>
        <v>S-4</v>
      </c>
      <c r="P579" s="355" t="str">
        <f t="shared" si="566"/>
        <v>Total CRWPP</v>
      </c>
      <c r="R579" s="352" t="str">
        <f t="shared" si="566"/>
        <v>Coastal</v>
      </c>
      <c r="S579" s="352" t="str">
        <f t="shared" si="566"/>
        <v>Tidal Cal.</v>
      </c>
      <c r="T579" s="352" t="str">
        <f t="shared" si="566"/>
        <v>West Cal.</v>
      </c>
      <c r="U579" s="352" t="str">
        <f t="shared" si="566"/>
        <v>East Cal.</v>
      </c>
      <c r="V579" s="352" t="str">
        <f t="shared" si="566"/>
        <v>S-4</v>
      </c>
      <c r="W579" s="356" t="str">
        <f t="shared" si="566"/>
        <v>Total CRWPP</v>
      </c>
    </row>
    <row r="580" spans="2:23">
      <c r="B580" s="38" t="s">
        <v>760</v>
      </c>
    </row>
    <row r="581" spans="2:23">
      <c r="B581" s="595" t="s">
        <v>709</v>
      </c>
      <c r="D581" s="211">
        <f>D$137</f>
        <v>222351.6538822767</v>
      </c>
      <c r="E581" s="211">
        <f t="shared" ref="E581:I581" si="567">E$137</f>
        <v>436972.92238569196</v>
      </c>
      <c r="F581" s="211">
        <f t="shared" si="567"/>
        <v>592883.25223140384</v>
      </c>
      <c r="G581" s="211">
        <f t="shared" si="567"/>
        <v>304048.44256774255</v>
      </c>
      <c r="H581" s="211">
        <f t="shared" si="567"/>
        <v>63034.099834710752</v>
      </c>
      <c r="I581" s="211">
        <f t="shared" si="567"/>
        <v>1619290.3709018258</v>
      </c>
      <c r="K581" s="210">
        <f>K$137</f>
        <v>282.43225947662467</v>
      </c>
      <c r="L581" s="210">
        <f t="shared" ref="L581:P581" si="568">L$137</f>
        <v>629.5347888603726</v>
      </c>
      <c r="M581" s="210">
        <f t="shared" si="568"/>
        <v>957.86749900000109</v>
      </c>
      <c r="N581" s="210">
        <f t="shared" si="568"/>
        <v>508.66752665601132</v>
      </c>
      <c r="O581" s="210">
        <f t="shared" si="568"/>
        <v>157.62772899999999</v>
      </c>
      <c r="P581" s="210">
        <f t="shared" si="568"/>
        <v>2536.1298029930094</v>
      </c>
      <c r="Q581" s="210"/>
      <c r="R581" s="210">
        <f>R$137</f>
        <v>29.651060564799756</v>
      </c>
      <c r="S581" s="210">
        <f t="shared" ref="S581:W581" si="569">S$137</f>
        <v>93.663108536234503</v>
      </c>
      <c r="T581" s="210">
        <f t="shared" si="569"/>
        <v>108.05345510000004</v>
      </c>
      <c r="U581" s="210">
        <f t="shared" si="569"/>
        <v>49.563984774778426</v>
      </c>
      <c r="V581" s="210">
        <f t="shared" si="569"/>
        <v>9.7744972000000026</v>
      </c>
      <c r="W581" s="210">
        <f t="shared" si="569"/>
        <v>290.70610617581258</v>
      </c>
    </row>
    <row r="582" spans="2:23">
      <c r="B582" s="596" t="s">
        <v>710</v>
      </c>
      <c r="K582" s="556">
        <f>K$138</f>
        <v>1.0297722329100547</v>
      </c>
      <c r="L582" s="556">
        <f t="shared" ref="L582:P582" si="570">L$138</f>
        <v>1.1679720484565255</v>
      </c>
      <c r="M582" s="556">
        <f t="shared" si="570"/>
        <v>1.3097955059772124</v>
      </c>
      <c r="N582" s="556">
        <f t="shared" si="570"/>
        <v>1.3563084606842892</v>
      </c>
      <c r="O582" s="556">
        <f t="shared" si="570"/>
        <v>2.0273293335279883</v>
      </c>
      <c r="P582" s="556">
        <f t="shared" si="570"/>
        <v>1.2697376143261829</v>
      </c>
      <c r="Q582" s="556"/>
      <c r="R582" s="556">
        <f>R$138</f>
        <v>0.1081103090084234</v>
      </c>
      <c r="S582" s="556">
        <f t="shared" ref="S582:W582" si="571">S$138</f>
        <v>0.17377259315550725</v>
      </c>
      <c r="T582" s="556">
        <f t="shared" si="571"/>
        <v>0.14775313917952484</v>
      </c>
      <c r="U582" s="556">
        <f t="shared" si="571"/>
        <v>0.13215715250625748</v>
      </c>
      <c r="V582" s="556">
        <f t="shared" si="571"/>
        <v>0.1257147141544315</v>
      </c>
      <c r="W582" s="556">
        <f t="shared" si="571"/>
        <v>0.14554478926516828</v>
      </c>
    </row>
    <row r="584" spans="2:23">
      <c r="B584" s="401" t="s">
        <v>777</v>
      </c>
    </row>
    <row r="585" spans="2:23">
      <c r="B585" s="59" t="s">
        <v>683</v>
      </c>
      <c r="D585" s="211">
        <f>D$272</f>
        <v>0</v>
      </c>
      <c r="E585" s="211">
        <f t="shared" ref="E585:I585" si="572">E$272</f>
        <v>0</v>
      </c>
      <c r="F585" s="211">
        <f t="shared" si="572"/>
        <v>-615</v>
      </c>
      <c r="G585" s="211">
        <f t="shared" si="572"/>
        <v>-5010</v>
      </c>
      <c r="H585" s="211">
        <f t="shared" si="572"/>
        <v>0</v>
      </c>
      <c r="I585" s="211">
        <f t="shared" si="572"/>
        <v>-5625</v>
      </c>
      <c r="J585" s="210"/>
      <c r="K585" s="210">
        <f>K$272</f>
        <v>2.5538225769479368</v>
      </c>
      <c r="L585" s="210">
        <f t="shared" ref="L585:P585" si="573">L$272</f>
        <v>16.120347665997656</v>
      </c>
      <c r="M585" s="210">
        <f t="shared" si="573"/>
        <v>121.34746689185147</v>
      </c>
      <c r="N585" s="210">
        <f t="shared" si="573"/>
        <v>79.765747258721262</v>
      </c>
      <c r="O585" s="210">
        <f t="shared" si="573"/>
        <v>33.720337616486532</v>
      </c>
      <c r="P585" s="210">
        <f t="shared" si="573"/>
        <v>253.50772201000484</v>
      </c>
      <c r="Q585" s="210"/>
      <c r="R585" s="210">
        <f>R$272</f>
        <v>0.11166686025765671</v>
      </c>
      <c r="S585" s="210">
        <f t="shared" ref="S585:W585" si="574">S$272</f>
        <v>2.7961137635228113</v>
      </c>
      <c r="T585" s="210">
        <f t="shared" si="574"/>
        <v>17.045928729666741</v>
      </c>
      <c r="U585" s="210">
        <f t="shared" si="574"/>
        <v>8.7547351830186173</v>
      </c>
      <c r="V585" s="210">
        <f t="shared" si="574"/>
        <v>1.6228751720356893</v>
      </c>
      <c r="W585" s="210">
        <f t="shared" si="574"/>
        <v>30.331319708501518</v>
      </c>
    </row>
    <row r="586" spans="2:23">
      <c r="B586" s="59" t="s">
        <v>676</v>
      </c>
      <c r="D586" s="211">
        <f>D$273</f>
        <v>222351.6538822767</v>
      </c>
      <c r="E586" s="211">
        <f t="shared" ref="E586:I586" si="575">E$273</f>
        <v>436972.92238569196</v>
      </c>
      <c r="F586" s="211">
        <f t="shared" si="575"/>
        <v>592268.25223140384</v>
      </c>
      <c r="G586" s="211">
        <f t="shared" si="575"/>
        <v>299038.44256774255</v>
      </c>
      <c r="H586" s="211">
        <f t="shared" si="575"/>
        <v>63034.099834710752</v>
      </c>
      <c r="I586" s="211">
        <f t="shared" si="575"/>
        <v>1613665.3709018258</v>
      </c>
      <c r="J586" s="210"/>
      <c r="K586" s="210">
        <f>K$273</f>
        <v>279.87843689967673</v>
      </c>
      <c r="L586" s="210">
        <f t="shared" ref="L586:P586" si="576">L$273</f>
        <v>613.41444119437494</v>
      </c>
      <c r="M586" s="210">
        <f t="shared" si="576"/>
        <v>836.52003210814962</v>
      </c>
      <c r="N586" s="210">
        <f t="shared" si="576"/>
        <v>428.90177939729006</v>
      </c>
      <c r="O586" s="210">
        <f t="shared" si="576"/>
        <v>123.90739138351346</v>
      </c>
      <c r="P586" s="210">
        <f t="shared" si="576"/>
        <v>2282.6220809830047</v>
      </c>
      <c r="Q586" s="210"/>
      <c r="R586" s="210">
        <f>R$273</f>
        <v>29.5393937045421</v>
      </c>
      <c r="S586" s="210">
        <f t="shared" ref="S586:W586" si="577">S$273</f>
        <v>90.866994772711692</v>
      </c>
      <c r="T586" s="210">
        <f t="shared" si="577"/>
        <v>91.007526370333295</v>
      </c>
      <c r="U586" s="210">
        <f t="shared" si="577"/>
        <v>40.809249591759809</v>
      </c>
      <c r="V586" s="210">
        <f t="shared" si="577"/>
        <v>8.1516220279643132</v>
      </c>
      <c r="W586" s="210">
        <f t="shared" si="577"/>
        <v>260.3747864673112</v>
      </c>
    </row>
    <row r="587" spans="2:23">
      <c r="B587" s="596" t="s">
        <v>677</v>
      </c>
      <c r="D587" s="210"/>
      <c r="E587" s="210"/>
      <c r="F587" s="210"/>
      <c r="G587" s="210"/>
      <c r="H587" s="210"/>
      <c r="I587" s="210"/>
      <c r="J587" s="210"/>
      <c r="K587" s="556">
        <f>K$274</f>
        <v>1.0204607768377447</v>
      </c>
      <c r="L587" s="556">
        <f t="shared" ref="L587:P587" si="578">L$274</f>
        <v>1.1380640658978958</v>
      </c>
      <c r="M587" s="556">
        <f t="shared" si="578"/>
        <v>1.1450517976348811</v>
      </c>
      <c r="N587" s="556">
        <f t="shared" si="578"/>
        <v>1.1627813749016025</v>
      </c>
      <c r="O587" s="556">
        <f t="shared" si="578"/>
        <v>1.5936351477393291</v>
      </c>
      <c r="P587" s="556">
        <f t="shared" si="578"/>
        <v>1.1468002417718701</v>
      </c>
      <c r="Q587" s="556"/>
      <c r="R587" s="556">
        <f>R$274</f>
        <v>0.10770316206195675</v>
      </c>
      <c r="S587" s="556">
        <f t="shared" ref="S587:W587" si="579">S$274</f>
        <v>0.16858498036922873</v>
      </c>
      <c r="T587" s="556">
        <f t="shared" si="579"/>
        <v>0.12457362366569293</v>
      </c>
      <c r="U587" s="556">
        <f t="shared" si="579"/>
        <v>0.1106366017312656</v>
      </c>
      <c r="V587" s="556">
        <f t="shared" si="579"/>
        <v>0.10484210207155213</v>
      </c>
      <c r="W587" s="556">
        <f t="shared" si="579"/>
        <v>0.13081353701065626</v>
      </c>
    </row>
    <row r="589" spans="2:23">
      <c r="B589" s="401" t="s">
        <v>970</v>
      </c>
    </row>
    <row r="590" spans="2:23">
      <c r="B590" s="61" t="s">
        <v>965</v>
      </c>
      <c r="D590" s="211">
        <f>D$408</f>
        <v>0</v>
      </c>
      <c r="E590" s="211">
        <f t="shared" ref="E590:I590" si="580">E$408</f>
        <v>-1000</v>
      </c>
      <c r="F590" s="211">
        <f t="shared" si="580"/>
        <v>0</v>
      </c>
      <c r="G590" s="211">
        <f t="shared" si="580"/>
        <v>-150</v>
      </c>
      <c r="H590" s="211">
        <f t="shared" si="580"/>
        <v>-1448</v>
      </c>
      <c r="I590" s="211">
        <f t="shared" si="580"/>
        <v>-2598</v>
      </c>
      <c r="J590" s="210"/>
      <c r="K590" s="210">
        <f>K$408</f>
        <v>8.1363747904133561</v>
      </c>
      <c r="L590" s="210">
        <f t="shared" ref="L590:P590" si="581">L$408</f>
        <v>24.824757888751492</v>
      </c>
      <c r="M590" s="210">
        <f t="shared" si="581"/>
        <v>42.45990993325313</v>
      </c>
      <c r="N590" s="210">
        <f t="shared" si="581"/>
        <v>64.359539002539464</v>
      </c>
      <c r="O590" s="210">
        <f t="shared" si="581"/>
        <v>7.4545974743895442</v>
      </c>
      <c r="P590" s="210">
        <f t="shared" si="581"/>
        <v>147.23517908934699</v>
      </c>
      <c r="Q590" s="210"/>
      <c r="R590" s="210">
        <f>R$408</f>
        <v>1.2198042447853474</v>
      </c>
      <c r="S590" s="210">
        <f t="shared" ref="S590:W590" si="582">S$408</f>
        <v>4.660094247385743</v>
      </c>
      <c r="T590" s="210">
        <f t="shared" si="582"/>
        <v>6.2540685313659878</v>
      </c>
      <c r="U590" s="210">
        <f t="shared" si="582"/>
        <v>11.315372362945773</v>
      </c>
      <c r="V590" s="210">
        <f t="shared" si="582"/>
        <v>0.53579442866389737</v>
      </c>
      <c r="W590" s="210">
        <f t="shared" si="582"/>
        <v>23.985133815146749</v>
      </c>
    </row>
    <row r="591" spans="2:23">
      <c r="B591" s="59" t="s">
        <v>676</v>
      </c>
      <c r="D591" s="211">
        <f>D$409</f>
        <v>222351.6538822767</v>
      </c>
      <c r="E591" s="211">
        <f t="shared" ref="E591:I591" si="583">E$409</f>
        <v>435972.92238569196</v>
      </c>
      <c r="F591" s="211">
        <f t="shared" si="583"/>
        <v>592268.25223140384</v>
      </c>
      <c r="G591" s="211">
        <f t="shared" si="583"/>
        <v>298888.44256774255</v>
      </c>
      <c r="H591" s="211">
        <f t="shared" si="583"/>
        <v>61586.099834710752</v>
      </c>
      <c r="I591" s="211">
        <f t="shared" si="583"/>
        <v>1611067.3709018258</v>
      </c>
      <c r="J591" s="210"/>
      <c r="K591" s="210">
        <f>K$409</f>
        <v>271.74206210926337</v>
      </c>
      <c r="L591" s="210">
        <f t="shared" ref="L591:P591" si="584">L$409</f>
        <v>588.58968330562345</v>
      </c>
      <c r="M591" s="210">
        <f t="shared" si="584"/>
        <v>794.06012217489649</v>
      </c>
      <c r="N591" s="210">
        <f t="shared" si="584"/>
        <v>364.54224039475059</v>
      </c>
      <c r="O591" s="210">
        <f t="shared" si="584"/>
        <v>116.45279390912391</v>
      </c>
      <c r="P591" s="210">
        <f t="shared" si="584"/>
        <v>2135.386901893658</v>
      </c>
      <c r="Q591" s="210"/>
      <c r="R591" s="210">
        <f>R$409</f>
        <v>28.319589459756752</v>
      </c>
      <c r="S591" s="210">
        <f t="shared" ref="S591:W591" si="585">S$409</f>
        <v>86.206900525325949</v>
      </c>
      <c r="T591" s="210">
        <f t="shared" si="585"/>
        <v>84.753457838967307</v>
      </c>
      <c r="U591" s="210">
        <f t="shared" si="585"/>
        <v>29.493877228814036</v>
      </c>
      <c r="V591" s="210">
        <f t="shared" si="585"/>
        <v>7.6158275993004159</v>
      </c>
      <c r="W591" s="210">
        <f t="shared" si="585"/>
        <v>236.38965265216444</v>
      </c>
    </row>
    <row r="592" spans="2:23">
      <c r="B592" s="596" t="s">
        <v>677</v>
      </c>
      <c r="D592" s="210"/>
      <c r="E592" s="210"/>
      <c r="F592" s="210"/>
      <c r="G592" s="210"/>
      <c r="H592" s="210"/>
      <c r="I592" s="210"/>
      <c r="J592" s="210"/>
      <c r="K592" s="556">
        <f>K$410</f>
        <v>0.99079485676457946</v>
      </c>
      <c r="L592" s="556">
        <f t="shared" ref="L592:P592" si="586">L$410</f>
        <v>1.0945116026319424</v>
      </c>
      <c r="M592" s="556">
        <f t="shared" si="586"/>
        <v>1.0869314964701138</v>
      </c>
      <c r="N592" s="556">
        <f t="shared" si="586"/>
        <v>0.98879435231014279</v>
      </c>
      <c r="O592" s="556">
        <f t="shared" si="586"/>
        <v>1.532972809273655</v>
      </c>
      <c r="P592" s="556">
        <f t="shared" si="586"/>
        <v>1.0745586227361117</v>
      </c>
      <c r="Q592" s="556"/>
      <c r="R592" s="556">
        <f>R$410</f>
        <v>0.10325565120326982</v>
      </c>
      <c r="S592" s="556">
        <f t="shared" ref="S592:W592" si="587">S$410</f>
        <v>0.16030599164089268</v>
      </c>
      <c r="T592" s="556">
        <f t="shared" si="587"/>
        <v>0.11601288137680232</v>
      </c>
      <c r="U592" s="556">
        <f t="shared" si="587"/>
        <v>0.08</v>
      </c>
      <c r="V592" s="556">
        <f t="shared" si="587"/>
        <v>0.10025398479450896</v>
      </c>
      <c r="W592" s="556">
        <f t="shared" si="587"/>
        <v>0.11895480831024949</v>
      </c>
    </row>
    <row r="593" spans="2:23">
      <c r="B593" s="596"/>
      <c r="D593" s="210"/>
      <c r="E593" s="210"/>
      <c r="F593" s="210"/>
      <c r="G593" s="210"/>
      <c r="H593" s="210"/>
      <c r="I593" s="210"/>
      <c r="J593" s="210"/>
      <c r="K593" s="556"/>
      <c r="L593" s="556"/>
      <c r="M593" s="556"/>
      <c r="N593" s="556"/>
      <c r="O593" s="556"/>
      <c r="P593" s="556"/>
      <c r="Q593" s="556"/>
      <c r="R593" s="556"/>
      <c r="S593" s="556"/>
      <c r="T593" s="556"/>
      <c r="U593" s="556"/>
      <c r="V593" s="556"/>
      <c r="W593" s="556"/>
    </row>
    <row r="594" spans="2:23">
      <c r="B594" s="401" t="s">
        <v>1159</v>
      </c>
    </row>
    <row r="595" spans="2:23">
      <c r="B595" s="61" t="s">
        <v>1158</v>
      </c>
      <c r="D595" s="211">
        <f>D$569</f>
        <v>-5894</v>
      </c>
      <c r="E595" s="211">
        <f t="shared" ref="E595:I595" si="588">E$569</f>
        <v>-3421</v>
      </c>
      <c r="F595" s="211">
        <f t="shared" si="588"/>
        <v>-4400</v>
      </c>
      <c r="G595" s="211">
        <f t="shared" si="588"/>
        <v>-2290</v>
      </c>
      <c r="H595" s="211">
        <f t="shared" si="588"/>
        <v>-30</v>
      </c>
      <c r="I595" s="211">
        <f t="shared" si="588"/>
        <v>-16035</v>
      </c>
      <c r="J595" s="210"/>
      <c r="K595" s="210">
        <f>K$569</f>
        <v>48.856774070388951</v>
      </c>
      <c r="L595" s="210">
        <f t="shared" ref="L595:P595" si="589">L$569</f>
        <v>90.469634834896965</v>
      </c>
      <c r="M595" s="210">
        <f t="shared" si="589"/>
        <v>213.96027257630362</v>
      </c>
      <c r="N595" s="210">
        <f t="shared" si="589"/>
        <v>71.863206832997264</v>
      </c>
      <c r="O595" s="210">
        <f t="shared" si="589"/>
        <v>16.397046191506689</v>
      </c>
      <c r="P595" s="210">
        <f t="shared" si="589"/>
        <v>441.54693450609352</v>
      </c>
      <c r="Q595" s="210"/>
      <c r="R595" s="210">
        <f>R$569</f>
        <v>6.9598626868018947</v>
      </c>
      <c r="S595" s="210">
        <f t="shared" ref="S595:W595" si="590">S$569</f>
        <v>16.859770181865628</v>
      </c>
      <c r="T595" s="210">
        <f t="shared" si="590"/>
        <v>26.743472879108026</v>
      </c>
      <c r="U595" s="210">
        <f t="shared" si="590"/>
        <v>0.22597387263870417</v>
      </c>
      <c r="V595" s="210">
        <f t="shared" si="590"/>
        <v>1.5415611083902068</v>
      </c>
      <c r="W595" s="210">
        <f t="shared" si="590"/>
        <v>52.330640728804461</v>
      </c>
    </row>
    <row r="596" spans="2:23">
      <c r="B596" s="59" t="s">
        <v>676</v>
      </c>
      <c r="D596" s="211">
        <f>D$570</f>
        <v>216457.6538822767</v>
      </c>
      <c r="E596" s="211">
        <f t="shared" ref="E596:I596" si="591">E$570</f>
        <v>432551.92238569196</v>
      </c>
      <c r="F596" s="211">
        <f t="shared" si="591"/>
        <v>587868.25223140384</v>
      </c>
      <c r="G596" s="211">
        <f t="shared" si="591"/>
        <v>296598.44256774255</v>
      </c>
      <c r="H596" s="211">
        <f t="shared" si="591"/>
        <v>61556.099834710752</v>
      </c>
      <c r="I596" s="211">
        <f t="shared" si="591"/>
        <v>1595032.3709018258</v>
      </c>
      <c r="J596" s="210"/>
      <c r="K596" s="210">
        <f>K$570</f>
        <v>222.88528803887442</v>
      </c>
      <c r="L596" s="210">
        <f t="shared" ref="L596:P596" si="592">L$570</f>
        <v>498.12004847072649</v>
      </c>
      <c r="M596" s="210">
        <f t="shared" si="592"/>
        <v>580.09984959859287</v>
      </c>
      <c r="N596" s="210">
        <f t="shared" si="592"/>
        <v>292.67903356175333</v>
      </c>
      <c r="O596" s="210">
        <f t="shared" si="592"/>
        <v>100.05574771761722</v>
      </c>
      <c r="P596" s="210">
        <f t="shared" si="592"/>
        <v>1693.8399673875642</v>
      </c>
      <c r="Q596" s="210"/>
      <c r="R596" s="210">
        <f>R$570</f>
        <v>21.359726772954858</v>
      </c>
      <c r="S596" s="210">
        <f t="shared" ref="S596:W596" si="593">S$570</f>
        <v>69.347130343460321</v>
      </c>
      <c r="T596" s="210">
        <f t="shared" si="593"/>
        <v>58.009984959859281</v>
      </c>
      <c r="U596" s="210">
        <f t="shared" si="593"/>
        <v>29.267903356175331</v>
      </c>
      <c r="V596" s="210">
        <f t="shared" si="593"/>
        <v>6.0742664909102091</v>
      </c>
      <c r="W596" s="210">
        <f t="shared" si="593"/>
        <v>184.05901192336003</v>
      </c>
    </row>
    <row r="597" spans="2:23">
      <c r="B597" s="596" t="s">
        <v>677</v>
      </c>
      <c r="D597" s="210"/>
      <c r="E597" s="210"/>
      <c r="F597" s="210"/>
      <c r="G597" s="210"/>
      <c r="H597" s="210"/>
      <c r="I597" s="210"/>
      <c r="J597" s="210"/>
      <c r="K597" s="556">
        <f>K$571</f>
        <v>0.83478703789820408</v>
      </c>
      <c r="L597" s="556">
        <f t="shared" ref="L597:P597" si="594">L$571</f>
        <v>0.93360467145584647</v>
      </c>
      <c r="M597" s="556">
        <f t="shared" si="594"/>
        <v>0.80000000000000016</v>
      </c>
      <c r="N597" s="556">
        <f t="shared" si="594"/>
        <v>0.80000000000000016</v>
      </c>
      <c r="O597" s="556">
        <f t="shared" si="594"/>
        <v>1.3177656642802209</v>
      </c>
      <c r="P597" s="556">
        <f t="shared" si="594"/>
        <v>0.86093450815255901</v>
      </c>
      <c r="Q597" s="556"/>
      <c r="R597" s="556">
        <f>R$571</f>
        <v>0.08</v>
      </c>
      <c r="S597" s="556">
        <f t="shared" ref="S597:W597" si="595">S$571</f>
        <v>0.12997430045122313</v>
      </c>
      <c r="T597" s="556">
        <f t="shared" si="595"/>
        <v>8.0000000000000016E-2</v>
      </c>
      <c r="U597" s="556">
        <f t="shared" si="595"/>
        <v>0.08</v>
      </c>
      <c r="V597" s="556">
        <f t="shared" si="595"/>
        <v>8.0000000000000016E-2</v>
      </c>
      <c r="W597" s="556">
        <f t="shared" si="595"/>
        <v>9.3552376819684771E-2</v>
      </c>
    </row>
    <row r="598" spans="2:23">
      <c r="B598" s="596"/>
      <c r="D598" s="210"/>
      <c r="E598" s="210"/>
      <c r="F598" s="210"/>
      <c r="G598" s="210"/>
      <c r="H598" s="210"/>
      <c r="I598" s="210"/>
      <c r="J598" s="210"/>
      <c r="K598" s="556"/>
      <c r="L598" s="556"/>
      <c r="M598" s="556"/>
      <c r="N598" s="556"/>
      <c r="O598" s="556"/>
      <c r="P598" s="556"/>
      <c r="Q598" s="556"/>
      <c r="R598" s="556"/>
      <c r="S598" s="556"/>
      <c r="T598" s="556"/>
      <c r="U598" s="556"/>
      <c r="V598" s="556"/>
      <c r="W598" s="556"/>
    </row>
    <row r="599" spans="2:23">
      <c r="B599" s="401" t="s">
        <v>1035</v>
      </c>
      <c r="D599" s="210"/>
      <c r="E599" s="210"/>
      <c r="F599" s="210"/>
      <c r="G599" s="210"/>
      <c r="H599" s="210"/>
      <c r="I599" s="210"/>
      <c r="J599" s="210"/>
      <c r="K599" s="556"/>
      <c r="L599" s="556"/>
      <c r="M599" s="556"/>
      <c r="N599" s="556"/>
      <c r="O599" s="556"/>
      <c r="P599" s="556"/>
      <c r="Q599" s="556"/>
      <c r="R599" s="556"/>
      <c r="S599" s="556"/>
      <c r="T599" s="556"/>
      <c r="U599" s="556"/>
      <c r="V599" s="556"/>
      <c r="W599" s="556"/>
    </row>
    <row r="600" spans="2:23">
      <c r="B600" s="59" t="s">
        <v>1036</v>
      </c>
      <c r="D600" s="211">
        <f>D585+D590+D595</f>
        <v>-5894</v>
      </c>
      <c r="E600" s="211">
        <f t="shared" ref="E600:H600" si="596">E585+E590+E595</f>
        <v>-4421</v>
      </c>
      <c r="F600" s="211">
        <f t="shared" si="596"/>
        <v>-5015</v>
      </c>
      <c r="G600" s="211">
        <f t="shared" si="596"/>
        <v>-7450</v>
      </c>
      <c r="H600" s="211">
        <f t="shared" si="596"/>
        <v>-1478</v>
      </c>
      <c r="I600" s="211">
        <f>SUM(D600:H600)</f>
        <v>-24258</v>
      </c>
      <c r="J600" s="210"/>
      <c r="K600" s="210">
        <f>K585+K590+K595</f>
        <v>59.546971437750244</v>
      </c>
      <c r="L600" s="210">
        <f t="shared" ref="L600:O600" si="597">L585+L590+L595</f>
        <v>131.41474038964611</v>
      </c>
      <c r="M600" s="210">
        <f t="shared" si="597"/>
        <v>377.76764940140822</v>
      </c>
      <c r="N600" s="210">
        <f t="shared" si="597"/>
        <v>215.98849309425799</v>
      </c>
      <c r="O600" s="210">
        <f t="shared" si="597"/>
        <v>57.571981282382765</v>
      </c>
      <c r="P600" s="210">
        <f>SUM(K600:O600)</f>
        <v>842.28983560544532</v>
      </c>
      <c r="Q600" s="556"/>
      <c r="R600" s="210">
        <f>R585+R590+R595</f>
        <v>8.2913337918448988</v>
      </c>
      <c r="S600" s="210">
        <f t="shared" ref="S600:V600" si="598">S585+S590+S595</f>
        <v>24.315978192774182</v>
      </c>
      <c r="T600" s="210">
        <f t="shared" si="598"/>
        <v>50.043470140140755</v>
      </c>
      <c r="U600" s="210">
        <f t="shared" si="598"/>
        <v>20.296081418603094</v>
      </c>
      <c r="V600" s="210">
        <f t="shared" si="598"/>
        <v>3.7002307090897935</v>
      </c>
      <c r="W600" s="210">
        <f>SUM(R600:V600)</f>
        <v>106.64709425245273</v>
      </c>
    </row>
    <row r="601" spans="2:23">
      <c r="B601" s="1085" t="s">
        <v>1083</v>
      </c>
      <c r="D601" s="1082">
        <f>D581-D596+D600</f>
        <v>0</v>
      </c>
      <c r="E601" s="1082">
        <f t="shared" ref="E601:I601" si="599">E581-E596+E600</f>
        <v>0</v>
      </c>
      <c r="F601" s="1082">
        <f t="shared" si="599"/>
        <v>0</v>
      </c>
      <c r="G601" s="1082">
        <f t="shared" si="599"/>
        <v>0</v>
      </c>
      <c r="H601" s="1082">
        <f t="shared" si="599"/>
        <v>0</v>
      </c>
      <c r="I601" s="1082">
        <f t="shared" si="599"/>
        <v>0</v>
      </c>
      <c r="J601" s="1083"/>
      <c r="K601" s="1083">
        <f>K581-K596-K600</f>
        <v>0</v>
      </c>
      <c r="L601" s="1083">
        <f t="shared" ref="L601:P601" si="600">L581-L596-L600</f>
        <v>0</v>
      </c>
      <c r="M601" s="1083">
        <f t="shared" si="600"/>
        <v>0</v>
      </c>
      <c r="N601" s="1083">
        <f t="shared" si="600"/>
        <v>0</v>
      </c>
      <c r="O601" s="1083">
        <f t="shared" si="600"/>
        <v>0</v>
      </c>
      <c r="P601" s="1083">
        <f t="shared" si="600"/>
        <v>0</v>
      </c>
      <c r="Q601" s="1084"/>
      <c r="R601" s="1083">
        <f>R581-R596-R600</f>
        <v>0</v>
      </c>
      <c r="S601" s="1083">
        <f t="shared" ref="S601" si="601">S581-S596-S600</f>
        <v>0</v>
      </c>
      <c r="T601" s="1083">
        <f t="shared" ref="T601" si="602">T581-T596-T600</f>
        <v>0</v>
      </c>
      <c r="U601" s="1083">
        <f t="shared" ref="U601" si="603">U581-U596-U600</f>
        <v>0</v>
      </c>
      <c r="V601" s="1083">
        <f t="shared" ref="V601" si="604">V581-V596-V600</f>
        <v>0</v>
      </c>
      <c r="W601" s="1083">
        <f t="shared" ref="W601" si="605">W581-W596-W600</f>
        <v>-1.8474111129762605E-13</v>
      </c>
    </row>
    <row r="602" spans="2:23">
      <c r="B602" s="38" t="s">
        <v>744</v>
      </c>
    </row>
    <row r="603" spans="2:23">
      <c r="B603" s="61" t="s">
        <v>681</v>
      </c>
      <c r="D603" s="598">
        <f>D585/D$581</f>
        <v>0</v>
      </c>
      <c r="E603" s="598">
        <f t="shared" ref="E603:I603" si="606">E585/E$581</f>
        <v>0</v>
      </c>
      <c r="F603" s="598">
        <f t="shared" si="606"/>
        <v>-1.0373037148297857E-3</v>
      </c>
      <c r="G603" s="598">
        <f t="shared" si="606"/>
        <v>-1.6477637437276999E-2</v>
      </c>
      <c r="H603" s="598">
        <f t="shared" si="606"/>
        <v>0</v>
      </c>
      <c r="I603" s="598">
        <f t="shared" si="606"/>
        <v>-3.4737438702036423E-3</v>
      </c>
      <c r="K603" s="598">
        <f>K585/K$581</f>
        <v>9.0422481542314827E-3</v>
      </c>
      <c r="L603" s="598">
        <f t="shared" ref="L603:P603" si="607">L585/L$581</f>
        <v>2.5606762249279064E-2</v>
      </c>
      <c r="M603" s="598">
        <f t="shared" si="607"/>
        <v>0.12668502378307683</v>
      </c>
      <c r="N603" s="598">
        <f t="shared" si="607"/>
        <v>0.15681313053951487</v>
      </c>
      <c r="O603" s="598">
        <f t="shared" si="607"/>
        <v>0.21392389416767232</v>
      </c>
      <c r="P603" s="598">
        <f t="shared" si="607"/>
        <v>9.9958496489741228E-2</v>
      </c>
      <c r="Q603" s="598"/>
      <c r="R603" s="598">
        <f>R585/R$581</f>
        <v>3.7660325846901399E-3</v>
      </c>
      <c r="S603" s="598">
        <f t="shared" ref="S603:W603" si="608">S585/S$581</f>
        <v>2.9852882391161583E-2</v>
      </c>
      <c r="T603" s="598">
        <f t="shared" si="608"/>
        <v>0.15775459205715611</v>
      </c>
      <c r="U603" s="598">
        <f t="shared" si="608"/>
        <v>0.17663501477535823</v>
      </c>
      <c r="V603" s="598">
        <f t="shared" si="608"/>
        <v>0.16603157572500904</v>
      </c>
      <c r="W603" s="598">
        <f t="shared" si="608"/>
        <v>0.10433671348532944</v>
      </c>
    </row>
    <row r="604" spans="2:23">
      <c r="B604" s="61" t="s">
        <v>425</v>
      </c>
      <c r="D604" s="598">
        <f>D590/D$581</f>
        <v>0</v>
      </c>
      <c r="E604" s="598">
        <f t="shared" ref="E604:I604" si="609">E590/E$581</f>
        <v>-2.2884713188643644E-3</v>
      </c>
      <c r="F604" s="598">
        <f t="shared" si="609"/>
        <v>0</v>
      </c>
      <c r="G604" s="598">
        <f t="shared" si="609"/>
        <v>-4.9334243824182631E-4</v>
      </c>
      <c r="H604" s="598">
        <f t="shared" si="609"/>
        <v>-2.2971693159686168E-2</v>
      </c>
      <c r="I604" s="598">
        <f t="shared" si="609"/>
        <v>-1.6044065021847223E-3</v>
      </c>
      <c r="K604" s="598">
        <f>K590/K$581</f>
        <v>2.8808234602842025E-2</v>
      </c>
      <c r="L604" s="598">
        <f t="shared" ref="L604:P604" si="610">L590/L$581</f>
        <v>3.943349649300714E-2</v>
      </c>
      <c r="M604" s="598">
        <f t="shared" si="610"/>
        <v>4.432754005912156E-2</v>
      </c>
      <c r="N604" s="598">
        <f t="shared" si="610"/>
        <v>0.12652574742806982</v>
      </c>
      <c r="O604" s="598">
        <f t="shared" si="610"/>
        <v>4.7292424509837006E-2</v>
      </c>
      <c r="P604" s="598">
        <f t="shared" si="610"/>
        <v>5.8055064419647459E-2</v>
      </c>
      <c r="Q604" s="598"/>
      <c r="R604" s="598">
        <f>R590/R$581</f>
        <v>4.1138637928973022E-2</v>
      </c>
      <c r="S604" s="598">
        <f t="shared" ref="S604:W604" si="611">S590/S$581</f>
        <v>4.975378588447061E-2</v>
      </c>
      <c r="T604" s="598">
        <f t="shared" si="611"/>
        <v>5.7879394282931963E-2</v>
      </c>
      <c r="U604" s="598">
        <f t="shared" si="611"/>
        <v>0.22829827775880956</v>
      </c>
      <c r="V604" s="598">
        <f t="shared" si="611"/>
        <v>5.4815548841110437E-2</v>
      </c>
      <c r="W604" s="598">
        <f t="shared" si="611"/>
        <v>8.2506467203826372E-2</v>
      </c>
    </row>
    <row r="605" spans="2:23">
      <c r="B605" s="61" t="s">
        <v>1094</v>
      </c>
      <c r="D605" s="598">
        <f>D595/D$581</f>
        <v>-2.6507560870766257E-2</v>
      </c>
      <c r="E605" s="598">
        <f t="shared" ref="E605:I605" si="612">E595/E$581</f>
        <v>-7.8288603818349907E-3</v>
      </c>
      <c r="F605" s="598">
        <f t="shared" si="612"/>
        <v>-7.4213599109773281E-3</v>
      </c>
      <c r="G605" s="598">
        <f t="shared" si="612"/>
        <v>-7.5316945571585487E-3</v>
      </c>
      <c r="H605" s="598">
        <f t="shared" si="612"/>
        <v>-4.7593286933051451E-4</v>
      </c>
      <c r="I605" s="598">
        <f t="shared" si="612"/>
        <v>-9.9024858593271831E-3</v>
      </c>
      <c r="K605" s="598">
        <f>K595/K$581</f>
        <v>0.17298581316782105</v>
      </c>
      <c r="L605" s="598">
        <f t="shared" ref="L605:P605" si="613">L595/L$581</f>
        <v>0.14370871385626099</v>
      </c>
      <c r="M605" s="598">
        <f t="shared" si="613"/>
        <v>0.22337147131484766</v>
      </c>
      <c r="N605" s="598">
        <f t="shared" si="613"/>
        <v>0.14127736304581337</v>
      </c>
      <c r="O605" s="598">
        <f t="shared" si="613"/>
        <v>0.10402386874143629</v>
      </c>
      <c r="P605" s="598">
        <f t="shared" si="613"/>
        <v>0.17410265593858903</v>
      </c>
      <c r="Q605" s="598"/>
      <c r="R605" s="598">
        <f>R595/R$581</f>
        <v>0.23472559005408031</v>
      </c>
      <c r="S605" s="598">
        <f t="shared" ref="S605:W605" si="614">S595/S$581</f>
        <v>0.180004384280533</v>
      </c>
      <c r="T605" s="598">
        <f t="shared" si="614"/>
        <v>0.24750224649788194</v>
      </c>
      <c r="U605" s="598">
        <f t="shared" si="614"/>
        <v>4.5592353735387165E-3</v>
      </c>
      <c r="V605" s="598">
        <f t="shared" si="614"/>
        <v>0.15771257353168061</v>
      </c>
      <c r="W605" s="598">
        <f t="shared" si="614"/>
        <v>0.18001218280965883</v>
      </c>
    </row>
    <row r="606" spans="2:23">
      <c r="B606" s="61" t="s">
        <v>975</v>
      </c>
      <c r="D606" s="598">
        <f>SUM(D603:D605)</f>
        <v>-2.6507560870766257E-2</v>
      </c>
      <c r="E606" s="598">
        <f t="shared" ref="E606:I606" si="615">SUM(E603:E605)</f>
        <v>-1.0117331700699355E-2</v>
      </c>
      <c r="F606" s="598">
        <f t="shared" si="615"/>
        <v>-8.4586636258071144E-3</v>
      </c>
      <c r="G606" s="598">
        <f t="shared" si="615"/>
        <v>-2.4502674432677375E-2</v>
      </c>
      <c r="H606" s="598">
        <f t="shared" si="615"/>
        <v>-2.3447626029016684E-2</v>
      </c>
      <c r="I606" s="598">
        <f t="shared" si="615"/>
        <v>-1.4980636231715548E-2</v>
      </c>
      <c r="K606" s="598">
        <f>SUM(K603:K605)</f>
        <v>0.21083629592489456</v>
      </c>
      <c r="L606" s="598">
        <f t="shared" ref="L606" si="616">SUM(L603:L605)</f>
        <v>0.20874897259854719</v>
      </c>
      <c r="M606" s="598">
        <f t="shared" ref="M606" si="617">SUM(M603:M605)</f>
        <v>0.39438403515704606</v>
      </c>
      <c r="N606" s="598">
        <f t="shared" ref="N606" si="618">SUM(N603:N605)</f>
        <v>0.42461624101339812</v>
      </c>
      <c r="O606" s="598">
        <f t="shared" ref="O606" si="619">SUM(O603:O605)</f>
        <v>0.36524018741894559</v>
      </c>
      <c r="P606" s="598">
        <f t="shared" ref="P606" si="620">SUM(P603:P605)</f>
        <v>0.33211621684797771</v>
      </c>
      <c r="Q606" s="598"/>
      <c r="R606" s="598">
        <f>SUM(R603:R605)</f>
        <v>0.27963026056774348</v>
      </c>
      <c r="S606" s="598">
        <f t="shared" ref="S606" si="621">SUM(S603:S605)</f>
        <v>0.25961105255616518</v>
      </c>
      <c r="T606" s="598">
        <f t="shared" ref="T606" si="622">SUM(T603:T605)</f>
        <v>0.46313623283797001</v>
      </c>
      <c r="U606" s="598">
        <f t="shared" ref="U606" si="623">SUM(U603:U605)</f>
        <v>0.40949252790770646</v>
      </c>
      <c r="V606" s="598">
        <f t="shared" ref="V606" si="624">SUM(V603:V605)</f>
        <v>0.3785596980978001</v>
      </c>
      <c r="W606" s="598">
        <f t="shared" ref="W606" si="625">SUM(W603:W605)</f>
        <v>0.36685536349881465</v>
      </c>
    </row>
    <row r="610" spans="1:23">
      <c r="A610" s="609" t="s">
        <v>756</v>
      </c>
      <c r="B610" s="610"/>
      <c r="C610" s="611"/>
      <c r="D610" s="612"/>
      <c r="E610" s="612"/>
      <c r="F610" s="612"/>
      <c r="G610" s="612"/>
      <c r="H610" s="612"/>
      <c r="I610" s="612"/>
      <c r="J610" s="611"/>
      <c r="K610" s="613"/>
      <c r="L610" s="613"/>
      <c r="M610" s="613"/>
      <c r="N610" s="613"/>
      <c r="O610" s="613"/>
      <c r="P610" s="613"/>
      <c r="Q610" s="611"/>
      <c r="R610" s="611"/>
      <c r="S610" s="614"/>
      <c r="T610" s="614"/>
      <c r="U610" s="614"/>
      <c r="V610" s="614"/>
      <c r="W610" s="615"/>
    </row>
    <row r="613" spans="1:23">
      <c r="A613" s="367" t="s">
        <v>820</v>
      </c>
      <c r="B613" s="229"/>
      <c r="C613" s="230"/>
      <c r="D613" s="231"/>
      <c r="E613" s="231"/>
      <c r="F613" s="231"/>
      <c r="G613" s="231"/>
      <c r="H613" s="231"/>
      <c r="I613" s="231"/>
      <c r="J613" s="230"/>
      <c r="K613" s="232"/>
      <c r="L613" s="232"/>
      <c r="M613" s="232"/>
      <c r="N613" s="232"/>
      <c r="O613" s="232"/>
      <c r="P613" s="232"/>
      <c r="Q613" s="230"/>
      <c r="R613" s="366"/>
      <c r="S613" s="354"/>
      <c r="T613" s="354"/>
      <c r="U613" s="354"/>
      <c r="V613" s="354"/>
      <c r="W613" s="243"/>
    </row>
    <row r="614" spans="1:23" s="238" customFormat="1">
      <c r="A614" s="85"/>
      <c r="B614" s="576">
        <v>3</v>
      </c>
      <c r="C614" s="577">
        <v>2</v>
      </c>
      <c r="D614" s="577">
        <v>4</v>
      </c>
      <c r="E614" s="577">
        <v>5</v>
      </c>
      <c r="F614" s="577">
        <v>6</v>
      </c>
      <c r="G614" s="577">
        <v>11</v>
      </c>
      <c r="H614" s="577">
        <v>12</v>
      </c>
      <c r="I614" s="577">
        <v>13</v>
      </c>
      <c r="J614" s="577">
        <v>14</v>
      </c>
      <c r="K614" s="577">
        <v>15</v>
      </c>
      <c r="L614" s="577">
        <v>16</v>
      </c>
      <c r="M614" s="578" t="s">
        <v>696</v>
      </c>
      <c r="N614" s="236"/>
      <c r="O614" s="236"/>
      <c r="P614" s="236"/>
      <c r="Q614" s="234"/>
      <c r="R614" s="237"/>
    </row>
    <row r="615" spans="1:23">
      <c r="A615" s="368" t="s">
        <v>191</v>
      </c>
      <c r="B615" s="368" t="s">
        <v>216</v>
      </c>
      <c r="C615" s="368" t="s">
        <v>193</v>
      </c>
      <c r="D615" s="13" t="s">
        <v>198</v>
      </c>
      <c r="E615" s="375" t="s">
        <v>199</v>
      </c>
      <c r="F615" s="375" t="s">
        <v>200</v>
      </c>
      <c r="G615" s="376" t="s">
        <v>240</v>
      </c>
      <c r="H615" s="376" t="s">
        <v>241</v>
      </c>
      <c r="I615" s="376" t="s">
        <v>243</v>
      </c>
      <c r="J615" s="376" t="s">
        <v>242</v>
      </c>
      <c r="K615" s="575" t="s">
        <v>663</v>
      </c>
      <c r="L615" s="575" t="s">
        <v>664</v>
      </c>
      <c r="M615" s="566"/>
    </row>
    <row r="616" spans="1:23">
      <c r="A616" s="371">
        <v>1</v>
      </c>
      <c r="B616" s="372" t="str">
        <f t="shared" ref="B616:L617" si="626">VLOOKUP($A616,parmlist,B$614,FALSE)</f>
        <v>Total Nitrogen</v>
      </c>
      <c r="C616" s="579" t="str">
        <f t="shared" si="626"/>
        <v>TN</v>
      </c>
      <c r="D616" s="581" t="str">
        <f t="shared" si="626"/>
        <v>mg/L</v>
      </c>
      <c r="E616" s="581">
        <f t="shared" si="626"/>
        <v>0.8</v>
      </c>
      <c r="F616" s="581" t="str">
        <f t="shared" si="626"/>
        <v>0.80 mg/L</v>
      </c>
      <c r="G616" s="377">
        <f t="shared" si="626"/>
        <v>6</v>
      </c>
      <c r="H616" s="377">
        <f t="shared" si="626"/>
        <v>7</v>
      </c>
      <c r="I616" s="377">
        <f t="shared" si="626"/>
        <v>7</v>
      </c>
      <c r="J616" s="377">
        <f t="shared" si="626"/>
        <v>9</v>
      </c>
      <c r="K616" s="377">
        <f t="shared" si="626"/>
        <v>3</v>
      </c>
      <c r="L616" s="377">
        <f t="shared" si="626"/>
        <v>4</v>
      </c>
    </row>
    <row r="617" spans="1:23">
      <c r="A617" s="373">
        <v>2</v>
      </c>
      <c r="B617" s="374" t="str">
        <f t="shared" si="626"/>
        <v>Total Phosphorus</v>
      </c>
      <c r="C617" s="580" t="str">
        <f t="shared" si="626"/>
        <v>TP</v>
      </c>
      <c r="D617" s="582" t="str">
        <f t="shared" si="626"/>
        <v>mg/L</v>
      </c>
      <c r="E617" s="582">
        <f t="shared" si="626"/>
        <v>0.08</v>
      </c>
      <c r="F617" s="582" t="str">
        <f t="shared" si="626"/>
        <v>0.080 mg/L</v>
      </c>
      <c r="G617" s="378">
        <f t="shared" si="626"/>
        <v>8</v>
      </c>
      <c r="H617" s="378">
        <f t="shared" si="626"/>
        <v>9</v>
      </c>
      <c r="I617" s="378">
        <f t="shared" si="626"/>
        <v>6</v>
      </c>
      <c r="J617" s="378">
        <f t="shared" si="626"/>
        <v>8</v>
      </c>
      <c r="K617" s="378">
        <f t="shared" si="626"/>
        <v>6</v>
      </c>
      <c r="L617" s="378">
        <f t="shared" si="626"/>
        <v>7</v>
      </c>
    </row>
    <row r="620" spans="1:23">
      <c r="A620" s="367" t="s">
        <v>990</v>
      </c>
      <c r="B620" s="229"/>
      <c r="C620" s="230"/>
      <c r="D620" s="231"/>
      <c r="E620" s="231"/>
      <c r="F620" s="231"/>
      <c r="G620" s="231"/>
      <c r="H620" s="231"/>
      <c r="I620" s="231"/>
      <c r="J620" s="230"/>
      <c r="K620" s="232"/>
      <c r="L620" s="232"/>
      <c r="M620" s="232"/>
      <c r="N620" s="232"/>
      <c r="O620" s="232"/>
      <c r="P620" s="232"/>
      <c r="Q620" s="230"/>
      <c r="R620" s="366"/>
      <c r="S620" s="354"/>
      <c r="T620" s="354"/>
      <c r="U620" s="354"/>
      <c r="V620" s="354"/>
      <c r="W620" s="243"/>
    </row>
    <row r="621" spans="1:23">
      <c r="A621" s="61" t="s">
        <v>991</v>
      </c>
    </row>
    <row r="622" spans="1:23">
      <c r="A622" s="61" t="s">
        <v>1270</v>
      </c>
      <c r="I622" s="929" t="s">
        <v>992</v>
      </c>
      <c r="J622" s="224"/>
      <c r="K622" s="224"/>
      <c r="L622" s="224"/>
      <c r="M622" s="224"/>
      <c r="N622" s="224"/>
      <c r="O622" s="224"/>
      <c r="P622" s="224"/>
      <c r="Q622" s="224"/>
      <c r="R622" s="224"/>
      <c r="S622" s="224"/>
      <c r="T622" s="224"/>
      <c r="U622" s="224"/>
      <c r="V622" s="224"/>
      <c r="W622" s="483" t="s">
        <v>992</v>
      </c>
    </row>
    <row r="623" spans="1:23" s="45" customFormat="1">
      <c r="A623" s="98" t="s">
        <v>1248</v>
      </c>
      <c r="I623" s="183">
        <v>1</v>
      </c>
      <c r="J623" s="183">
        <v>2</v>
      </c>
      <c r="K623" s="183">
        <v>3</v>
      </c>
      <c r="L623" s="183">
        <v>4</v>
      </c>
      <c r="M623" s="183">
        <v>5</v>
      </c>
      <c r="N623" s="183">
        <v>6</v>
      </c>
      <c r="O623" s="183">
        <v>7</v>
      </c>
      <c r="P623" s="183">
        <v>8</v>
      </c>
      <c r="Q623" s="183">
        <v>9</v>
      </c>
      <c r="R623" s="183">
        <v>10</v>
      </c>
      <c r="S623" s="183">
        <v>11</v>
      </c>
      <c r="T623" s="183">
        <v>12</v>
      </c>
      <c r="U623" s="183">
        <v>13</v>
      </c>
      <c r="V623" s="183">
        <v>14</v>
      </c>
      <c r="W623" s="183">
        <v>15</v>
      </c>
    </row>
    <row r="624" spans="1:23">
      <c r="I624" t="s">
        <v>267</v>
      </c>
      <c r="K624" s="183">
        <f t="shared" ref="K624:P624" si="627">VLOOKUP(K$24,subwatgeog,4,FALSE)</f>
        <v>1</v>
      </c>
      <c r="L624" s="183">
        <f t="shared" si="627"/>
        <v>4</v>
      </c>
      <c r="M624" s="183">
        <f t="shared" si="627"/>
        <v>5</v>
      </c>
      <c r="N624" s="183">
        <f t="shared" si="627"/>
        <v>2</v>
      </c>
      <c r="O624" s="183">
        <f t="shared" si="627"/>
        <v>3</v>
      </c>
      <c r="P624" s="183">
        <f t="shared" si="627"/>
        <v>6</v>
      </c>
      <c r="R624" s="183">
        <f t="shared" ref="R624:W624" si="628">VLOOKUP(R$24,subwatgeog,4,FALSE)</f>
        <v>1</v>
      </c>
      <c r="S624" s="183">
        <f t="shared" si="628"/>
        <v>4</v>
      </c>
      <c r="T624" s="183">
        <f t="shared" si="628"/>
        <v>5</v>
      </c>
      <c r="U624" s="183">
        <f t="shared" si="628"/>
        <v>2</v>
      </c>
      <c r="V624" s="183">
        <f t="shared" si="628"/>
        <v>3</v>
      </c>
      <c r="W624" s="183">
        <f t="shared" si="628"/>
        <v>6</v>
      </c>
    </row>
    <row r="625" spans="1:25">
      <c r="I625" s="3">
        <v>1</v>
      </c>
      <c r="J625" t="str">
        <f>VLOOKUP(I625,projstatus,5,FALSE)</f>
        <v>Current</v>
      </c>
      <c r="K625" s="556">
        <f t="shared" ref="K625:P625" si="629">MAX(K$218,MIN(TNBase,K$138))</f>
        <v>1.0204607768377447</v>
      </c>
      <c r="L625" s="556">
        <f t="shared" si="629"/>
        <v>1.1590227991403534</v>
      </c>
      <c r="M625" s="556">
        <f t="shared" si="629"/>
        <v>1.1455172184726337</v>
      </c>
      <c r="N625" s="556">
        <f t="shared" si="629"/>
        <v>1.1627194424529279</v>
      </c>
      <c r="O625" s="556">
        <f t="shared" si="629"/>
        <v>1.5937350820952885</v>
      </c>
      <c r="P625" s="556">
        <f t="shared" si="629"/>
        <v>1.1526675020832824</v>
      </c>
      <c r="Q625" s="556"/>
      <c r="R625" s="556">
        <f t="shared" ref="R625:W625" si="630">MAX(R$218,MIN(TPBase,R$138))</f>
        <v>0.10770316206195675</v>
      </c>
      <c r="S625" s="556">
        <f t="shared" si="630"/>
        <v>0.17332684642830429</v>
      </c>
      <c r="T625" s="556">
        <f t="shared" si="630"/>
        <v>0.1245532156923672</v>
      </c>
      <c r="U625" s="556">
        <f t="shared" si="630"/>
        <v>0.11166958885423757</v>
      </c>
      <c r="V625" s="556">
        <f t="shared" si="630"/>
        <v>0.10489956578469842</v>
      </c>
      <c r="W625" s="556">
        <f t="shared" si="630"/>
        <v>0.13221708011295966</v>
      </c>
    </row>
    <row r="626" spans="1:25">
      <c r="I626" s="3">
        <v>2</v>
      </c>
      <c r="J626" t="str">
        <f>VLOOKUP(I626,projstatus,5,FALSE)</f>
        <v>Near-Term</v>
      </c>
      <c r="K626" s="556">
        <f t="shared" ref="K626:P626" si="631">MAX(K$354,MIN(TNBase,K$274))</f>
        <v>0.99079485676457946</v>
      </c>
      <c r="L626" s="556">
        <f t="shared" si="631"/>
        <v>1.0956675745807085</v>
      </c>
      <c r="M626" s="556">
        <f t="shared" si="631"/>
        <v>1.0925311778035365</v>
      </c>
      <c r="N626" s="556">
        <f t="shared" si="631"/>
        <v>1.1007807002907626</v>
      </c>
      <c r="O626" s="556">
        <f t="shared" si="631"/>
        <v>1.5228551192607718</v>
      </c>
      <c r="P626" s="556">
        <f t="shared" si="631"/>
        <v>1.0977003336995317</v>
      </c>
      <c r="Q626" s="556"/>
      <c r="R626" s="556">
        <f t="shared" ref="R626:W626" si="632">MAX(R$354,MIN(TPBase,R$274))</f>
        <v>0.10325565120326982</v>
      </c>
      <c r="S626" s="556">
        <f t="shared" si="632"/>
        <v>0.16083117601841881</v>
      </c>
      <c r="T626" s="556">
        <f t="shared" si="632"/>
        <v>0.11741770673993296</v>
      </c>
      <c r="U626" s="556">
        <f t="shared" si="632"/>
        <v>0.10408049054335348</v>
      </c>
      <c r="V626" s="556">
        <f t="shared" si="632"/>
        <v>0.10064826454851741</v>
      </c>
      <c r="W626" s="556">
        <f t="shared" si="632"/>
        <v>0.12409577470371951</v>
      </c>
    </row>
    <row r="627" spans="1:25">
      <c r="I627" s="3">
        <v>3</v>
      </c>
      <c r="J627" t="str">
        <f>VLOOKUP(I627,projstatus,5,FALSE)</f>
        <v>Long-Term</v>
      </c>
      <c r="K627" s="556">
        <f t="shared" ref="K627:W627" si="633">K$499</f>
        <v>0.91424812065755701</v>
      </c>
      <c r="L627" s="556">
        <f t="shared" si="633"/>
        <v>0.99675858152306107</v>
      </c>
      <c r="M627" s="556">
        <f t="shared" si="633"/>
        <v>1.0481309398118519</v>
      </c>
      <c r="N627" s="556">
        <f t="shared" si="633"/>
        <v>0.95446953260391687</v>
      </c>
      <c r="O627" s="556">
        <f t="shared" si="633"/>
        <v>1.4736462476584935</v>
      </c>
      <c r="P627" s="556">
        <f t="shared" si="633"/>
        <v>1.0146410260368444</v>
      </c>
      <c r="Q627" s="556"/>
      <c r="R627" s="556">
        <f t="shared" si="633"/>
        <v>9.2206478398387914E-2</v>
      </c>
      <c r="S627" s="556">
        <f t="shared" si="633"/>
        <v>0.14247377488544583</v>
      </c>
      <c r="T627" s="556">
        <f t="shared" si="633"/>
        <v>0.11061622292918427</v>
      </c>
      <c r="U627" s="556">
        <f t="shared" si="633"/>
        <v>0.08</v>
      </c>
      <c r="V627" s="556">
        <f t="shared" si="633"/>
        <v>9.4853689226124374E-2</v>
      </c>
      <c r="W627" s="556">
        <f t="shared" si="633"/>
        <v>0.11041387553742978</v>
      </c>
    </row>
    <row r="630" spans="1:25">
      <c r="A630" s="779" t="s">
        <v>972</v>
      </c>
      <c r="B630" s="838" t="s">
        <v>973</v>
      </c>
    </row>
    <row r="631" spans="1:25">
      <c r="A631" s="725" t="s">
        <v>822</v>
      </c>
      <c r="B631" s="568"/>
      <c r="C631" s="569"/>
      <c r="D631" s="570"/>
      <c r="E631" s="570"/>
      <c r="F631" s="570"/>
      <c r="G631" s="570"/>
      <c r="H631" s="570"/>
      <c r="I631" s="570"/>
      <c r="J631" s="569"/>
      <c r="K631" s="571"/>
      <c r="L631" s="571"/>
      <c r="M631" s="571"/>
      <c r="N631" s="571"/>
      <c r="O631" s="571"/>
      <c r="P631" s="571"/>
      <c r="Q631" s="569"/>
      <c r="R631" s="726"/>
      <c r="S631" s="572"/>
      <c r="T631" s="572"/>
      <c r="U631" s="572"/>
      <c r="V631" s="572"/>
      <c r="W631" s="606" t="s">
        <v>778</v>
      </c>
    </row>
    <row r="632" spans="1:25">
      <c r="A632" s="61" t="s">
        <v>779</v>
      </c>
    </row>
    <row r="633" spans="1:25">
      <c r="A633" s="61" t="s">
        <v>781</v>
      </c>
    </row>
    <row r="635" spans="1:25">
      <c r="A635" s="929" t="s">
        <v>812</v>
      </c>
      <c r="B635" s="224"/>
      <c r="C635" s="224"/>
      <c r="D635" s="224"/>
      <c r="E635" s="224"/>
      <c r="F635" s="224"/>
      <c r="G635" s="224"/>
      <c r="H635" s="224"/>
      <c r="I635" s="224"/>
      <c r="J635" s="224"/>
      <c r="K635" s="224"/>
      <c r="L635" s="224"/>
      <c r="M635" s="224"/>
      <c r="N635" s="224"/>
      <c r="O635" s="224"/>
      <c r="P635" s="224"/>
      <c r="Q635" s="224"/>
      <c r="R635" s="224"/>
      <c r="S635" s="224"/>
      <c r="T635" s="224"/>
      <c r="U635" s="224"/>
      <c r="V635" s="224"/>
      <c r="W635" s="483" t="s">
        <v>812</v>
      </c>
    </row>
    <row r="636" spans="1:25">
      <c r="A636" s="183">
        <v>1</v>
      </c>
      <c r="B636" s="183">
        <v>2</v>
      </c>
      <c r="C636" s="183">
        <v>3</v>
      </c>
      <c r="D636" s="183">
        <v>4</v>
      </c>
      <c r="E636" s="183">
        <v>5</v>
      </c>
      <c r="F636" s="183">
        <v>6</v>
      </c>
      <c r="G636" s="183">
        <v>7</v>
      </c>
      <c r="H636" s="183">
        <v>8</v>
      </c>
      <c r="I636" s="183">
        <v>9</v>
      </c>
      <c r="J636" s="183">
        <v>10</v>
      </c>
      <c r="K636" s="183">
        <v>11</v>
      </c>
      <c r="L636" s="183">
        <v>12</v>
      </c>
      <c r="M636" s="183">
        <v>13</v>
      </c>
      <c r="N636" s="183">
        <v>14</v>
      </c>
      <c r="O636" s="183">
        <v>15</v>
      </c>
      <c r="P636" s="183">
        <v>16</v>
      </c>
      <c r="Q636" s="183">
        <v>17</v>
      </c>
      <c r="R636" s="183">
        <v>18</v>
      </c>
      <c r="S636" s="183">
        <v>19</v>
      </c>
      <c r="T636" s="183">
        <v>20</v>
      </c>
      <c r="U636" s="183">
        <v>21</v>
      </c>
      <c r="V636" s="183">
        <v>22</v>
      </c>
      <c r="W636" s="183">
        <v>23</v>
      </c>
    </row>
    <row r="637" spans="1:25">
      <c r="C637" s="183" t="s">
        <v>206</v>
      </c>
      <c r="D637" s="183">
        <v>1</v>
      </c>
      <c r="E637" s="183">
        <v>2</v>
      </c>
      <c r="F637" s="183">
        <v>3</v>
      </c>
      <c r="G637" s="183">
        <v>4</v>
      </c>
      <c r="H637" s="183">
        <v>5</v>
      </c>
      <c r="I637" s="183">
        <v>6</v>
      </c>
      <c r="K637" s="183">
        <v>1</v>
      </c>
      <c r="L637" s="183">
        <v>2</v>
      </c>
      <c r="M637" s="183">
        <v>3</v>
      </c>
      <c r="N637" s="183">
        <v>4</v>
      </c>
      <c r="O637" s="183">
        <v>5</v>
      </c>
      <c r="P637" s="183">
        <v>6</v>
      </c>
      <c r="R637" s="183">
        <v>1</v>
      </c>
      <c r="S637" s="183">
        <v>2</v>
      </c>
      <c r="T637" s="183">
        <v>3</v>
      </c>
      <c r="U637" s="183">
        <v>4</v>
      </c>
      <c r="V637" s="183">
        <v>5</v>
      </c>
      <c r="W637" s="183">
        <v>6</v>
      </c>
    </row>
    <row r="638" spans="1:25">
      <c r="D638" s="1440" t="s">
        <v>488</v>
      </c>
      <c r="E638" s="1440"/>
      <c r="F638" s="1440"/>
      <c r="G638" s="1440"/>
      <c r="H638" s="1440"/>
      <c r="I638" s="1440"/>
      <c r="K638" s="1441" t="s">
        <v>771</v>
      </c>
      <c r="L638" s="1441"/>
      <c r="M638" s="1441"/>
      <c r="N638" s="1441"/>
      <c r="O638" s="1441"/>
      <c r="P638" s="1441"/>
      <c r="R638" s="1442" t="s">
        <v>772</v>
      </c>
      <c r="S638" s="1442"/>
      <c r="T638" s="1442"/>
      <c r="U638" s="1442"/>
      <c r="V638" s="1442"/>
      <c r="W638" s="1442"/>
    </row>
    <row r="639" spans="1:25">
      <c r="D639" s="640" t="str">
        <f>VLOOKUP(D$24,subwatgeog,2,FALSE)</f>
        <v>Coastal</v>
      </c>
      <c r="E639" s="640" t="str">
        <f t="shared" ref="E639:I639" si="634">VLOOKUP(E$24,subwatgeog,2,FALSE)</f>
        <v>Tidal Cal.</v>
      </c>
      <c r="F639" s="640" t="str">
        <f t="shared" si="634"/>
        <v>West Cal.</v>
      </c>
      <c r="G639" s="640" t="str">
        <f t="shared" si="634"/>
        <v>East Cal.</v>
      </c>
      <c r="H639" s="640" t="str">
        <f t="shared" si="634"/>
        <v>S-4</v>
      </c>
      <c r="I639" s="641" t="str">
        <f t="shared" si="634"/>
        <v>Total CRWPP</v>
      </c>
      <c r="K639" s="642" t="str">
        <f t="shared" ref="K639:W639" si="635">VLOOKUP(K$24,subwatgeog,2,FALSE)</f>
        <v>Coastal</v>
      </c>
      <c r="L639" s="642" t="str">
        <f t="shared" si="635"/>
        <v>Tidal Cal.</v>
      </c>
      <c r="M639" s="642" t="str">
        <f t="shared" si="635"/>
        <v>West Cal.</v>
      </c>
      <c r="N639" s="642" t="str">
        <f t="shared" si="635"/>
        <v>East Cal.</v>
      </c>
      <c r="O639" s="642" t="str">
        <f t="shared" si="635"/>
        <v>S-4</v>
      </c>
      <c r="P639" s="643" t="str">
        <f t="shared" si="635"/>
        <v>Total CRWPP</v>
      </c>
      <c r="R639" s="644" t="str">
        <f t="shared" si="635"/>
        <v>Coastal</v>
      </c>
      <c r="S639" s="644" t="str">
        <f t="shared" si="635"/>
        <v>Tidal Cal.</v>
      </c>
      <c r="T639" s="644" t="str">
        <f t="shared" si="635"/>
        <v>West Cal.</v>
      </c>
      <c r="U639" s="644" t="str">
        <f t="shared" si="635"/>
        <v>East Cal.</v>
      </c>
      <c r="V639" s="644" t="str">
        <f t="shared" si="635"/>
        <v>S-4</v>
      </c>
      <c r="W639" s="645" t="str">
        <f t="shared" si="635"/>
        <v>Total CRWPP</v>
      </c>
      <c r="X639" s="183"/>
      <c r="Y639" s="183"/>
    </row>
    <row r="640" spans="1:25">
      <c r="A640" s="777">
        <v>1</v>
      </c>
      <c r="B640" s="633" t="s">
        <v>760</v>
      </c>
      <c r="C640" s="634"/>
      <c r="D640" s="634"/>
      <c r="E640" s="634"/>
      <c r="F640" s="634"/>
      <c r="G640" s="634"/>
      <c r="H640" s="634"/>
      <c r="I640" s="634"/>
      <c r="J640" s="634"/>
      <c r="K640" s="634"/>
      <c r="L640" s="634"/>
      <c r="M640" s="634"/>
      <c r="N640" s="634"/>
      <c r="O640" s="634"/>
      <c r="P640" s="634"/>
      <c r="Q640" s="634"/>
      <c r="R640" s="634"/>
      <c r="S640" s="634"/>
      <c r="T640" s="634"/>
      <c r="U640" s="634"/>
      <c r="V640" s="634"/>
      <c r="W640" s="638"/>
      <c r="X640" s="777"/>
      <c r="Y640" s="777"/>
    </row>
    <row r="641" spans="1:25">
      <c r="A641" s="777">
        <v>2</v>
      </c>
      <c r="B641" s="120" t="s">
        <v>757</v>
      </c>
      <c r="D641" s="211">
        <f>D$66</f>
        <v>220186.07470845763</v>
      </c>
      <c r="E641" s="211">
        <f t="shared" ref="E641:W641" si="636">E$66</f>
        <v>432717.0536133268</v>
      </c>
      <c r="F641" s="211">
        <f t="shared" si="636"/>
        <v>593758.63318014727</v>
      </c>
      <c r="G641" s="211">
        <f t="shared" si="636"/>
        <v>380060.55320967815</v>
      </c>
      <c r="H641" s="211">
        <f t="shared" si="636"/>
        <v>94946.376246117099</v>
      </c>
      <c r="I641" s="211">
        <f t="shared" si="636"/>
        <v>1721668.6909577269</v>
      </c>
      <c r="J641" s="210"/>
      <c r="K641" s="210">
        <f t="shared" si="636"/>
        <v>279.68152923262539</v>
      </c>
      <c r="L641" s="210">
        <f t="shared" si="636"/>
        <v>623.40347657127018</v>
      </c>
      <c r="M641" s="210">
        <f t="shared" si="636"/>
        <v>949.74770250341794</v>
      </c>
      <c r="N641" s="210">
        <f t="shared" si="636"/>
        <v>635.83440832001418</v>
      </c>
      <c r="O641" s="210">
        <f t="shared" si="636"/>
        <v>152.04595550062496</v>
      </c>
      <c r="P641" s="210">
        <f t="shared" si="636"/>
        <v>2640.7130721279532</v>
      </c>
      <c r="Q641" s="210"/>
      <c r="R641" s="210">
        <f t="shared" si="636"/>
        <v>29.362276028594881</v>
      </c>
      <c r="S641" s="210">
        <f t="shared" si="636"/>
        <v>92.750882907777395</v>
      </c>
      <c r="T641" s="210">
        <f t="shared" si="636"/>
        <v>107.16751154242986</v>
      </c>
      <c r="U641" s="210">
        <f t="shared" si="636"/>
        <v>61.954980968473031</v>
      </c>
      <c r="V641" s="210">
        <f t="shared" si="636"/>
        <v>12.559720048664271</v>
      </c>
      <c r="W641" s="210">
        <f t="shared" si="636"/>
        <v>303.79537149593949</v>
      </c>
      <c r="X641" s="777"/>
      <c r="Y641" s="777"/>
    </row>
    <row r="642" spans="1:25">
      <c r="A642" s="777">
        <v>3</v>
      </c>
      <c r="B642" s="625" t="s">
        <v>245</v>
      </c>
      <c r="C642" s="626"/>
      <c r="D642" s="627">
        <f>D$107</f>
        <v>1.0098352231251977</v>
      </c>
      <c r="E642" s="627">
        <f t="shared" ref="E642:W642" si="637">E$107</f>
        <v>1.0098352231251977</v>
      </c>
      <c r="F642" s="627">
        <f t="shared" si="637"/>
        <v>0.99852569562811266</v>
      </c>
      <c r="G642" s="627">
        <f t="shared" si="637"/>
        <v>0.8</v>
      </c>
      <c r="H642" s="627">
        <f t="shared" si="637"/>
        <v>0.66389158098372991</v>
      </c>
      <c r="I642" s="627">
        <f t="shared" si="637"/>
        <v>0.94053541160758969</v>
      </c>
      <c r="J642" s="627"/>
      <c r="K642" s="627">
        <f t="shared" si="637"/>
        <v>1.0098352231251977</v>
      </c>
      <c r="L642" s="627">
        <f t="shared" si="637"/>
        <v>1.0098352231251977</v>
      </c>
      <c r="M642" s="627">
        <f t="shared" si="637"/>
        <v>1.0085494247316213</v>
      </c>
      <c r="N642" s="627">
        <f t="shared" si="637"/>
        <v>0.8</v>
      </c>
      <c r="O642" s="627">
        <f t="shared" si="637"/>
        <v>1.0367110948857308</v>
      </c>
      <c r="P642" s="627">
        <f t="shared" si="637"/>
        <v>0.96039582253793765</v>
      </c>
      <c r="Q642" s="627"/>
      <c r="R642" s="627">
        <f t="shared" si="637"/>
        <v>1.0098352231251977</v>
      </c>
      <c r="S642" s="627">
        <f t="shared" si="637"/>
        <v>1.0098352231251977</v>
      </c>
      <c r="T642" s="627">
        <f t="shared" si="637"/>
        <v>1.008266904258754</v>
      </c>
      <c r="U642" s="627">
        <f t="shared" si="637"/>
        <v>0.8</v>
      </c>
      <c r="V642" s="627">
        <f t="shared" si="637"/>
        <v>0.77824164568377607</v>
      </c>
      <c r="W642" s="627">
        <f t="shared" si="637"/>
        <v>0.95691420426956131</v>
      </c>
      <c r="X642" s="777"/>
      <c r="Y642" s="777"/>
    </row>
    <row r="643" spans="1:25">
      <c r="A643" s="777">
        <v>4</v>
      </c>
      <c r="B643" s="112" t="s">
        <v>761</v>
      </c>
      <c r="D643" s="211">
        <f>D$108</f>
        <v>222351.65388227676</v>
      </c>
      <c r="E643" s="211">
        <f t="shared" ref="E643:W643" si="638">E$108</f>
        <v>436972.92238569201</v>
      </c>
      <c r="F643" s="211">
        <f t="shared" si="638"/>
        <v>592883.25223140395</v>
      </c>
      <c r="G643" s="211">
        <f t="shared" si="638"/>
        <v>304048.44256774255</v>
      </c>
      <c r="H643" s="211">
        <f t="shared" si="638"/>
        <v>63034.099834710738</v>
      </c>
      <c r="I643" s="211">
        <f t="shared" si="638"/>
        <v>1619290.3709018258</v>
      </c>
      <c r="J643" s="210"/>
      <c r="K643" s="210">
        <f t="shared" si="638"/>
        <v>282.43225947662478</v>
      </c>
      <c r="L643" s="210">
        <f t="shared" si="638"/>
        <v>629.5347888603726</v>
      </c>
      <c r="M643" s="210">
        <f t="shared" si="638"/>
        <v>957.8674990000012</v>
      </c>
      <c r="N643" s="210">
        <f t="shared" si="638"/>
        <v>508.66752665601138</v>
      </c>
      <c r="O643" s="210">
        <f t="shared" si="638"/>
        <v>157.62772899999999</v>
      </c>
      <c r="P643" s="210">
        <f t="shared" si="638"/>
        <v>2536.1298029930099</v>
      </c>
      <c r="Q643" s="210"/>
      <c r="R643" s="210">
        <f t="shared" si="638"/>
        <v>29.651060564799756</v>
      </c>
      <c r="S643" s="210">
        <f t="shared" si="638"/>
        <v>93.663108536234475</v>
      </c>
      <c r="T643" s="210">
        <f t="shared" si="638"/>
        <v>108.05345510000005</v>
      </c>
      <c r="U643" s="210">
        <f t="shared" si="638"/>
        <v>49.563984774778426</v>
      </c>
      <c r="V643" s="210">
        <f t="shared" si="638"/>
        <v>9.774497199999999</v>
      </c>
      <c r="W643" s="210">
        <f t="shared" si="638"/>
        <v>290.70610617581269</v>
      </c>
      <c r="X643" s="777"/>
      <c r="Y643" s="777"/>
    </row>
    <row r="644" spans="1:25">
      <c r="A644" s="777">
        <v>5</v>
      </c>
      <c r="B644" s="616" t="s">
        <v>758</v>
      </c>
      <c r="C644" s="38"/>
      <c r="D644" s="550">
        <f>D$137</f>
        <v>222351.6538822767</v>
      </c>
      <c r="E644" s="550">
        <f t="shared" ref="E644:W644" si="639">E$137</f>
        <v>436972.92238569196</v>
      </c>
      <c r="F644" s="550">
        <f t="shared" si="639"/>
        <v>592883.25223140384</v>
      </c>
      <c r="G644" s="550">
        <f t="shared" si="639"/>
        <v>304048.44256774255</v>
      </c>
      <c r="H644" s="550">
        <f t="shared" si="639"/>
        <v>63034.099834710752</v>
      </c>
      <c r="I644" s="550">
        <f t="shared" si="639"/>
        <v>1619290.3709018258</v>
      </c>
      <c r="J644" s="554"/>
      <c r="K644" s="554">
        <f t="shared" si="639"/>
        <v>282.43225947662467</v>
      </c>
      <c r="L644" s="554">
        <f t="shared" si="639"/>
        <v>629.5347888603726</v>
      </c>
      <c r="M644" s="554">
        <f t="shared" si="639"/>
        <v>957.86749900000109</v>
      </c>
      <c r="N644" s="554">
        <f t="shared" si="639"/>
        <v>508.66752665601132</v>
      </c>
      <c r="O644" s="554">
        <f t="shared" si="639"/>
        <v>157.62772899999999</v>
      </c>
      <c r="P644" s="554">
        <f t="shared" si="639"/>
        <v>2536.1298029930094</v>
      </c>
      <c r="Q644" s="554"/>
      <c r="R644" s="554">
        <f t="shared" si="639"/>
        <v>29.651060564799756</v>
      </c>
      <c r="S644" s="554">
        <f t="shared" si="639"/>
        <v>93.663108536234503</v>
      </c>
      <c r="T644" s="554">
        <f t="shared" si="639"/>
        <v>108.05345510000004</v>
      </c>
      <c r="U644" s="554">
        <f t="shared" si="639"/>
        <v>49.563984774778426</v>
      </c>
      <c r="V644" s="554">
        <f t="shared" si="639"/>
        <v>9.7744972000000026</v>
      </c>
      <c r="W644" s="554">
        <f t="shared" si="639"/>
        <v>290.70610617581258</v>
      </c>
      <c r="X644" s="777"/>
      <c r="Y644" s="777"/>
    </row>
    <row r="645" spans="1:25">
      <c r="A645" s="777">
        <v>6</v>
      </c>
      <c r="B645" s="623" t="s">
        <v>759</v>
      </c>
      <c r="C645" s="249"/>
      <c r="D645" s="624"/>
      <c r="E645" s="624"/>
      <c r="F645" s="624"/>
      <c r="G645" s="624"/>
      <c r="H645" s="624"/>
      <c r="I645" s="624"/>
      <c r="J645" s="624"/>
      <c r="K645" s="555">
        <f t="shared" ref="K645:W645" si="640">K$138</f>
        <v>1.0297722329100547</v>
      </c>
      <c r="L645" s="555">
        <f t="shared" si="640"/>
        <v>1.1679720484565255</v>
      </c>
      <c r="M645" s="555">
        <f t="shared" si="640"/>
        <v>1.3097955059772124</v>
      </c>
      <c r="N645" s="555">
        <f t="shared" si="640"/>
        <v>1.3563084606842892</v>
      </c>
      <c r="O645" s="555">
        <f t="shared" si="640"/>
        <v>2.0273293335279883</v>
      </c>
      <c r="P645" s="555">
        <f t="shared" si="640"/>
        <v>1.2697376143261829</v>
      </c>
      <c r="Q645" s="555"/>
      <c r="R645" s="555">
        <f t="shared" si="640"/>
        <v>0.1081103090084234</v>
      </c>
      <c r="S645" s="555">
        <f t="shared" si="640"/>
        <v>0.17377259315550725</v>
      </c>
      <c r="T645" s="555">
        <f t="shared" si="640"/>
        <v>0.14775313917952484</v>
      </c>
      <c r="U645" s="555">
        <f t="shared" si="640"/>
        <v>0.13215715250625748</v>
      </c>
      <c r="V645" s="555">
        <f t="shared" si="640"/>
        <v>0.1257147141544315</v>
      </c>
      <c r="W645" s="555">
        <f t="shared" si="640"/>
        <v>0.14554478926516828</v>
      </c>
      <c r="X645" s="777"/>
      <c r="Y645" s="777"/>
    </row>
    <row r="646" spans="1:25">
      <c r="A646" s="777">
        <v>7</v>
      </c>
      <c r="B646" s="639" t="s">
        <v>762</v>
      </c>
      <c r="C646" s="634"/>
      <c r="D646" s="636"/>
      <c r="E646" s="636"/>
      <c r="F646" s="636"/>
      <c r="G646" s="636"/>
      <c r="H646" s="636"/>
      <c r="I646" s="636"/>
      <c r="J646" s="636"/>
      <c r="K646" s="636"/>
      <c r="L646" s="636"/>
      <c r="M646" s="636"/>
      <c r="N646" s="636"/>
      <c r="O646" s="636"/>
      <c r="P646" s="636"/>
      <c r="Q646" s="636"/>
      <c r="R646" s="636"/>
      <c r="S646" s="636"/>
      <c r="T646" s="636"/>
      <c r="U646" s="636"/>
      <c r="V646" s="636"/>
      <c r="W646" s="637"/>
      <c r="X646" s="777"/>
      <c r="Y646" s="777"/>
    </row>
    <row r="647" spans="1:25">
      <c r="A647" s="777">
        <v>8</v>
      </c>
      <c r="B647" s="120" t="s">
        <v>767</v>
      </c>
      <c r="D647" s="211">
        <f>D$255</f>
        <v>222351.6538822767</v>
      </c>
      <c r="E647" s="211">
        <f t="shared" ref="E647:I647" si="641">E$255</f>
        <v>436972.92238569196</v>
      </c>
      <c r="F647" s="211">
        <f t="shared" si="641"/>
        <v>592883.25223140384</v>
      </c>
      <c r="G647" s="211">
        <f t="shared" si="641"/>
        <v>304048.44256774255</v>
      </c>
      <c r="H647" s="211">
        <f t="shared" si="641"/>
        <v>63034.099834710752</v>
      </c>
      <c r="I647" s="211">
        <f t="shared" si="641"/>
        <v>1619290.3709018258</v>
      </c>
      <c r="J647" s="210"/>
      <c r="K647" s="210">
        <f>K$255</f>
        <v>282.43225947662467</v>
      </c>
      <c r="L647" s="210">
        <f t="shared" ref="L647:P647" si="642">L$255</f>
        <v>629.5347888603726</v>
      </c>
      <c r="M647" s="210">
        <f t="shared" si="642"/>
        <v>957.86749900000109</v>
      </c>
      <c r="N647" s="210">
        <f t="shared" si="642"/>
        <v>508.66752665601132</v>
      </c>
      <c r="O647" s="210">
        <f t="shared" si="642"/>
        <v>157.62772899999999</v>
      </c>
      <c r="P647" s="210">
        <f t="shared" si="642"/>
        <v>2536.1298029930094</v>
      </c>
      <c r="Q647" s="210"/>
      <c r="R647" s="210">
        <f>R$255</f>
        <v>29.651060564799756</v>
      </c>
      <c r="S647" s="210">
        <f t="shared" ref="S647:W647" si="643">S$255</f>
        <v>93.663108536234503</v>
      </c>
      <c r="T647" s="210">
        <f t="shared" si="643"/>
        <v>108.05345510000004</v>
      </c>
      <c r="U647" s="210">
        <f t="shared" si="643"/>
        <v>49.563984774778426</v>
      </c>
      <c r="V647" s="210">
        <f t="shared" si="643"/>
        <v>9.7744972000000026</v>
      </c>
      <c r="W647" s="210">
        <f t="shared" si="643"/>
        <v>290.70610617581269</v>
      </c>
      <c r="X647" s="777"/>
      <c r="Y647" s="777"/>
    </row>
    <row r="648" spans="1:25">
      <c r="A648" s="777">
        <v>9</v>
      </c>
      <c r="B648" s="646" t="s">
        <v>1246</v>
      </c>
      <c r="D648" s="210"/>
      <c r="E648" s="210"/>
      <c r="F648" s="210"/>
      <c r="G648" s="210"/>
      <c r="H648" s="210"/>
      <c r="I648" s="210"/>
      <c r="J648" s="210"/>
      <c r="K648" s="210"/>
      <c r="L648" s="210"/>
      <c r="M648" s="210"/>
      <c r="N648" s="210"/>
      <c r="O648" s="210"/>
      <c r="P648" s="210"/>
      <c r="Q648" s="210"/>
      <c r="R648" s="210"/>
      <c r="S648" s="210"/>
      <c r="T648" s="210"/>
      <c r="U648" s="210"/>
      <c r="V648" s="210"/>
      <c r="W648" s="210"/>
      <c r="X648" s="777"/>
      <c r="Y648" s="777"/>
    </row>
    <row r="649" spans="1:25">
      <c r="A649" s="777">
        <v>10</v>
      </c>
      <c r="B649" s="221" t="s">
        <v>947</v>
      </c>
      <c r="D649" s="210"/>
      <c r="E649" s="210"/>
      <c r="F649" s="210"/>
      <c r="G649" s="210"/>
      <c r="H649" s="210"/>
      <c r="I649" s="210"/>
      <c r="J649" s="210"/>
      <c r="K649" s="210">
        <f>K$267</f>
        <v>2.4610772478602647</v>
      </c>
      <c r="L649" s="210">
        <f t="shared" ref="L649:P649" si="644">L$267</f>
        <v>4.6520190734990319</v>
      </c>
      <c r="M649" s="210">
        <f t="shared" si="644"/>
        <v>1.1855259401890974</v>
      </c>
      <c r="N649" s="210">
        <f t="shared" si="644"/>
        <v>0.2125252672910054</v>
      </c>
      <c r="O649" s="210">
        <f t="shared" si="644"/>
        <v>0.26254892451335449</v>
      </c>
      <c r="P649" s="210">
        <f t="shared" si="644"/>
        <v>8.7736964533527537</v>
      </c>
      <c r="Q649" s="210"/>
      <c r="R649" s="210">
        <f>R$267</f>
        <v>9.4034065337984113E-2</v>
      </c>
      <c r="S649" s="210">
        <f t="shared" ref="S649:W649" si="645">S$267</f>
        <v>0.20711612283321795</v>
      </c>
      <c r="T649" s="210">
        <f t="shared" si="645"/>
        <v>4.8709946853973875E-2</v>
      </c>
      <c r="U649" s="210">
        <f t="shared" si="645"/>
        <v>1.2914712236664919E-2</v>
      </c>
      <c r="V649" s="210">
        <f t="shared" si="645"/>
        <v>1.0543897624112619E-2</v>
      </c>
      <c r="W649" s="210">
        <f t="shared" si="645"/>
        <v>0.37331874488595351</v>
      </c>
      <c r="X649" s="777"/>
      <c r="Y649" s="777"/>
    </row>
    <row r="650" spans="1:25">
      <c r="A650" s="777">
        <v>11</v>
      </c>
      <c r="B650" s="221" t="s">
        <v>948</v>
      </c>
      <c r="D650" s="210"/>
      <c r="E650" s="210"/>
      <c r="F650" s="210"/>
      <c r="G650" s="210"/>
      <c r="H650" s="210"/>
      <c r="I650" s="210"/>
      <c r="J650" s="210"/>
      <c r="K650" s="210">
        <f>K$268</f>
        <v>9.2745329087672176E-2</v>
      </c>
      <c r="L650" s="210">
        <f t="shared" ref="L650:P650" si="646">L$268</f>
        <v>0.17160987049863885</v>
      </c>
      <c r="M650" s="210">
        <f t="shared" si="646"/>
        <v>118.95294733592186</v>
      </c>
      <c r="N650" s="210">
        <f t="shared" si="646"/>
        <v>72.390757795494267</v>
      </c>
      <c r="O650" s="210">
        <f t="shared" si="646"/>
        <v>33.450018654161177</v>
      </c>
      <c r="P650" s="210">
        <f t="shared" si="646"/>
        <v>225.0580789851636</v>
      </c>
      <c r="Q650" s="210"/>
      <c r="R650" s="210">
        <f>R$268</f>
        <v>1.7632794919672609E-2</v>
      </c>
      <c r="S650" s="210">
        <f t="shared" ref="S650:W650" si="647">S$268</f>
        <v>3.3140544409592632E-2</v>
      </c>
      <c r="T650" s="210">
        <f t="shared" si="647"/>
        <v>16.917642881678105</v>
      </c>
      <c r="U650" s="210">
        <f t="shared" si="647"/>
        <v>7.6707049304681592</v>
      </c>
      <c r="V650" s="210">
        <f t="shared" si="647"/>
        <v>1.6078633892715768</v>
      </c>
      <c r="W650" s="210">
        <f t="shared" si="647"/>
        <v>26.246984540747107</v>
      </c>
      <c r="X650" s="777"/>
      <c r="Y650" s="777"/>
    </row>
    <row r="651" spans="1:25">
      <c r="A651" s="777">
        <v>12</v>
      </c>
      <c r="B651" s="221" t="s">
        <v>673</v>
      </c>
      <c r="D651" s="211">
        <f>D$269</f>
        <v>0</v>
      </c>
      <c r="E651" s="211">
        <f t="shared" ref="E651:I651" si="648">E$269</f>
        <v>0</v>
      </c>
      <c r="F651" s="211">
        <f t="shared" si="648"/>
        <v>-615</v>
      </c>
      <c r="G651" s="211">
        <f t="shared" si="648"/>
        <v>-5010</v>
      </c>
      <c r="H651" s="211">
        <f t="shared" si="648"/>
        <v>0</v>
      </c>
      <c r="I651" s="211">
        <f t="shared" si="648"/>
        <v>-5625</v>
      </c>
      <c r="J651" s="210"/>
      <c r="K651" s="210">
        <f>K$269</f>
        <v>0</v>
      </c>
      <c r="L651" s="210">
        <f t="shared" ref="L651:P651" si="649">L$269</f>
        <v>0</v>
      </c>
      <c r="M651" s="210">
        <f t="shared" si="649"/>
        <v>1.2089936157405072</v>
      </c>
      <c r="N651" s="210">
        <f t="shared" si="649"/>
        <v>7.1624641959360016</v>
      </c>
      <c r="O651" s="210">
        <f t="shared" si="649"/>
        <v>0</v>
      </c>
      <c r="P651" s="210">
        <f t="shared" si="649"/>
        <v>8.3714578116765086</v>
      </c>
      <c r="Q651" s="210"/>
      <c r="R651" s="210">
        <f>R$269</f>
        <v>0</v>
      </c>
      <c r="S651" s="210">
        <f t="shared" ref="S651:W651" si="650">S$269</f>
        <v>0</v>
      </c>
      <c r="T651" s="210">
        <f t="shared" si="650"/>
        <v>7.9575901134658733E-2</v>
      </c>
      <c r="U651" s="210">
        <f t="shared" si="650"/>
        <v>1.071115540313794</v>
      </c>
      <c r="V651" s="210">
        <f t="shared" si="650"/>
        <v>0</v>
      </c>
      <c r="W651" s="210">
        <f t="shared" si="650"/>
        <v>1.1506914414484526</v>
      </c>
      <c r="X651" s="777"/>
      <c r="Y651" s="777"/>
    </row>
    <row r="652" spans="1:25">
      <c r="A652" s="777">
        <v>13</v>
      </c>
      <c r="B652" s="221" t="s">
        <v>768</v>
      </c>
      <c r="D652" s="211">
        <f>D$270</f>
        <v>0</v>
      </c>
      <c r="E652" s="211">
        <f t="shared" ref="E652:I652" si="651">E$270</f>
        <v>0</v>
      </c>
      <c r="F652" s="211">
        <f t="shared" si="651"/>
        <v>0</v>
      </c>
      <c r="G652" s="211">
        <f t="shared" si="651"/>
        <v>0</v>
      </c>
      <c r="H652" s="211">
        <f t="shared" si="651"/>
        <v>0</v>
      </c>
      <c r="I652" s="211">
        <f t="shared" si="651"/>
        <v>0</v>
      </c>
      <c r="J652" s="210"/>
      <c r="K652" s="210">
        <f>K$270</f>
        <v>0</v>
      </c>
      <c r="L652" s="210">
        <f t="shared" ref="L652:P652" si="652">L$270</f>
        <v>11.296718721999987</v>
      </c>
      <c r="M652" s="210">
        <f t="shared" si="652"/>
        <v>0</v>
      </c>
      <c r="N652" s="210">
        <f t="shared" si="652"/>
        <v>0</v>
      </c>
      <c r="O652" s="210">
        <f t="shared" si="652"/>
        <v>7.770037812000005E-3</v>
      </c>
      <c r="P652" s="210">
        <f t="shared" si="652"/>
        <v>11.304488759811987</v>
      </c>
      <c r="Q652" s="210"/>
      <c r="R652" s="210">
        <f>R$270</f>
        <v>0</v>
      </c>
      <c r="S652" s="210">
        <f t="shared" ref="S652:W652" si="653">S$270</f>
        <v>2.5558570962800009</v>
      </c>
      <c r="T652" s="210">
        <f t="shared" si="653"/>
        <v>0</v>
      </c>
      <c r="U652" s="210">
        <f t="shared" si="653"/>
        <v>0</v>
      </c>
      <c r="V652" s="210">
        <f t="shared" si="653"/>
        <v>4.467885139999999E-3</v>
      </c>
      <c r="W652" s="210">
        <f t="shared" si="653"/>
        <v>2.5603249814200009</v>
      </c>
      <c r="X652" s="777"/>
      <c r="Y652" s="777"/>
    </row>
    <row r="653" spans="1:25">
      <c r="A653" s="777">
        <v>14</v>
      </c>
      <c r="B653" s="221" t="s">
        <v>769</v>
      </c>
      <c r="D653" s="211">
        <f>D$271</f>
        <v>0</v>
      </c>
      <c r="E653" s="211">
        <f t="shared" ref="E653:I653" si="654">E$271</f>
        <v>0</v>
      </c>
      <c r="F653" s="211">
        <f t="shared" si="654"/>
        <v>0</v>
      </c>
      <c r="G653" s="211">
        <f t="shared" si="654"/>
        <v>0</v>
      </c>
      <c r="H653" s="211">
        <f t="shared" si="654"/>
        <v>0</v>
      </c>
      <c r="I653" s="211">
        <f t="shared" si="654"/>
        <v>0</v>
      </c>
      <c r="J653" s="210"/>
      <c r="K653" s="210">
        <f>K$271</f>
        <v>0</v>
      </c>
      <c r="L653" s="210">
        <f t="shared" ref="L653:P653" si="655">L$271</f>
        <v>0</v>
      </c>
      <c r="M653" s="210">
        <f t="shared" si="655"/>
        <v>0</v>
      </c>
      <c r="N653" s="210">
        <f t="shared" si="655"/>
        <v>0</v>
      </c>
      <c r="O653" s="210">
        <f t="shared" si="655"/>
        <v>0</v>
      </c>
      <c r="P653" s="210">
        <f t="shared" si="655"/>
        <v>0</v>
      </c>
      <c r="Q653" s="210"/>
      <c r="R653" s="210">
        <f>R$271</f>
        <v>0</v>
      </c>
      <c r="S653" s="210">
        <f t="shared" ref="S653:W653" si="656">S$271</f>
        <v>0</v>
      </c>
      <c r="T653" s="210">
        <f t="shared" si="656"/>
        <v>0</v>
      </c>
      <c r="U653" s="210">
        <f t="shared" si="656"/>
        <v>0</v>
      </c>
      <c r="V653" s="210">
        <f t="shared" si="656"/>
        <v>0</v>
      </c>
      <c r="W653" s="210">
        <f t="shared" si="656"/>
        <v>0</v>
      </c>
      <c r="X653" s="777"/>
      <c r="Y653" s="777"/>
    </row>
    <row r="654" spans="1:25">
      <c r="A654" s="777">
        <v>15</v>
      </c>
      <c r="B654" s="646" t="s">
        <v>764</v>
      </c>
      <c r="D654" s="211"/>
      <c r="E654" s="211"/>
      <c r="F654" s="211"/>
      <c r="G654" s="211"/>
      <c r="H654" s="211"/>
      <c r="I654" s="211"/>
      <c r="J654" s="210"/>
      <c r="K654" s="210"/>
      <c r="L654" s="210"/>
      <c r="M654" s="210"/>
      <c r="N654" s="210"/>
      <c r="O654" s="210"/>
      <c r="P654" s="210"/>
      <c r="Q654" s="210"/>
      <c r="R654" s="210"/>
      <c r="S654" s="210"/>
      <c r="T654" s="210"/>
      <c r="U654" s="210"/>
      <c r="V654" s="210"/>
      <c r="W654" s="210"/>
      <c r="X654" s="777"/>
      <c r="Y654" s="777"/>
    </row>
    <row r="655" spans="1:25">
      <c r="A655" s="777">
        <v>16</v>
      </c>
      <c r="B655" s="221" t="s">
        <v>684</v>
      </c>
      <c r="D655" s="211">
        <f t="shared" ref="D655:I655" si="657">D$263</f>
        <v>0</v>
      </c>
      <c r="E655" s="211">
        <f t="shared" si="657"/>
        <v>0</v>
      </c>
      <c r="F655" s="211">
        <f t="shared" si="657"/>
        <v>-615</v>
      </c>
      <c r="G655" s="211">
        <f t="shared" si="657"/>
        <v>-5010</v>
      </c>
      <c r="H655" s="211">
        <f t="shared" si="657"/>
        <v>0</v>
      </c>
      <c r="I655" s="211">
        <f t="shared" si="657"/>
        <v>-5625</v>
      </c>
      <c r="J655" s="210"/>
      <c r="K655" s="210">
        <f t="shared" ref="K655:W655" si="658">K$263</f>
        <v>2.553822576947927</v>
      </c>
      <c r="L655" s="210">
        <f t="shared" si="658"/>
        <v>16.12034766599767</v>
      </c>
      <c r="M655" s="210">
        <f t="shared" si="658"/>
        <v>121.34746689185164</v>
      </c>
      <c r="N655" s="210">
        <f t="shared" si="658"/>
        <v>79.76574725872122</v>
      </c>
      <c r="O655" s="210">
        <f t="shared" si="658"/>
        <v>33.720337616486511</v>
      </c>
      <c r="P655" s="210">
        <f t="shared" si="658"/>
        <v>253.50772201000495</v>
      </c>
      <c r="Q655" s="210"/>
      <c r="R655" s="210">
        <f t="shared" si="658"/>
        <v>0.11166686025765368</v>
      </c>
      <c r="S655" s="210">
        <f t="shared" si="658"/>
        <v>2.7961137635228099</v>
      </c>
      <c r="T655" s="210">
        <f t="shared" si="658"/>
        <v>17.045928729666745</v>
      </c>
      <c r="U655" s="210">
        <f t="shared" si="658"/>
        <v>8.7547351830186262</v>
      </c>
      <c r="V655" s="210">
        <f t="shared" si="658"/>
        <v>1.6228751720356893</v>
      </c>
      <c r="W655" s="210">
        <f t="shared" si="658"/>
        <v>30.331319708501525</v>
      </c>
      <c r="X655" s="777"/>
      <c r="Y655" s="777"/>
    </row>
    <row r="656" spans="1:25">
      <c r="A656" s="777">
        <v>17</v>
      </c>
      <c r="B656" s="617" t="s">
        <v>674</v>
      </c>
      <c r="D656" s="211">
        <f t="shared" ref="D656:I656" si="659">D$264</f>
        <v>222351.6538822767</v>
      </c>
      <c r="E656" s="211">
        <f t="shared" si="659"/>
        <v>436972.92238569196</v>
      </c>
      <c r="F656" s="211">
        <f t="shared" si="659"/>
        <v>592268.25223140384</v>
      </c>
      <c r="G656" s="211">
        <f t="shared" si="659"/>
        <v>299038.44256774255</v>
      </c>
      <c r="H656" s="211">
        <f t="shared" si="659"/>
        <v>63034.099834710752</v>
      </c>
      <c r="I656" s="211">
        <f t="shared" si="659"/>
        <v>1613665.3709018258</v>
      </c>
      <c r="J656" s="210"/>
      <c r="K656" s="210">
        <f t="shared" ref="K656:W656" si="660">K$264</f>
        <v>279.87843689967673</v>
      </c>
      <c r="L656" s="210">
        <f t="shared" si="660"/>
        <v>613.41444119437494</v>
      </c>
      <c r="M656" s="210">
        <f t="shared" si="660"/>
        <v>836.52003210814951</v>
      </c>
      <c r="N656" s="210">
        <f t="shared" si="660"/>
        <v>428.90177939729011</v>
      </c>
      <c r="O656" s="210">
        <f t="shared" si="660"/>
        <v>123.90739138351347</v>
      </c>
      <c r="P656" s="210">
        <f t="shared" si="660"/>
        <v>2282.6220809830052</v>
      </c>
      <c r="Q656" s="210"/>
      <c r="R656" s="210">
        <f t="shared" si="660"/>
        <v>29.539393704542103</v>
      </c>
      <c r="S656" s="210">
        <f t="shared" si="660"/>
        <v>90.866994772711692</v>
      </c>
      <c r="T656" s="210">
        <f t="shared" si="660"/>
        <v>91.007526370333295</v>
      </c>
      <c r="U656" s="210">
        <f t="shared" si="660"/>
        <v>40.809249591759801</v>
      </c>
      <c r="V656" s="210">
        <f t="shared" si="660"/>
        <v>8.1516220279643132</v>
      </c>
      <c r="W656" s="210">
        <f t="shared" si="660"/>
        <v>260.3747864673112</v>
      </c>
      <c r="X656" s="777"/>
      <c r="Y656" s="777"/>
    </row>
    <row r="657" spans="1:25">
      <c r="A657" s="777">
        <v>18</v>
      </c>
      <c r="B657" s="619" t="s">
        <v>675</v>
      </c>
      <c r="C657" s="543"/>
      <c r="D657" s="559"/>
      <c r="E657" s="559"/>
      <c r="F657" s="559"/>
      <c r="G657" s="559"/>
      <c r="H657" s="559"/>
      <c r="I657" s="559"/>
      <c r="J657" s="560"/>
      <c r="K657" s="556">
        <f t="shared" ref="K657:W657" si="661">K$265</f>
        <v>1.0204607768377447</v>
      </c>
      <c r="L657" s="556">
        <f t="shared" si="661"/>
        <v>1.1380640658978958</v>
      </c>
      <c r="M657" s="556">
        <f t="shared" si="661"/>
        <v>1.1450517976348811</v>
      </c>
      <c r="N657" s="556">
        <f t="shared" si="661"/>
        <v>1.1627813749016025</v>
      </c>
      <c r="O657" s="556">
        <f t="shared" si="661"/>
        <v>1.5936351477393291</v>
      </c>
      <c r="P657" s="556">
        <f t="shared" si="661"/>
        <v>1.1468002417718701</v>
      </c>
      <c r="Q657" s="556"/>
      <c r="R657" s="556">
        <f t="shared" si="661"/>
        <v>0.10770316206195675</v>
      </c>
      <c r="S657" s="556">
        <f t="shared" si="661"/>
        <v>0.16858498036922873</v>
      </c>
      <c r="T657" s="556">
        <f t="shared" si="661"/>
        <v>0.12457362366569293</v>
      </c>
      <c r="U657" s="556">
        <f t="shared" si="661"/>
        <v>0.1106366017312656</v>
      </c>
      <c r="V657" s="556">
        <f t="shared" si="661"/>
        <v>0.10484210207155213</v>
      </c>
      <c r="W657" s="556">
        <f t="shared" si="661"/>
        <v>0.13081353701065626</v>
      </c>
      <c r="X657" s="777"/>
      <c r="Y657" s="777"/>
    </row>
    <row r="658" spans="1:25">
      <c r="A658" s="777">
        <v>19</v>
      </c>
      <c r="B658" s="620" t="s">
        <v>683</v>
      </c>
      <c r="D658" s="550">
        <f t="shared" ref="D658:I658" si="662">D$272</f>
        <v>0</v>
      </c>
      <c r="E658" s="550">
        <f t="shared" si="662"/>
        <v>0</v>
      </c>
      <c r="F658" s="550">
        <f t="shared" si="662"/>
        <v>-615</v>
      </c>
      <c r="G658" s="550">
        <f t="shared" si="662"/>
        <v>-5010</v>
      </c>
      <c r="H658" s="550">
        <f t="shared" si="662"/>
        <v>0</v>
      </c>
      <c r="I658" s="550">
        <f t="shared" si="662"/>
        <v>-5625</v>
      </c>
      <c r="J658" s="554"/>
      <c r="K658" s="554">
        <f t="shared" ref="K658:W658" si="663">K$272</f>
        <v>2.5538225769479368</v>
      </c>
      <c r="L658" s="554">
        <f t="shared" si="663"/>
        <v>16.120347665997656</v>
      </c>
      <c r="M658" s="554">
        <f t="shared" si="663"/>
        <v>121.34746689185147</v>
      </c>
      <c r="N658" s="554">
        <f t="shared" si="663"/>
        <v>79.765747258721262</v>
      </c>
      <c r="O658" s="554">
        <f t="shared" si="663"/>
        <v>33.720337616486532</v>
      </c>
      <c r="P658" s="554">
        <f t="shared" si="663"/>
        <v>253.50772201000484</v>
      </c>
      <c r="Q658" s="554"/>
      <c r="R658" s="554">
        <f t="shared" si="663"/>
        <v>0.11166686025765671</v>
      </c>
      <c r="S658" s="554">
        <f t="shared" si="663"/>
        <v>2.7961137635228113</v>
      </c>
      <c r="T658" s="554">
        <f t="shared" si="663"/>
        <v>17.045928729666741</v>
      </c>
      <c r="U658" s="554">
        <f t="shared" si="663"/>
        <v>8.7547351830186173</v>
      </c>
      <c r="V658" s="554">
        <f t="shared" si="663"/>
        <v>1.6228751720356893</v>
      </c>
      <c r="W658" s="554">
        <f t="shared" si="663"/>
        <v>30.331319708501518</v>
      </c>
      <c r="X658" s="777"/>
      <c r="Y658" s="777"/>
    </row>
    <row r="659" spans="1:25">
      <c r="A659" s="777">
        <v>20</v>
      </c>
      <c r="B659" s="620" t="s">
        <v>676</v>
      </c>
      <c r="D659" s="550">
        <f t="shared" ref="D659:I659" si="664">D$273</f>
        <v>222351.6538822767</v>
      </c>
      <c r="E659" s="550">
        <f t="shared" si="664"/>
        <v>436972.92238569196</v>
      </c>
      <c r="F659" s="550">
        <f t="shared" si="664"/>
        <v>592268.25223140384</v>
      </c>
      <c r="G659" s="550">
        <f t="shared" si="664"/>
        <v>299038.44256774255</v>
      </c>
      <c r="H659" s="550">
        <f t="shared" si="664"/>
        <v>63034.099834710752</v>
      </c>
      <c r="I659" s="550">
        <f t="shared" si="664"/>
        <v>1613665.3709018258</v>
      </c>
      <c r="J659" s="554"/>
      <c r="K659" s="554">
        <f t="shared" ref="K659:W659" si="665">K$273</f>
        <v>279.87843689967673</v>
      </c>
      <c r="L659" s="554">
        <f t="shared" si="665"/>
        <v>613.41444119437494</v>
      </c>
      <c r="M659" s="554">
        <f t="shared" si="665"/>
        <v>836.52003210814962</v>
      </c>
      <c r="N659" s="554">
        <f t="shared" si="665"/>
        <v>428.90177939729006</v>
      </c>
      <c r="O659" s="554">
        <f t="shared" si="665"/>
        <v>123.90739138351346</v>
      </c>
      <c r="P659" s="554">
        <f t="shared" si="665"/>
        <v>2282.6220809830047</v>
      </c>
      <c r="Q659" s="554"/>
      <c r="R659" s="554">
        <f t="shared" si="665"/>
        <v>29.5393937045421</v>
      </c>
      <c r="S659" s="554">
        <f t="shared" si="665"/>
        <v>90.866994772711692</v>
      </c>
      <c r="T659" s="554">
        <f t="shared" si="665"/>
        <v>91.007526370333295</v>
      </c>
      <c r="U659" s="554">
        <f t="shared" si="665"/>
        <v>40.809249591759809</v>
      </c>
      <c r="V659" s="554">
        <f t="shared" si="665"/>
        <v>8.1516220279643132</v>
      </c>
      <c r="W659" s="554">
        <f t="shared" si="665"/>
        <v>260.3747864673112</v>
      </c>
      <c r="X659" s="777"/>
      <c r="Y659" s="777"/>
    </row>
    <row r="660" spans="1:25">
      <c r="A660" s="777">
        <v>21</v>
      </c>
      <c r="B660" s="621" t="s">
        <v>677</v>
      </c>
      <c r="C660" s="543"/>
      <c r="D660" s="631"/>
      <c r="E660" s="631"/>
      <c r="F660" s="631"/>
      <c r="G660" s="631"/>
      <c r="H660" s="631"/>
      <c r="I660" s="631"/>
      <c r="J660" s="624"/>
      <c r="K660" s="555">
        <f t="shared" ref="K660:W660" si="666">K$274</f>
        <v>1.0204607768377447</v>
      </c>
      <c r="L660" s="555">
        <f t="shared" si="666"/>
        <v>1.1380640658978958</v>
      </c>
      <c r="M660" s="555">
        <f t="shared" si="666"/>
        <v>1.1450517976348811</v>
      </c>
      <c r="N660" s="555">
        <f t="shared" si="666"/>
        <v>1.1627813749016025</v>
      </c>
      <c r="O660" s="555">
        <f t="shared" si="666"/>
        <v>1.5936351477393291</v>
      </c>
      <c r="P660" s="555">
        <f t="shared" si="666"/>
        <v>1.1468002417718701</v>
      </c>
      <c r="Q660" s="555"/>
      <c r="R660" s="555">
        <f t="shared" si="666"/>
        <v>0.10770316206195675</v>
      </c>
      <c r="S660" s="555">
        <f t="shared" si="666"/>
        <v>0.16858498036922873</v>
      </c>
      <c r="T660" s="555">
        <f t="shared" si="666"/>
        <v>0.12457362366569293</v>
      </c>
      <c r="U660" s="555">
        <f t="shared" si="666"/>
        <v>0.1106366017312656</v>
      </c>
      <c r="V660" s="555">
        <f t="shared" si="666"/>
        <v>0.10484210207155213</v>
      </c>
      <c r="W660" s="555">
        <f t="shared" si="666"/>
        <v>0.13081353701065626</v>
      </c>
      <c r="X660" s="777"/>
      <c r="Y660" s="777"/>
    </row>
    <row r="661" spans="1:25">
      <c r="A661" s="777">
        <v>22</v>
      </c>
      <c r="B661" s="639" t="s">
        <v>976</v>
      </c>
      <c r="C661" s="634"/>
      <c r="D661" s="636"/>
      <c r="E661" s="636"/>
      <c r="F661" s="636"/>
      <c r="G661" s="636"/>
      <c r="H661" s="636"/>
      <c r="I661" s="636"/>
      <c r="J661" s="636"/>
      <c r="K661" s="636"/>
      <c r="L661" s="636"/>
      <c r="M661" s="636"/>
      <c r="N661" s="636"/>
      <c r="O661" s="636"/>
      <c r="P661" s="636"/>
      <c r="Q661" s="636"/>
      <c r="R661" s="636"/>
      <c r="S661" s="636"/>
      <c r="T661" s="636"/>
      <c r="U661" s="636"/>
      <c r="V661" s="636"/>
      <c r="W661" s="637"/>
      <c r="X661" s="777"/>
      <c r="Y661" s="777"/>
    </row>
    <row r="662" spans="1:25">
      <c r="A662" s="777">
        <v>23</v>
      </c>
      <c r="B662" s="98" t="s">
        <v>977</v>
      </c>
      <c r="D662" s="211">
        <f>D$391</f>
        <v>222351.6538822767</v>
      </c>
      <c r="E662" s="211">
        <f t="shared" ref="E662:I662" si="667">E$391</f>
        <v>436972.92238569196</v>
      </c>
      <c r="F662" s="211">
        <f t="shared" si="667"/>
        <v>592268.25223140384</v>
      </c>
      <c r="G662" s="211">
        <f t="shared" si="667"/>
        <v>299038.44256774255</v>
      </c>
      <c r="H662" s="211">
        <f t="shared" si="667"/>
        <v>63034.099834710752</v>
      </c>
      <c r="I662" s="211">
        <f t="shared" si="667"/>
        <v>1613665.3709018258</v>
      </c>
      <c r="J662" s="210"/>
      <c r="K662" s="210">
        <f>K$391</f>
        <v>279.87843689967673</v>
      </c>
      <c r="L662" s="210">
        <f t="shared" ref="L662:P662" si="668">L$391</f>
        <v>613.41444119437494</v>
      </c>
      <c r="M662" s="210">
        <f t="shared" si="668"/>
        <v>836.52003210814962</v>
      </c>
      <c r="N662" s="210">
        <f t="shared" si="668"/>
        <v>428.90177939729006</v>
      </c>
      <c r="O662" s="210">
        <f t="shared" si="668"/>
        <v>123.90739138351346</v>
      </c>
      <c r="P662" s="210">
        <f t="shared" si="668"/>
        <v>2282.6220809830047</v>
      </c>
      <c r="Q662" s="210"/>
      <c r="R662" s="210">
        <f>R$391</f>
        <v>29.5393937045421</v>
      </c>
      <c r="S662" s="210">
        <f t="shared" ref="S662:W662" si="669">S$391</f>
        <v>90.866994772711692</v>
      </c>
      <c r="T662" s="210">
        <f t="shared" si="669"/>
        <v>91.007526370333295</v>
      </c>
      <c r="U662" s="210">
        <f t="shared" si="669"/>
        <v>40.809249591759809</v>
      </c>
      <c r="V662" s="210">
        <f t="shared" si="669"/>
        <v>8.1516220279643132</v>
      </c>
      <c r="W662" s="210">
        <f t="shared" si="669"/>
        <v>260.3747864673112</v>
      </c>
      <c r="X662" s="777"/>
      <c r="Y662" s="777"/>
    </row>
    <row r="663" spans="1:25">
      <c r="A663" s="777">
        <v>24</v>
      </c>
      <c r="B663" s="646" t="s">
        <v>1247</v>
      </c>
      <c r="D663" s="211"/>
      <c r="E663" s="211"/>
      <c r="F663" s="211"/>
      <c r="G663" s="211"/>
      <c r="H663" s="211"/>
      <c r="I663" s="211"/>
      <c r="J663" s="210"/>
      <c r="K663" s="210"/>
      <c r="L663" s="210"/>
      <c r="M663" s="210"/>
      <c r="N663" s="210"/>
      <c r="O663" s="210"/>
      <c r="P663" s="210"/>
      <c r="Q663" s="210"/>
      <c r="R663" s="210"/>
      <c r="S663" s="210"/>
      <c r="T663" s="210"/>
      <c r="U663" s="210"/>
      <c r="V663" s="210"/>
      <c r="W663" s="210"/>
      <c r="X663" s="777"/>
      <c r="Y663" s="777"/>
    </row>
    <row r="664" spans="1:25">
      <c r="A664" s="777">
        <v>25</v>
      </c>
      <c r="B664" s="221" t="s">
        <v>947</v>
      </c>
      <c r="D664" s="211"/>
      <c r="E664" s="211"/>
      <c r="F664" s="211"/>
      <c r="G664" s="211"/>
      <c r="H664" s="211"/>
      <c r="I664" s="211"/>
      <c r="J664" s="210"/>
      <c r="K664" s="210">
        <f>K$403</f>
        <v>5.6266947665939924</v>
      </c>
      <c r="L664" s="210">
        <f t="shared" ref="L664:P664" si="670">L$403</f>
        <v>11.08005349238171</v>
      </c>
      <c r="M664" s="210">
        <f t="shared" si="670"/>
        <v>2.714664878924995</v>
      </c>
      <c r="N664" s="210">
        <f t="shared" si="670"/>
        <v>0.49496554676959814</v>
      </c>
      <c r="O664" s="210">
        <f t="shared" si="670"/>
        <v>0.61759223509782957</v>
      </c>
      <c r="P664" s="210">
        <f t="shared" si="670"/>
        <v>20.533970919768127</v>
      </c>
      <c r="Q664" s="210"/>
      <c r="R664" s="210">
        <f>R$403</f>
        <v>0.77029093276100224</v>
      </c>
      <c r="S664" s="210">
        <f t="shared" ref="S664:W664" si="671">S$403</f>
        <v>2.0804104872581597</v>
      </c>
      <c r="T664" s="210">
        <f t="shared" si="671"/>
        <v>0.36994760442356106</v>
      </c>
      <c r="U664" s="210">
        <f t="shared" si="671"/>
        <v>6.6076285136315749E-2</v>
      </c>
      <c r="V664" s="210">
        <f t="shared" si="671"/>
        <v>9.5991179678909341E-2</v>
      </c>
      <c r="W664" s="210">
        <f t="shared" si="671"/>
        <v>3.3827164892579482</v>
      </c>
      <c r="X664" s="777"/>
      <c r="Y664" s="777"/>
    </row>
    <row r="665" spans="1:25">
      <c r="A665" s="777">
        <v>26</v>
      </c>
      <c r="B665" s="221" t="s">
        <v>948</v>
      </c>
      <c r="D665" s="211"/>
      <c r="E665" s="211"/>
      <c r="F665" s="211"/>
      <c r="G665" s="211"/>
      <c r="H665" s="211"/>
      <c r="I665" s="211"/>
      <c r="J665" s="210"/>
      <c r="K665" s="210">
        <f>K$404</f>
        <v>2.5096800238193651</v>
      </c>
      <c r="L665" s="210">
        <f t="shared" ref="L665:P665" si="672">L$404</f>
        <v>11.771577456369794</v>
      </c>
      <c r="M665" s="210">
        <f t="shared" si="672"/>
        <v>35.654385917208138</v>
      </c>
      <c r="N665" s="210">
        <f t="shared" si="672"/>
        <v>22.374509522584592</v>
      </c>
      <c r="O665" s="210">
        <f t="shared" si="672"/>
        <v>4.8856552950974228</v>
      </c>
      <c r="P665" s="210">
        <f t="shared" si="672"/>
        <v>77.19580821507931</v>
      </c>
      <c r="Q665" s="210"/>
      <c r="R665" s="210">
        <f>R$404</f>
        <v>0.44951331202434514</v>
      </c>
      <c r="S665" s="210">
        <f t="shared" ref="S665:W665" si="673">S$404</f>
        <v>2.0988758161275842</v>
      </c>
      <c r="T665" s="210">
        <f t="shared" si="673"/>
        <v>4.8578227627024271</v>
      </c>
      <c r="U665" s="210">
        <f t="shared" si="673"/>
        <v>2.1117815512983307</v>
      </c>
      <c r="V665" s="210">
        <f t="shared" si="673"/>
        <v>0.23008563163055523</v>
      </c>
      <c r="W665" s="210">
        <f t="shared" si="673"/>
        <v>9.7480790737832415</v>
      </c>
      <c r="X665" s="777"/>
      <c r="Y665" s="777"/>
    </row>
    <row r="666" spans="1:25">
      <c r="A666" s="777">
        <v>27</v>
      </c>
      <c r="B666" s="221" t="s">
        <v>673</v>
      </c>
      <c r="D666" s="211">
        <f>D$405</f>
        <v>0</v>
      </c>
      <c r="E666" s="211">
        <f t="shared" ref="E666:I666" si="674">E$405</f>
        <v>0</v>
      </c>
      <c r="F666" s="211">
        <f t="shared" si="674"/>
        <v>0</v>
      </c>
      <c r="G666" s="211">
        <f t="shared" si="674"/>
        <v>-150</v>
      </c>
      <c r="H666" s="211">
        <f t="shared" si="674"/>
        <v>-1448</v>
      </c>
      <c r="I666" s="211">
        <f t="shared" si="674"/>
        <v>-1598</v>
      </c>
      <c r="J666" s="210"/>
      <c r="K666" s="210">
        <f>K$405</f>
        <v>0</v>
      </c>
      <c r="L666" s="210">
        <f t="shared" ref="L666:P666" si="675">L$405</f>
        <v>0</v>
      </c>
      <c r="M666" s="210">
        <f t="shared" si="675"/>
        <v>0</v>
      </c>
      <c r="N666" s="210">
        <f t="shared" si="675"/>
        <v>0.20272290798525711</v>
      </c>
      <c r="O666" s="210">
        <f t="shared" si="675"/>
        <v>1.9513499441942914</v>
      </c>
      <c r="P666" s="210">
        <f t="shared" si="675"/>
        <v>2.1540728521795485</v>
      </c>
      <c r="Q666" s="210"/>
      <c r="R666" s="210">
        <f>R$405</f>
        <v>0</v>
      </c>
      <c r="S666" s="210">
        <f t="shared" ref="S666:W666" si="676">S$405</f>
        <v>0</v>
      </c>
      <c r="T666" s="210">
        <f t="shared" si="676"/>
        <v>0</v>
      </c>
      <c r="U666" s="210">
        <f t="shared" si="676"/>
        <v>2.6798944611410972E-2</v>
      </c>
      <c r="V666" s="210">
        <f t="shared" si="676"/>
        <v>0.20971761735443284</v>
      </c>
      <c r="W666" s="210">
        <f t="shared" si="676"/>
        <v>0.23651656196584381</v>
      </c>
      <c r="X666" s="777"/>
      <c r="Y666" s="777"/>
    </row>
    <row r="667" spans="1:25">
      <c r="A667" s="777">
        <v>28</v>
      </c>
      <c r="B667" s="221" t="s">
        <v>768</v>
      </c>
      <c r="D667" s="211">
        <f>D$406</f>
        <v>0</v>
      </c>
      <c r="E667" s="211">
        <f t="shared" ref="E667:I667" si="677">E$406</f>
        <v>-1000</v>
      </c>
      <c r="F667" s="211">
        <f t="shared" si="677"/>
        <v>0</v>
      </c>
      <c r="G667" s="211">
        <f t="shared" si="677"/>
        <v>0</v>
      </c>
      <c r="H667" s="211">
        <f t="shared" si="677"/>
        <v>0</v>
      </c>
      <c r="I667" s="211">
        <f t="shared" si="677"/>
        <v>-1000</v>
      </c>
      <c r="J667" s="210"/>
      <c r="K667" s="210">
        <f>K$406</f>
        <v>0</v>
      </c>
      <c r="L667" s="210">
        <f t="shared" ref="L667:P667" si="678">L$406</f>
        <v>1.9731269399999869</v>
      </c>
      <c r="M667" s="210">
        <f t="shared" si="678"/>
        <v>1.5507416971199994</v>
      </c>
      <c r="N667" s="210">
        <f t="shared" si="678"/>
        <v>0</v>
      </c>
      <c r="O667" s="210">
        <f t="shared" si="678"/>
        <v>0</v>
      </c>
      <c r="P667" s="210">
        <f t="shared" si="678"/>
        <v>3.5238686371199863</v>
      </c>
      <c r="Q667" s="210"/>
      <c r="R667" s="210">
        <f>R$406</f>
        <v>0</v>
      </c>
      <c r="S667" s="210">
        <f t="shared" ref="S667:W667" si="679">S$406</f>
        <v>0.48080794399999915</v>
      </c>
      <c r="T667" s="210">
        <f t="shared" si="679"/>
        <v>0.39126880423999966</v>
      </c>
      <c r="U667" s="210">
        <f t="shared" si="679"/>
        <v>0</v>
      </c>
      <c r="V667" s="210">
        <f t="shared" si="679"/>
        <v>0</v>
      </c>
      <c r="W667" s="210">
        <f t="shared" si="679"/>
        <v>0.87207674823999881</v>
      </c>
      <c r="X667" s="777"/>
      <c r="Y667" s="777"/>
    </row>
    <row r="668" spans="1:25">
      <c r="A668" s="777">
        <v>29</v>
      </c>
      <c r="B668" s="221" t="s">
        <v>769</v>
      </c>
      <c r="D668" s="211">
        <f>D$407</f>
        <v>0</v>
      </c>
      <c r="E668" s="211">
        <f t="shared" ref="E668:I668" si="680">E$407</f>
        <v>0</v>
      </c>
      <c r="F668" s="211">
        <f t="shared" si="680"/>
        <v>0</v>
      </c>
      <c r="G668" s="211">
        <f t="shared" si="680"/>
        <v>0</v>
      </c>
      <c r="H668" s="211">
        <f t="shared" si="680"/>
        <v>0</v>
      </c>
      <c r="I668" s="211">
        <f t="shared" si="680"/>
        <v>0</v>
      </c>
      <c r="J668" s="210"/>
      <c r="K668" s="210">
        <f>K$407</f>
        <v>0</v>
      </c>
      <c r="L668" s="210">
        <f t="shared" ref="L668:P668" si="681">L$407</f>
        <v>0</v>
      </c>
      <c r="M668" s="210">
        <f t="shared" si="681"/>
        <v>2.5401174399999986</v>
      </c>
      <c r="N668" s="210">
        <f t="shared" si="681"/>
        <v>41.287341025200014</v>
      </c>
      <c r="O668" s="210">
        <f t="shared" si="681"/>
        <v>0</v>
      </c>
      <c r="P668" s="210">
        <f t="shared" si="681"/>
        <v>43.82745846520001</v>
      </c>
      <c r="Q668" s="210"/>
      <c r="R668" s="210">
        <f>R$407</f>
        <v>0</v>
      </c>
      <c r="S668" s="210">
        <f t="shared" ref="S668:W668" si="682">S$407</f>
        <v>0</v>
      </c>
      <c r="T668" s="210">
        <f t="shared" si="682"/>
        <v>0.63502935999999943</v>
      </c>
      <c r="U668" s="210">
        <f t="shared" si="682"/>
        <v>9.110715581899715</v>
      </c>
      <c r="V668" s="210">
        <f t="shared" si="682"/>
        <v>0</v>
      </c>
      <c r="W668" s="210">
        <f t="shared" si="682"/>
        <v>9.745744941899714</v>
      </c>
      <c r="X668" s="777"/>
      <c r="Y668" s="777"/>
    </row>
    <row r="669" spans="1:25">
      <c r="A669" s="777">
        <v>30</v>
      </c>
      <c r="B669" s="646" t="s">
        <v>978</v>
      </c>
      <c r="D669" s="211"/>
      <c r="E669" s="211"/>
      <c r="F669" s="211"/>
      <c r="G669" s="211"/>
      <c r="H669" s="211"/>
      <c r="I669" s="211"/>
      <c r="J669" s="210"/>
      <c r="K669" s="210"/>
      <c r="L669" s="210"/>
      <c r="M669" s="210"/>
      <c r="N669" s="210"/>
      <c r="O669" s="210"/>
      <c r="P669" s="210"/>
      <c r="Q669" s="210"/>
      <c r="R669" s="210"/>
      <c r="S669" s="210"/>
      <c r="T669" s="210"/>
      <c r="U669" s="210"/>
      <c r="V669" s="210"/>
      <c r="W669" s="210"/>
      <c r="X669" s="777"/>
      <c r="Y669" s="777"/>
    </row>
    <row r="670" spans="1:25">
      <c r="A670" s="777">
        <v>31</v>
      </c>
      <c r="B670" s="221" t="s">
        <v>964</v>
      </c>
      <c r="D670" s="211">
        <f>D$399</f>
        <v>0</v>
      </c>
      <c r="E670" s="211">
        <f t="shared" ref="E670:I670" si="683">E$399</f>
        <v>-1000</v>
      </c>
      <c r="F670" s="211">
        <f t="shared" si="683"/>
        <v>0</v>
      </c>
      <c r="G670" s="211">
        <f t="shared" si="683"/>
        <v>-150</v>
      </c>
      <c r="H670" s="211">
        <f t="shared" si="683"/>
        <v>-1448</v>
      </c>
      <c r="I670" s="211">
        <f t="shared" si="683"/>
        <v>-2598</v>
      </c>
      <c r="J670" s="210"/>
      <c r="K670" s="210">
        <f>K$399</f>
        <v>8.136374790413349</v>
      </c>
      <c r="L670" s="210">
        <f t="shared" ref="L670:P670" si="684">L$399</f>
        <v>24.824757888751655</v>
      </c>
      <c r="M670" s="210">
        <f t="shared" si="684"/>
        <v>42.459909933253144</v>
      </c>
      <c r="N670" s="210">
        <f t="shared" si="684"/>
        <v>64.359539002539435</v>
      </c>
      <c r="O670" s="210">
        <f t="shared" si="684"/>
        <v>7.4545974743895407</v>
      </c>
      <c r="P670" s="210">
        <f t="shared" si="684"/>
        <v>147.23517908934713</v>
      </c>
      <c r="Q670" s="210"/>
      <c r="R670" s="210">
        <f>R$399</f>
        <v>1.2198042447853459</v>
      </c>
      <c r="S670" s="210">
        <f t="shared" ref="S670:W670" si="685">S$399</f>
        <v>4.6600942473857501</v>
      </c>
      <c r="T670" s="210">
        <f t="shared" si="685"/>
        <v>6.2540685313659923</v>
      </c>
      <c r="U670" s="210">
        <f t="shared" si="685"/>
        <v>12.564505904924985</v>
      </c>
      <c r="V670" s="210">
        <f t="shared" si="685"/>
        <v>0.53579442866389704</v>
      </c>
      <c r="W670" s="210">
        <f t="shared" si="685"/>
        <v>25.234267357125972</v>
      </c>
      <c r="X670" s="777"/>
      <c r="Y670" s="777"/>
    </row>
    <row r="671" spans="1:25">
      <c r="A671" s="777">
        <v>32</v>
      </c>
      <c r="B671" s="617" t="s">
        <v>674</v>
      </c>
      <c r="D671" s="211">
        <f>D$400</f>
        <v>222351.6538822767</v>
      </c>
      <c r="E671" s="211">
        <f t="shared" ref="E671:I671" si="686">E$400</f>
        <v>435972.92238569196</v>
      </c>
      <c r="F671" s="211">
        <f t="shared" si="686"/>
        <v>592268.25223140384</v>
      </c>
      <c r="G671" s="211">
        <f t="shared" si="686"/>
        <v>298888.44256774255</v>
      </c>
      <c r="H671" s="211">
        <f t="shared" si="686"/>
        <v>61586.099834710752</v>
      </c>
      <c r="I671" s="211">
        <f t="shared" si="686"/>
        <v>1611067.3709018258</v>
      </c>
      <c r="J671" s="210"/>
      <c r="K671" s="210">
        <f>K$400</f>
        <v>271.74206210926337</v>
      </c>
      <c r="L671" s="210">
        <f t="shared" ref="L671:P671" si="687">L$400</f>
        <v>588.58968330562334</v>
      </c>
      <c r="M671" s="210">
        <f t="shared" si="687"/>
        <v>794.06012217489649</v>
      </c>
      <c r="N671" s="210">
        <f t="shared" si="687"/>
        <v>364.54224039475059</v>
      </c>
      <c r="O671" s="210">
        <f t="shared" si="687"/>
        <v>116.45279390912391</v>
      </c>
      <c r="P671" s="210">
        <f t="shared" si="687"/>
        <v>2135.3869018936575</v>
      </c>
      <c r="Q671" s="210"/>
      <c r="R671" s="210">
        <f>R$400</f>
        <v>28.319589459756752</v>
      </c>
      <c r="S671" s="210">
        <f t="shared" ref="S671:W671" si="688">S$400</f>
        <v>86.206900525325949</v>
      </c>
      <c r="T671" s="210">
        <f t="shared" si="688"/>
        <v>84.753457838967307</v>
      </c>
      <c r="U671" s="210">
        <f t="shared" si="688"/>
        <v>28.244743686834823</v>
      </c>
      <c r="V671" s="210">
        <f t="shared" si="688"/>
        <v>7.6158275993004159</v>
      </c>
      <c r="W671" s="210">
        <f t="shared" si="688"/>
        <v>235.14051911018524</v>
      </c>
      <c r="X671" s="777"/>
      <c r="Y671" s="777"/>
    </row>
    <row r="672" spans="1:25">
      <c r="A672" s="777">
        <v>33</v>
      </c>
      <c r="B672" s="619" t="s">
        <v>675</v>
      </c>
      <c r="C672" s="543"/>
      <c r="D672" s="559"/>
      <c r="E672" s="559"/>
      <c r="F672" s="559"/>
      <c r="G672" s="559"/>
      <c r="H672" s="559"/>
      <c r="I672" s="559"/>
      <c r="J672" s="560"/>
      <c r="K672" s="556">
        <f>K$401</f>
        <v>0.99079485676457946</v>
      </c>
      <c r="L672" s="556">
        <f t="shared" ref="L672:P672" si="689">L$401</f>
        <v>1.0945116026319424</v>
      </c>
      <c r="M672" s="556">
        <f t="shared" si="689"/>
        <v>1.0869314964701138</v>
      </c>
      <c r="N672" s="556">
        <f t="shared" si="689"/>
        <v>0.98879435231014279</v>
      </c>
      <c r="O672" s="556">
        <f t="shared" si="689"/>
        <v>1.532972809273655</v>
      </c>
      <c r="P672" s="556">
        <f t="shared" si="689"/>
        <v>1.0745586227361112</v>
      </c>
      <c r="Q672" s="556"/>
      <c r="R672" s="556">
        <f>R$401</f>
        <v>0.10325565120326982</v>
      </c>
      <c r="S672" s="556">
        <f t="shared" ref="S672:W672" si="690">S$401</f>
        <v>0.16030599164089268</v>
      </c>
      <c r="T672" s="556">
        <f t="shared" si="690"/>
        <v>0.11601288137680232</v>
      </c>
      <c r="U672" s="556">
        <f t="shared" si="690"/>
        <v>7.6611815985295081E-2</v>
      </c>
      <c r="V672" s="556">
        <f t="shared" si="690"/>
        <v>0.10025398479450896</v>
      </c>
      <c r="W672" s="556">
        <f t="shared" si="690"/>
        <v>0.11832622563172303</v>
      </c>
      <c r="X672" s="777"/>
      <c r="Y672" s="777"/>
    </row>
    <row r="673" spans="1:25">
      <c r="A673" s="777">
        <v>34</v>
      </c>
      <c r="B673" s="620" t="s">
        <v>965</v>
      </c>
      <c r="D673" s="550">
        <f>D$408</f>
        <v>0</v>
      </c>
      <c r="E673" s="550">
        <f t="shared" ref="E673:I673" si="691">E$408</f>
        <v>-1000</v>
      </c>
      <c r="F673" s="550">
        <f t="shared" si="691"/>
        <v>0</v>
      </c>
      <c r="G673" s="550">
        <f t="shared" si="691"/>
        <v>-150</v>
      </c>
      <c r="H673" s="550">
        <f t="shared" si="691"/>
        <v>-1448</v>
      </c>
      <c r="I673" s="550">
        <f t="shared" si="691"/>
        <v>-2598</v>
      </c>
      <c r="J673" s="554"/>
      <c r="K673" s="554">
        <f>K$408</f>
        <v>8.1363747904133561</v>
      </c>
      <c r="L673" s="554">
        <f t="shared" ref="L673:P673" si="692">L$408</f>
        <v>24.824757888751492</v>
      </c>
      <c r="M673" s="554">
        <f t="shared" si="692"/>
        <v>42.45990993325313</v>
      </c>
      <c r="N673" s="554">
        <f t="shared" si="692"/>
        <v>64.359539002539464</v>
      </c>
      <c r="O673" s="554">
        <f t="shared" si="692"/>
        <v>7.4545974743895442</v>
      </c>
      <c r="P673" s="554">
        <f t="shared" si="692"/>
        <v>147.23517908934699</v>
      </c>
      <c r="Q673" s="554"/>
      <c r="R673" s="554">
        <f>R$408</f>
        <v>1.2198042447853474</v>
      </c>
      <c r="S673" s="554">
        <f t="shared" ref="S673:W673" si="693">S$408</f>
        <v>4.660094247385743</v>
      </c>
      <c r="T673" s="554">
        <f t="shared" si="693"/>
        <v>6.2540685313659878</v>
      </c>
      <c r="U673" s="554">
        <f t="shared" si="693"/>
        <v>11.315372362945773</v>
      </c>
      <c r="V673" s="554">
        <f t="shared" si="693"/>
        <v>0.53579442866389737</v>
      </c>
      <c r="W673" s="554">
        <f t="shared" si="693"/>
        <v>23.985133815146749</v>
      </c>
      <c r="X673" s="777"/>
      <c r="Y673" s="777"/>
    </row>
    <row r="674" spans="1:25">
      <c r="A674" s="777">
        <v>35</v>
      </c>
      <c r="B674" s="620" t="s">
        <v>676</v>
      </c>
      <c r="D674" s="550">
        <f>D$409</f>
        <v>222351.6538822767</v>
      </c>
      <c r="E674" s="550">
        <f t="shared" ref="E674:I674" si="694">E$409</f>
        <v>435972.92238569196</v>
      </c>
      <c r="F674" s="550">
        <f t="shared" si="694"/>
        <v>592268.25223140384</v>
      </c>
      <c r="G674" s="550">
        <f t="shared" si="694"/>
        <v>298888.44256774255</v>
      </c>
      <c r="H674" s="550">
        <f t="shared" si="694"/>
        <v>61586.099834710752</v>
      </c>
      <c r="I674" s="550">
        <f t="shared" si="694"/>
        <v>1611067.3709018258</v>
      </c>
      <c r="J674" s="554"/>
      <c r="K674" s="554">
        <f>K$409</f>
        <v>271.74206210926337</v>
      </c>
      <c r="L674" s="554">
        <f t="shared" ref="L674:P674" si="695">L$409</f>
        <v>588.58968330562345</v>
      </c>
      <c r="M674" s="554">
        <f t="shared" si="695"/>
        <v>794.06012217489649</v>
      </c>
      <c r="N674" s="554">
        <f t="shared" si="695"/>
        <v>364.54224039475059</v>
      </c>
      <c r="O674" s="554">
        <f t="shared" si="695"/>
        <v>116.45279390912391</v>
      </c>
      <c r="P674" s="554">
        <f t="shared" si="695"/>
        <v>2135.386901893658</v>
      </c>
      <c r="Q674" s="554"/>
      <c r="R674" s="554">
        <f>R$409</f>
        <v>28.319589459756752</v>
      </c>
      <c r="S674" s="554">
        <f t="shared" ref="S674:W674" si="696">S$409</f>
        <v>86.206900525325949</v>
      </c>
      <c r="T674" s="554">
        <f t="shared" si="696"/>
        <v>84.753457838967307</v>
      </c>
      <c r="U674" s="554">
        <f t="shared" si="696"/>
        <v>29.493877228814036</v>
      </c>
      <c r="V674" s="554">
        <f t="shared" si="696"/>
        <v>7.6158275993004159</v>
      </c>
      <c r="W674" s="554">
        <f t="shared" si="696"/>
        <v>236.38965265216444</v>
      </c>
      <c r="X674" s="777"/>
      <c r="Y674" s="777"/>
    </row>
    <row r="675" spans="1:25">
      <c r="A675" s="777">
        <v>36</v>
      </c>
      <c r="B675" s="621" t="s">
        <v>677</v>
      </c>
      <c r="C675" s="543"/>
      <c r="D675" s="631"/>
      <c r="E675" s="631"/>
      <c r="F675" s="631"/>
      <c r="G675" s="631"/>
      <c r="H675" s="631"/>
      <c r="I675" s="631"/>
      <c r="J675" s="624"/>
      <c r="K675" s="555">
        <f>K$410</f>
        <v>0.99079485676457946</v>
      </c>
      <c r="L675" s="555">
        <f t="shared" ref="L675:P675" si="697">L$410</f>
        <v>1.0945116026319424</v>
      </c>
      <c r="M675" s="555">
        <f t="shared" si="697"/>
        <v>1.0869314964701138</v>
      </c>
      <c r="N675" s="555">
        <f t="shared" si="697"/>
        <v>0.98879435231014279</v>
      </c>
      <c r="O675" s="555">
        <f t="shared" si="697"/>
        <v>1.532972809273655</v>
      </c>
      <c r="P675" s="555">
        <f t="shared" si="697"/>
        <v>1.0745586227361117</v>
      </c>
      <c r="Q675" s="555"/>
      <c r="R675" s="555">
        <f>R$410</f>
        <v>0.10325565120326982</v>
      </c>
      <c r="S675" s="555">
        <f t="shared" ref="S675:W675" si="698">S$410</f>
        <v>0.16030599164089268</v>
      </c>
      <c r="T675" s="555">
        <f t="shared" si="698"/>
        <v>0.11601288137680232</v>
      </c>
      <c r="U675" s="555">
        <f t="shared" si="698"/>
        <v>0.08</v>
      </c>
      <c r="V675" s="555">
        <f t="shared" si="698"/>
        <v>0.10025398479450896</v>
      </c>
      <c r="W675" s="555">
        <f t="shared" si="698"/>
        <v>0.11895480831024949</v>
      </c>
      <c r="X675" s="777"/>
      <c r="Y675" s="777"/>
    </row>
    <row r="676" spans="1:25">
      <c r="A676" s="777">
        <v>37</v>
      </c>
      <c r="B676" s="633" t="s">
        <v>1110</v>
      </c>
      <c r="C676" s="634"/>
      <c r="D676" s="634"/>
      <c r="E676" s="634"/>
      <c r="F676" s="634"/>
      <c r="G676" s="634"/>
      <c r="H676" s="634"/>
      <c r="I676" s="634"/>
      <c r="J676" s="634"/>
      <c r="K676" s="634"/>
      <c r="L676" s="634"/>
      <c r="M676" s="634"/>
      <c r="N676" s="634"/>
      <c r="O676" s="634"/>
      <c r="P676" s="634"/>
      <c r="Q676" s="634"/>
      <c r="R676" s="634"/>
      <c r="S676" s="634"/>
      <c r="T676" s="634"/>
      <c r="U676" s="634"/>
      <c r="V676" s="634"/>
      <c r="W676" s="638"/>
      <c r="X676" s="777"/>
      <c r="Y676" s="777"/>
    </row>
    <row r="677" spans="1:25">
      <c r="A677" s="777">
        <v>38</v>
      </c>
      <c r="B677" s="59" t="s">
        <v>1160</v>
      </c>
      <c r="D677" s="211">
        <f>D$479</f>
        <v>222351.6538822767</v>
      </c>
      <c r="E677" s="211">
        <f t="shared" ref="E677:I677" si="699">E$479</f>
        <v>435972.92238569196</v>
      </c>
      <c r="F677" s="211">
        <f t="shared" si="699"/>
        <v>592268.25223140384</v>
      </c>
      <c r="G677" s="211">
        <f t="shared" si="699"/>
        <v>298888.44256774255</v>
      </c>
      <c r="H677" s="211">
        <f t="shared" si="699"/>
        <v>61586.099834710752</v>
      </c>
      <c r="I677" s="211">
        <f t="shared" si="699"/>
        <v>1611067.3709018258</v>
      </c>
      <c r="J677" s="211"/>
      <c r="K677" s="210">
        <f>K$479</f>
        <v>271.74206210926337</v>
      </c>
      <c r="L677" s="210">
        <f t="shared" ref="L677:P677" si="700">L$479</f>
        <v>588.58968330562345</v>
      </c>
      <c r="M677" s="210">
        <f t="shared" si="700"/>
        <v>794.06012217489649</v>
      </c>
      <c r="N677" s="210">
        <f t="shared" si="700"/>
        <v>364.54224039475059</v>
      </c>
      <c r="O677" s="210">
        <f t="shared" si="700"/>
        <v>116.45279390912391</v>
      </c>
      <c r="P677" s="210">
        <f t="shared" si="700"/>
        <v>2135.386901893658</v>
      </c>
      <c r="Q677" s="210"/>
      <c r="R677" s="210">
        <f>R$479</f>
        <v>28.319589459756752</v>
      </c>
      <c r="S677" s="210">
        <f t="shared" ref="S677:W677" si="701">S$479</f>
        <v>86.206900525325949</v>
      </c>
      <c r="T677" s="210">
        <f t="shared" si="701"/>
        <v>84.753457838967307</v>
      </c>
      <c r="U677" s="210">
        <f t="shared" si="701"/>
        <v>29.493877228814036</v>
      </c>
      <c r="V677" s="210">
        <f t="shared" si="701"/>
        <v>7.6158275993004159</v>
      </c>
      <c r="W677" s="210">
        <f t="shared" si="701"/>
        <v>236.38965265216444</v>
      </c>
      <c r="X677" s="777"/>
      <c r="Y677" s="777"/>
    </row>
    <row r="678" spans="1:25">
      <c r="A678" s="777">
        <v>39</v>
      </c>
      <c r="B678" s="646" t="s">
        <v>1161</v>
      </c>
      <c r="D678" s="211"/>
      <c r="E678" s="211"/>
      <c r="F678" s="211"/>
      <c r="G678" s="211"/>
      <c r="H678" s="211"/>
      <c r="I678" s="211"/>
      <c r="X678" s="777"/>
      <c r="Y678" s="777"/>
    </row>
    <row r="679" spans="1:25">
      <c r="A679" s="777">
        <v>40</v>
      </c>
      <c r="B679" s="839" t="s">
        <v>763</v>
      </c>
      <c r="D679" s="211"/>
      <c r="E679" s="211"/>
      <c r="F679" s="211"/>
      <c r="G679" s="211"/>
      <c r="H679" s="211"/>
      <c r="I679" s="211"/>
      <c r="X679" s="777"/>
      <c r="Y679" s="777"/>
    </row>
    <row r="680" spans="1:25">
      <c r="A680" s="777">
        <v>41</v>
      </c>
      <c r="B680" s="421" t="s">
        <v>1231</v>
      </c>
      <c r="D680" s="211"/>
      <c r="E680" s="211"/>
      <c r="F680" s="211"/>
      <c r="G680" s="211"/>
      <c r="H680" s="211"/>
      <c r="I680" s="211"/>
      <c r="K680" s="210">
        <f>K$481</f>
        <v>20.994222744939343</v>
      </c>
      <c r="L680" s="210">
        <f t="shared" ref="L680:W680" si="702">L$481</f>
        <v>52.568122254974767</v>
      </c>
      <c r="M680" s="210">
        <f t="shared" si="702"/>
        <v>28.34582939271786</v>
      </c>
      <c r="N680" s="210">
        <f t="shared" si="702"/>
        <v>12.654650228957591</v>
      </c>
      <c r="O680" s="210">
        <f t="shared" si="702"/>
        <v>4.506762162585785</v>
      </c>
      <c r="P680" s="210">
        <f t="shared" si="702"/>
        <v>119.06958678417534</v>
      </c>
      <c r="Q680" s="210"/>
      <c r="R680" s="210">
        <f t="shared" si="702"/>
        <v>3.0304204569701634</v>
      </c>
      <c r="S680" s="210">
        <f t="shared" si="702"/>
        <v>9.5895363625991603</v>
      </c>
      <c r="T680" s="210">
        <f t="shared" si="702"/>
        <v>3.9425403350335313</v>
      </c>
      <c r="U680" s="210">
        <f t="shared" si="702"/>
        <v>1.4799062423268823</v>
      </c>
      <c r="V680" s="210">
        <f t="shared" si="702"/>
        <v>0.41023526514564729</v>
      </c>
      <c r="W680" s="210">
        <f t="shared" si="702"/>
        <v>18.452638662075387</v>
      </c>
      <c r="X680" s="777"/>
      <c r="Y680" s="777"/>
    </row>
    <row r="681" spans="1:25">
      <c r="A681" s="777">
        <v>42</v>
      </c>
      <c r="B681" s="840" t="s">
        <v>947</v>
      </c>
      <c r="D681" s="211"/>
      <c r="E681" s="211"/>
      <c r="F681" s="211"/>
      <c r="G681" s="211"/>
      <c r="H681" s="211"/>
      <c r="I681" s="211"/>
      <c r="J681" s="210"/>
      <c r="K681" s="210">
        <f>K$495</f>
        <v>16.523000464148339</v>
      </c>
      <c r="L681" s="210">
        <f t="shared" ref="L681:P681" si="703">L$495</f>
        <v>30.788118169109552</v>
      </c>
      <c r="M681" s="210">
        <f t="shared" si="703"/>
        <v>7.9550685827768941</v>
      </c>
      <c r="N681" s="210">
        <f t="shared" si="703"/>
        <v>1.4177618588494461</v>
      </c>
      <c r="O681" s="210">
        <f t="shared" si="703"/>
        <v>1.7453480855223598</v>
      </c>
      <c r="P681" s="210">
        <f t="shared" si="703"/>
        <v>58.429297160406591</v>
      </c>
      <c r="Q681" s="210"/>
      <c r="R681" s="210">
        <f>R$495</f>
        <v>2.2412302569588922</v>
      </c>
      <c r="S681" s="210">
        <f t="shared" ref="S681:W681" si="704">S$495</f>
        <v>5.8053822912795345</v>
      </c>
      <c r="T681" s="210">
        <f t="shared" si="704"/>
        <v>1.0873237885245897</v>
      </c>
      <c r="U681" s="210">
        <f t="shared" si="704"/>
        <v>0</v>
      </c>
      <c r="V681" s="210">
        <f t="shared" si="704"/>
        <v>0.27204977799986962</v>
      </c>
      <c r="W681" s="210">
        <f t="shared" si="704"/>
        <v>9.4059861147628858</v>
      </c>
      <c r="X681" s="777"/>
      <c r="Y681" s="777"/>
    </row>
    <row r="682" spans="1:25">
      <c r="A682" s="777">
        <v>43</v>
      </c>
      <c r="B682" s="840" t="s">
        <v>948</v>
      </c>
      <c r="D682" s="211"/>
      <c r="E682" s="211"/>
      <c r="F682" s="211"/>
      <c r="G682" s="211"/>
      <c r="H682" s="211"/>
      <c r="I682" s="211"/>
      <c r="J682" s="210"/>
      <c r="K682" s="210">
        <f>K$496</f>
        <v>4.4712222807910367</v>
      </c>
      <c r="L682" s="210">
        <f t="shared" ref="L682:P682" si="705">L$496</f>
        <v>21.780004085865254</v>
      </c>
      <c r="M682" s="210">
        <f t="shared" si="705"/>
        <v>20.390760809940971</v>
      </c>
      <c r="N682" s="210">
        <f t="shared" si="705"/>
        <v>11.236888370108121</v>
      </c>
      <c r="O682" s="210">
        <f t="shared" si="705"/>
        <v>2.7614140770634275</v>
      </c>
      <c r="P682" s="210">
        <f t="shared" si="705"/>
        <v>60.640289623768808</v>
      </c>
      <c r="Q682" s="210"/>
      <c r="R682" s="210">
        <f>R$496</f>
        <v>0.78919020001127349</v>
      </c>
      <c r="S682" s="210">
        <f t="shared" ref="S682:W682" si="706">S$496</f>
        <v>3.7841540713196298</v>
      </c>
      <c r="T682" s="210">
        <f t="shared" si="706"/>
        <v>2.8552165465089376</v>
      </c>
      <c r="U682" s="210">
        <f t="shared" si="706"/>
        <v>0</v>
      </c>
      <c r="V682" s="210">
        <f t="shared" si="706"/>
        <v>0.1381854871457773</v>
      </c>
      <c r="W682" s="210">
        <f t="shared" si="706"/>
        <v>7.5667463049856183</v>
      </c>
      <c r="X682" s="777"/>
      <c r="Y682" s="777"/>
    </row>
    <row r="683" spans="1:25">
      <c r="A683" s="777">
        <v>44</v>
      </c>
      <c r="B683" s="622" t="s">
        <v>667</v>
      </c>
      <c r="D683" s="211"/>
      <c r="E683" s="211"/>
      <c r="F683" s="211"/>
      <c r="G683" s="211"/>
      <c r="H683" s="211"/>
      <c r="I683" s="211"/>
      <c r="J683" s="210"/>
      <c r="K683" s="210">
        <f>K$497</f>
        <v>20.994222744939378</v>
      </c>
      <c r="L683" s="210">
        <f t="shared" ref="L683:P683" si="707">L$497</f>
        <v>52.568122254974803</v>
      </c>
      <c r="M683" s="210">
        <f t="shared" si="707"/>
        <v>28.345829392717864</v>
      </c>
      <c r="N683" s="210">
        <f t="shared" si="707"/>
        <v>12.654650228957568</v>
      </c>
      <c r="O683" s="210">
        <f t="shared" si="707"/>
        <v>4.5067621625857868</v>
      </c>
      <c r="P683" s="210">
        <f t="shared" si="707"/>
        <v>119.0695867841754</v>
      </c>
      <c r="Q683" s="210"/>
      <c r="R683" s="210">
        <f>R$497</f>
        <v>3.0304204569701652</v>
      </c>
      <c r="S683" s="210">
        <f t="shared" ref="S683:W683" si="708">S$497</f>
        <v>9.5895363625991639</v>
      </c>
      <c r="T683" s="210">
        <f t="shared" si="708"/>
        <v>3.9425403350335273</v>
      </c>
      <c r="U683" s="210">
        <f t="shared" si="708"/>
        <v>0</v>
      </c>
      <c r="V683" s="210">
        <f t="shared" si="708"/>
        <v>0.4102352651456469</v>
      </c>
      <c r="W683" s="210">
        <f t="shared" si="708"/>
        <v>16.972732419748503</v>
      </c>
      <c r="X683" s="777"/>
      <c r="Y683" s="777"/>
    </row>
    <row r="684" spans="1:25">
      <c r="A684" s="777">
        <v>45</v>
      </c>
      <c r="B684" s="622" t="s">
        <v>669</v>
      </c>
      <c r="C684" s="107"/>
      <c r="D684" s="241">
        <f>D$498</f>
        <v>222351.6538822767</v>
      </c>
      <c r="E684" s="241">
        <f t="shared" ref="E684:I684" si="709">E$498</f>
        <v>435972.92238569196</v>
      </c>
      <c r="F684" s="241">
        <f t="shared" si="709"/>
        <v>592268.25223140384</v>
      </c>
      <c r="G684" s="241">
        <f t="shared" si="709"/>
        <v>298888.44256774255</v>
      </c>
      <c r="H684" s="241">
        <f t="shared" si="709"/>
        <v>61586.099834710752</v>
      </c>
      <c r="I684" s="241">
        <f t="shared" si="709"/>
        <v>1611067.3709018258</v>
      </c>
      <c r="J684" s="242"/>
      <c r="K684" s="242">
        <f>K$498</f>
        <v>250.74783936432399</v>
      </c>
      <c r="L684" s="242">
        <f t="shared" ref="L684:P684" si="710">L$498</f>
        <v>536.02156105064864</v>
      </c>
      <c r="M684" s="242">
        <f t="shared" si="710"/>
        <v>765.71429278217863</v>
      </c>
      <c r="N684" s="242">
        <f t="shared" si="710"/>
        <v>351.88759016579303</v>
      </c>
      <c r="O684" s="242">
        <f t="shared" si="710"/>
        <v>111.94603174653813</v>
      </c>
      <c r="P684" s="242">
        <f t="shared" si="710"/>
        <v>2016.3173151094825</v>
      </c>
      <c r="Q684" s="242"/>
      <c r="R684" s="242">
        <f>R$498</f>
        <v>25.289169002786586</v>
      </c>
      <c r="S684" s="242">
        <f t="shared" ref="S684:W684" si="711">S$498</f>
        <v>76.617364162726787</v>
      </c>
      <c r="T684" s="242">
        <f t="shared" si="711"/>
        <v>80.81091750393378</v>
      </c>
      <c r="U684" s="242">
        <f t="shared" si="711"/>
        <v>29.493877228814036</v>
      </c>
      <c r="V684" s="242">
        <f t="shared" si="711"/>
        <v>7.205592334154769</v>
      </c>
      <c r="W684" s="242">
        <f t="shared" si="711"/>
        <v>219.41692023241595</v>
      </c>
      <c r="X684" s="777"/>
      <c r="Y684" s="777"/>
    </row>
    <row r="685" spans="1:25">
      <c r="A685" s="777">
        <v>46</v>
      </c>
      <c r="B685" s="632" t="s">
        <v>668</v>
      </c>
      <c r="C685" s="543"/>
      <c r="D685" s="559"/>
      <c r="E685" s="559"/>
      <c r="F685" s="559"/>
      <c r="G685" s="559"/>
      <c r="H685" s="559"/>
      <c r="I685" s="559"/>
      <c r="J685" s="560"/>
      <c r="K685" s="556">
        <f>K$499</f>
        <v>0.91424812065755701</v>
      </c>
      <c r="L685" s="556">
        <f t="shared" ref="L685:P685" si="712">L$499</f>
        <v>0.99675858152306107</v>
      </c>
      <c r="M685" s="556">
        <f t="shared" si="712"/>
        <v>1.0481309398118519</v>
      </c>
      <c r="N685" s="556">
        <f t="shared" si="712"/>
        <v>0.95446953260391687</v>
      </c>
      <c r="O685" s="556">
        <f t="shared" si="712"/>
        <v>1.4736462476584935</v>
      </c>
      <c r="P685" s="556">
        <f t="shared" si="712"/>
        <v>1.0146410260368444</v>
      </c>
      <c r="Q685" s="556"/>
      <c r="R685" s="556">
        <f>R$499</f>
        <v>9.2206478398387914E-2</v>
      </c>
      <c r="S685" s="556">
        <f t="shared" ref="S685:W685" si="713">S$499</f>
        <v>0.14247377488544583</v>
      </c>
      <c r="T685" s="556">
        <f t="shared" si="713"/>
        <v>0.11061622292918427</v>
      </c>
      <c r="U685" s="556">
        <f t="shared" si="713"/>
        <v>0.08</v>
      </c>
      <c r="V685" s="556">
        <f t="shared" si="713"/>
        <v>9.4853689226124374E-2</v>
      </c>
      <c r="W685" s="556">
        <f t="shared" si="713"/>
        <v>0.11041387553742978</v>
      </c>
      <c r="X685" s="777"/>
      <c r="Y685" s="777"/>
    </row>
    <row r="686" spans="1:25">
      <c r="A686" s="777">
        <v>47</v>
      </c>
      <c r="B686" s="620" t="s">
        <v>770</v>
      </c>
      <c r="D686" s="211"/>
      <c r="E686" s="211"/>
      <c r="F686" s="211"/>
      <c r="G686" s="211"/>
      <c r="H686" s="211"/>
      <c r="I686" s="211"/>
      <c r="X686" s="777"/>
      <c r="Y686" s="777"/>
    </row>
    <row r="687" spans="1:25">
      <c r="A687" s="777">
        <v>48</v>
      </c>
      <c r="B687" s="421" t="s">
        <v>1232</v>
      </c>
      <c r="D687" s="211"/>
      <c r="E687" s="211"/>
      <c r="F687" s="211"/>
      <c r="G687" s="211"/>
      <c r="H687" s="211"/>
      <c r="I687" s="211"/>
      <c r="K687" s="210">
        <f>K$508</f>
        <v>0</v>
      </c>
      <c r="L687" s="210">
        <f t="shared" ref="L687:W687" si="714">L$508</f>
        <v>0.13539189579033123</v>
      </c>
      <c r="M687" s="210">
        <f t="shared" si="714"/>
        <v>7.9979498784099468</v>
      </c>
      <c r="N687" s="210">
        <f t="shared" si="714"/>
        <v>2.815517459407864</v>
      </c>
      <c r="O687" s="210">
        <f t="shared" si="714"/>
        <v>3.8785514328885967E-2</v>
      </c>
      <c r="P687" s="210">
        <f t="shared" si="714"/>
        <v>10.987644747937029</v>
      </c>
      <c r="Q687" s="210"/>
      <c r="R687" s="210">
        <f t="shared" si="714"/>
        <v>0</v>
      </c>
      <c r="S687" s="210">
        <f t="shared" si="714"/>
        <v>1.1348032905437185E-2</v>
      </c>
      <c r="T687" s="210">
        <f t="shared" si="714"/>
        <v>0.51480133269312567</v>
      </c>
      <c r="U687" s="210">
        <f t="shared" si="714"/>
        <v>0.40244188325399199</v>
      </c>
      <c r="V687" s="210">
        <f t="shared" si="714"/>
        <v>4.0932930576376902E-3</v>
      </c>
      <c r="W687" s="210">
        <f t="shared" si="714"/>
        <v>0.93268454191019257</v>
      </c>
      <c r="X687" s="777"/>
      <c r="Y687" s="777"/>
    </row>
    <row r="688" spans="1:25">
      <c r="A688" s="777">
        <v>49</v>
      </c>
      <c r="B688" s="622" t="s">
        <v>773</v>
      </c>
      <c r="D688" s="211">
        <f>D$511</f>
        <v>0</v>
      </c>
      <c r="E688" s="211">
        <f t="shared" ref="E688:I688" si="715">E$511</f>
        <v>-115</v>
      </c>
      <c r="F688" s="211">
        <f t="shared" si="715"/>
        <v>-4400</v>
      </c>
      <c r="G688" s="211">
        <f t="shared" si="715"/>
        <v>-2290</v>
      </c>
      <c r="H688" s="211">
        <f t="shared" si="715"/>
        <v>-30</v>
      </c>
      <c r="I688" s="211">
        <f t="shared" si="715"/>
        <v>-6835</v>
      </c>
      <c r="J688" s="210"/>
      <c r="K688" s="210">
        <f>K$511</f>
        <v>0</v>
      </c>
      <c r="L688" s="210">
        <f t="shared" ref="L688:P688" si="716">L$511</f>
        <v>0.13539189579046251</v>
      </c>
      <c r="M688" s="210">
        <f t="shared" si="716"/>
        <v>7.9979498784099405</v>
      </c>
      <c r="N688" s="210">
        <f t="shared" si="716"/>
        <v>2.8155174594078858</v>
      </c>
      <c r="O688" s="210">
        <f t="shared" si="716"/>
        <v>3.87855143288931E-2</v>
      </c>
      <c r="P688" s="210">
        <f t="shared" si="716"/>
        <v>10.987644747937111</v>
      </c>
      <c r="Q688" s="210"/>
      <c r="R688" s="210">
        <f>R$511</f>
        <v>0</v>
      </c>
      <c r="S688" s="210">
        <f t="shared" ref="S688:W688" si="717">S$511</f>
        <v>1.1348032905431182E-2</v>
      </c>
      <c r="T688" s="210">
        <f t="shared" si="717"/>
        <v>0.51480133269312489</v>
      </c>
      <c r="U688" s="210">
        <f t="shared" si="717"/>
        <v>0.22597387263870417</v>
      </c>
      <c r="V688" s="210">
        <f t="shared" si="717"/>
        <v>4.093293057638725E-3</v>
      </c>
      <c r="W688" s="210">
        <f t="shared" si="717"/>
        <v>0.75621653129488209</v>
      </c>
      <c r="X688" s="777"/>
      <c r="Y688" s="777"/>
    </row>
    <row r="689" spans="1:25">
      <c r="A689" s="777">
        <v>50</v>
      </c>
      <c r="B689" s="622" t="s">
        <v>669</v>
      </c>
      <c r="D689" s="211">
        <f>D$512</f>
        <v>222351.6538822767</v>
      </c>
      <c r="E689" s="211">
        <f t="shared" ref="E689:I689" si="718">E$512</f>
        <v>435857.92238569196</v>
      </c>
      <c r="F689" s="211">
        <f t="shared" si="718"/>
        <v>587868.25223140384</v>
      </c>
      <c r="G689" s="211">
        <f t="shared" si="718"/>
        <v>296598.44256774255</v>
      </c>
      <c r="H689" s="211">
        <f t="shared" si="718"/>
        <v>61556.099834710752</v>
      </c>
      <c r="I689" s="211">
        <f t="shared" si="718"/>
        <v>1604232.3709018258</v>
      </c>
      <c r="J689" s="210"/>
      <c r="K689" s="210">
        <f>K$512</f>
        <v>250.74783936432399</v>
      </c>
      <c r="L689" s="210">
        <f t="shared" ref="L689:P689" si="719">L$512</f>
        <v>535.88616915485818</v>
      </c>
      <c r="M689" s="210">
        <f t="shared" si="719"/>
        <v>757.71634290376869</v>
      </c>
      <c r="N689" s="210">
        <f t="shared" si="719"/>
        <v>349.07207270638514</v>
      </c>
      <c r="O689" s="210">
        <f t="shared" si="719"/>
        <v>111.90724623220923</v>
      </c>
      <c r="P689" s="210">
        <f t="shared" si="719"/>
        <v>2005.3296703615454</v>
      </c>
      <c r="Q689" s="210"/>
      <c r="R689" s="210">
        <f>R$512</f>
        <v>25.289169002786586</v>
      </c>
      <c r="S689" s="210">
        <f t="shared" ref="S689:W689" si="720">S$512</f>
        <v>76.606016129821356</v>
      </c>
      <c r="T689" s="210">
        <f t="shared" si="720"/>
        <v>80.296116171240655</v>
      </c>
      <c r="U689" s="210">
        <f t="shared" si="720"/>
        <v>29.267903356175331</v>
      </c>
      <c r="V689" s="210">
        <f t="shared" si="720"/>
        <v>7.2014990410971302</v>
      </c>
      <c r="W689" s="210">
        <f t="shared" si="720"/>
        <v>218.66070370112107</v>
      </c>
      <c r="X689" s="777"/>
      <c r="Y689" s="777"/>
    </row>
    <row r="690" spans="1:25">
      <c r="A690" s="777">
        <v>51</v>
      </c>
      <c r="B690" s="632" t="s">
        <v>668</v>
      </c>
      <c r="D690" s="559"/>
      <c r="E690" s="559"/>
      <c r="F690" s="559"/>
      <c r="G690" s="559"/>
      <c r="H690" s="559"/>
      <c r="I690" s="559"/>
      <c r="J690" s="210"/>
      <c r="K690" s="556">
        <f>K$513</f>
        <v>0.91424812065755701</v>
      </c>
      <c r="L690" s="556">
        <f t="shared" ref="L690:P690" si="721">L$513</f>
        <v>0.99676973938064706</v>
      </c>
      <c r="M690" s="556">
        <f t="shared" si="721"/>
        <v>1.0449460980596079</v>
      </c>
      <c r="N690" s="556">
        <f t="shared" si="721"/>
        <v>0.9541430240720904</v>
      </c>
      <c r="O690" s="556">
        <f t="shared" si="721"/>
        <v>1.4738536269315416</v>
      </c>
      <c r="P690" s="556">
        <f t="shared" si="721"/>
        <v>1.0134113057116285</v>
      </c>
      <c r="Q690" s="556"/>
      <c r="R690" s="556">
        <f>R$513</f>
        <v>9.2206478398387914E-2</v>
      </c>
      <c r="S690" s="556">
        <f t="shared" ref="S690:W690" si="722">S$513</f>
        <v>0.14249025843144289</v>
      </c>
      <c r="T690" s="556">
        <f t="shared" si="722"/>
        <v>0.11073420029576293</v>
      </c>
      <c r="U690" s="556">
        <f t="shared" si="722"/>
        <v>0.08</v>
      </c>
      <c r="V690" s="556">
        <f t="shared" si="722"/>
        <v>9.4846007192786297E-2</v>
      </c>
      <c r="W690" s="556">
        <f t="shared" si="722"/>
        <v>0.11050214462025344</v>
      </c>
      <c r="X690" s="777"/>
      <c r="Y690" s="777"/>
    </row>
    <row r="691" spans="1:25">
      <c r="A691" s="777">
        <v>52</v>
      </c>
      <c r="B691" s="620" t="s">
        <v>393</v>
      </c>
      <c r="D691" s="211"/>
      <c r="E691" s="211"/>
      <c r="F691" s="211"/>
      <c r="G691" s="211"/>
      <c r="H691" s="211"/>
      <c r="I691" s="211"/>
      <c r="J691" s="210"/>
      <c r="K691" s="210"/>
      <c r="L691" s="210"/>
      <c r="M691" s="210"/>
      <c r="N691" s="210"/>
      <c r="O691" s="210"/>
      <c r="P691" s="210"/>
      <c r="Q691" s="210"/>
      <c r="R691" s="210"/>
      <c r="S691" s="210"/>
      <c r="T691" s="210"/>
      <c r="U691" s="210"/>
      <c r="V691" s="210"/>
      <c r="W691" s="210"/>
      <c r="X691" s="777"/>
      <c r="Y691" s="777"/>
    </row>
    <row r="692" spans="1:25">
      <c r="A692" s="777">
        <v>53</v>
      </c>
      <c r="B692" s="421" t="s">
        <v>1233</v>
      </c>
      <c r="D692" s="211"/>
      <c r="E692" s="211"/>
      <c r="F692" s="211"/>
      <c r="G692" s="211"/>
      <c r="H692" s="211"/>
      <c r="I692" s="211"/>
      <c r="J692" s="210"/>
      <c r="K692" s="210">
        <f>K$522</f>
        <v>27.862551325449601</v>
      </c>
      <c r="L692" s="210">
        <f t="shared" ref="L692:W692" si="723">L$522</f>
        <v>10.48551094775039</v>
      </c>
      <c r="M692" s="210">
        <f t="shared" si="723"/>
        <v>39.703396364399993</v>
      </c>
      <c r="N692" s="210">
        <f t="shared" si="723"/>
        <v>0</v>
      </c>
      <c r="O692" s="210">
        <f t="shared" si="723"/>
        <v>0</v>
      </c>
      <c r="P692" s="210">
        <f t="shared" si="723"/>
        <v>78.051458637599978</v>
      </c>
      <c r="Q692" s="210"/>
      <c r="R692" s="210">
        <f t="shared" si="723"/>
        <v>5.6628570531962499</v>
      </c>
      <c r="S692" s="210">
        <f t="shared" si="723"/>
        <v>1.7488427628037482</v>
      </c>
      <c r="T692" s="210">
        <f t="shared" si="723"/>
        <v>7.027507053199999</v>
      </c>
      <c r="U692" s="210">
        <f t="shared" si="723"/>
        <v>0</v>
      </c>
      <c r="V692" s="210">
        <f t="shared" si="723"/>
        <v>0</v>
      </c>
      <c r="W692" s="210">
        <f t="shared" si="723"/>
        <v>14.439206869199996</v>
      </c>
      <c r="X692" s="777"/>
      <c r="Y692" s="777"/>
    </row>
    <row r="693" spans="1:25">
      <c r="A693" s="777">
        <v>54</v>
      </c>
      <c r="B693" s="622" t="s">
        <v>774</v>
      </c>
      <c r="D693" s="211">
        <f>D$525</f>
        <v>-5894</v>
      </c>
      <c r="E693" s="211">
        <f t="shared" ref="E693:I693" si="724">E$525</f>
        <v>-3306</v>
      </c>
      <c r="F693" s="211">
        <f t="shared" si="724"/>
        <v>0</v>
      </c>
      <c r="G693" s="211">
        <f t="shared" si="724"/>
        <v>0</v>
      </c>
      <c r="H693" s="211">
        <f t="shared" si="724"/>
        <v>0</v>
      </c>
      <c r="I693" s="211">
        <f t="shared" si="724"/>
        <v>-9200</v>
      </c>
      <c r="J693" s="210"/>
      <c r="K693" s="210">
        <f>K$525</f>
        <v>27.862551325449573</v>
      </c>
      <c r="L693" s="210">
        <f t="shared" ref="L693:P693" si="725">L$525</f>
        <v>10.485510947750413</v>
      </c>
      <c r="M693" s="210">
        <f t="shared" si="725"/>
        <v>39.703396364399964</v>
      </c>
      <c r="N693" s="210">
        <f t="shared" si="725"/>
        <v>0</v>
      </c>
      <c r="O693" s="210">
        <f t="shared" si="725"/>
        <v>0</v>
      </c>
      <c r="P693" s="210">
        <f t="shared" si="725"/>
        <v>78.05145863759995</v>
      </c>
      <c r="Q693" s="210"/>
      <c r="R693" s="210">
        <f>R$525</f>
        <v>3.9294422298317286</v>
      </c>
      <c r="S693" s="210">
        <f t="shared" ref="S693:W693" si="726">S$525</f>
        <v>1.7488427628037471</v>
      </c>
      <c r="T693" s="210">
        <f t="shared" si="726"/>
        <v>7.0275070532000115</v>
      </c>
      <c r="U693" s="210">
        <f t="shared" si="726"/>
        <v>0</v>
      </c>
      <c r="V693" s="210">
        <f t="shared" si="726"/>
        <v>0</v>
      </c>
      <c r="W693" s="210">
        <f t="shared" si="726"/>
        <v>12.705792045835487</v>
      </c>
      <c r="X693" s="777"/>
      <c r="Y693" s="777"/>
    </row>
    <row r="694" spans="1:25">
      <c r="A694" s="777">
        <v>55</v>
      </c>
      <c r="B694" s="622" t="s">
        <v>669</v>
      </c>
      <c r="D694" s="211">
        <f>D$526</f>
        <v>216457.6538822767</v>
      </c>
      <c r="E694" s="211">
        <f t="shared" ref="E694:I694" si="727">E$526</f>
        <v>432551.92238569196</v>
      </c>
      <c r="F694" s="211">
        <f t="shared" si="727"/>
        <v>587868.25223140384</v>
      </c>
      <c r="G694" s="211">
        <f t="shared" si="727"/>
        <v>296598.44256774255</v>
      </c>
      <c r="H694" s="211">
        <f t="shared" si="727"/>
        <v>61556.099834710752</v>
      </c>
      <c r="I694" s="211">
        <f t="shared" si="727"/>
        <v>1595032.3709018258</v>
      </c>
      <c r="J694" s="210"/>
      <c r="K694" s="210">
        <f>K$526</f>
        <v>222.88528803887442</v>
      </c>
      <c r="L694" s="210">
        <f t="shared" ref="L694:P694" si="728">L$526</f>
        <v>525.40065820710777</v>
      </c>
      <c r="M694" s="210">
        <f t="shared" si="728"/>
        <v>718.01294653936873</v>
      </c>
      <c r="N694" s="210">
        <f t="shared" si="728"/>
        <v>349.07207270638514</v>
      </c>
      <c r="O694" s="210">
        <f t="shared" si="728"/>
        <v>111.90724623220923</v>
      </c>
      <c r="P694" s="210">
        <f t="shared" si="728"/>
        <v>1927.2782117239451</v>
      </c>
      <c r="Q694" s="210"/>
      <c r="R694" s="210">
        <f>R$526</f>
        <v>21.359726772954858</v>
      </c>
      <c r="S694" s="210">
        <f t="shared" ref="S694:W694" si="729">S$526</f>
        <v>74.857173367017609</v>
      </c>
      <c r="T694" s="210">
        <f t="shared" si="729"/>
        <v>73.268609118040644</v>
      </c>
      <c r="U694" s="210">
        <f t="shared" si="729"/>
        <v>29.267903356175331</v>
      </c>
      <c r="V694" s="210">
        <f t="shared" si="729"/>
        <v>7.2014990410971302</v>
      </c>
      <c r="W694" s="210">
        <f t="shared" si="729"/>
        <v>205.95491165528557</v>
      </c>
      <c r="X694" s="777"/>
      <c r="Y694" s="777"/>
    </row>
    <row r="695" spans="1:25">
      <c r="A695" s="777">
        <v>56</v>
      </c>
      <c r="B695" s="632" t="s">
        <v>668</v>
      </c>
      <c r="D695" s="559"/>
      <c r="E695" s="559"/>
      <c r="F695" s="559"/>
      <c r="G695" s="559"/>
      <c r="H695" s="559"/>
      <c r="I695" s="559"/>
      <c r="J695" s="210"/>
      <c r="K695" s="556">
        <f>K$527</f>
        <v>0.83478703789820408</v>
      </c>
      <c r="L695" s="556">
        <f t="shared" ref="L695:P695" si="730">L$527</f>
        <v>0.98473552789947383</v>
      </c>
      <c r="M695" s="556">
        <f t="shared" si="730"/>
        <v>0.99019221885502173</v>
      </c>
      <c r="N695" s="556">
        <f t="shared" si="730"/>
        <v>0.9541430240720904</v>
      </c>
      <c r="O695" s="556">
        <f t="shared" si="730"/>
        <v>1.4738536269315414</v>
      </c>
      <c r="P695" s="556">
        <f t="shared" si="730"/>
        <v>0.97958505598542533</v>
      </c>
      <c r="Q695" s="556"/>
      <c r="R695" s="556">
        <f>R$527</f>
        <v>0.08</v>
      </c>
      <c r="S695" s="556">
        <f t="shared" ref="S695:W695" si="731">S$527</f>
        <v>0.14030153366038414</v>
      </c>
      <c r="T695" s="556">
        <f t="shared" si="731"/>
        <v>0.10104275554457015</v>
      </c>
      <c r="U695" s="556">
        <f t="shared" si="731"/>
        <v>0.08</v>
      </c>
      <c r="V695" s="556">
        <f t="shared" si="731"/>
        <v>9.4846007192786297E-2</v>
      </c>
      <c r="W695" s="556">
        <f t="shared" si="731"/>
        <v>0.104681489385931</v>
      </c>
      <c r="X695" s="777"/>
      <c r="Y695" s="777"/>
    </row>
    <row r="696" spans="1:25">
      <c r="A696" s="777">
        <v>57</v>
      </c>
      <c r="B696" s="620" t="s">
        <v>394</v>
      </c>
      <c r="D696" s="211"/>
      <c r="E696" s="211"/>
      <c r="F696" s="211"/>
      <c r="G696" s="211"/>
      <c r="H696" s="211"/>
      <c r="I696" s="211"/>
      <c r="J696" s="210"/>
      <c r="K696" s="210"/>
      <c r="L696" s="210"/>
      <c r="M696" s="210"/>
      <c r="N696" s="210"/>
      <c r="O696" s="210"/>
      <c r="P696" s="210"/>
      <c r="Q696" s="210"/>
      <c r="R696" s="210"/>
      <c r="S696" s="210"/>
      <c r="T696" s="210"/>
      <c r="U696" s="210"/>
      <c r="V696" s="210"/>
      <c r="W696" s="210"/>
      <c r="X696" s="777"/>
      <c r="Y696" s="777"/>
    </row>
    <row r="697" spans="1:25">
      <c r="A697" s="777">
        <v>58</v>
      </c>
      <c r="B697" s="421" t="s">
        <v>1234</v>
      </c>
      <c r="D697" s="211"/>
      <c r="E697" s="211"/>
      <c r="F697" s="211"/>
      <c r="G697" s="211"/>
      <c r="H697" s="211"/>
      <c r="I697" s="211"/>
      <c r="J697" s="210"/>
      <c r="K697" s="210">
        <f>K$536</f>
        <v>0</v>
      </c>
      <c r="L697" s="210">
        <f t="shared" ref="L697:W697" si="732">L$536</f>
        <v>13.495984153019998</v>
      </c>
      <c r="M697" s="210">
        <f t="shared" si="732"/>
        <v>183.97743260284918</v>
      </c>
      <c r="N697" s="210">
        <f t="shared" si="732"/>
        <v>360.71140872717206</v>
      </c>
      <c r="O697" s="210">
        <f t="shared" si="732"/>
        <v>11.851498514591999</v>
      </c>
      <c r="P697" s="210">
        <f t="shared" si="732"/>
        <v>570.03632399763319</v>
      </c>
      <c r="Q697" s="210"/>
      <c r="R697" s="210">
        <f t="shared" si="732"/>
        <v>0</v>
      </c>
      <c r="S697" s="210">
        <f t="shared" si="732"/>
        <v>2.8673104210387992</v>
      </c>
      <c r="T697" s="210">
        <f t="shared" si="732"/>
        <v>36.496031449610726</v>
      </c>
      <c r="U697" s="210">
        <f t="shared" si="732"/>
        <v>53.660756544758605</v>
      </c>
      <c r="V697" s="210">
        <f t="shared" si="732"/>
        <v>2.4090972752599993</v>
      </c>
      <c r="W697" s="210">
        <f t="shared" si="732"/>
        <v>95.433195690668128</v>
      </c>
      <c r="X697" s="777"/>
      <c r="Y697" s="777"/>
    </row>
    <row r="698" spans="1:25">
      <c r="A698" s="777">
        <v>59</v>
      </c>
      <c r="B698" s="622" t="s">
        <v>775</v>
      </c>
      <c r="D698" s="211">
        <f>D$539</f>
        <v>0</v>
      </c>
      <c r="E698" s="211">
        <f t="shared" ref="E698:I698" si="733">E$539</f>
        <v>0</v>
      </c>
      <c r="F698" s="211">
        <f t="shared" si="733"/>
        <v>0</v>
      </c>
      <c r="G698" s="211">
        <f t="shared" si="733"/>
        <v>0</v>
      </c>
      <c r="H698" s="211">
        <f t="shared" si="733"/>
        <v>0</v>
      </c>
      <c r="I698" s="211">
        <f t="shared" si="733"/>
        <v>0</v>
      </c>
      <c r="J698" s="210"/>
      <c r="K698" s="210">
        <f>K$539</f>
        <v>0</v>
      </c>
      <c r="L698" s="210">
        <f t="shared" ref="L698:P698" si="734">L$539</f>
        <v>13.495984153020004</v>
      </c>
      <c r="M698" s="210">
        <f t="shared" si="734"/>
        <v>137.91309694077586</v>
      </c>
      <c r="N698" s="210">
        <f t="shared" si="734"/>
        <v>56.393039144631814</v>
      </c>
      <c r="O698" s="210">
        <f t="shared" si="734"/>
        <v>11.851498514592009</v>
      </c>
      <c r="P698" s="210">
        <f t="shared" si="734"/>
        <v>219.65361875301969</v>
      </c>
      <c r="Q698" s="210"/>
      <c r="R698" s="210">
        <f>R$539</f>
        <v>0</v>
      </c>
      <c r="S698" s="210">
        <f t="shared" ref="S698:W698" si="735">S$539</f>
        <v>2.8673104210387947</v>
      </c>
      <c r="T698" s="210">
        <f t="shared" si="735"/>
        <v>15.258624158181362</v>
      </c>
      <c r="U698" s="210">
        <f t="shared" si="735"/>
        <v>0</v>
      </c>
      <c r="V698" s="210">
        <f t="shared" si="735"/>
        <v>1.1272325501869211</v>
      </c>
      <c r="W698" s="210">
        <f t="shared" si="735"/>
        <v>19.253167129407078</v>
      </c>
      <c r="X698" s="777"/>
      <c r="Y698" s="777"/>
    </row>
    <row r="699" spans="1:25">
      <c r="A699" s="777">
        <v>60</v>
      </c>
      <c r="B699" s="622" t="s">
        <v>669</v>
      </c>
      <c r="D699" s="211">
        <f>D$540</f>
        <v>216457.6538822767</v>
      </c>
      <c r="E699" s="211">
        <f t="shared" ref="E699:I699" si="736">E$540</f>
        <v>432551.92238569196</v>
      </c>
      <c r="F699" s="211">
        <f t="shared" si="736"/>
        <v>587868.25223140384</v>
      </c>
      <c r="G699" s="211">
        <f t="shared" si="736"/>
        <v>296598.44256774255</v>
      </c>
      <c r="H699" s="211">
        <f t="shared" si="736"/>
        <v>61556.099834710752</v>
      </c>
      <c r="I699" s="211">
        <f t="shared" si="736"/>
        <v>1595032.3709018258</v>
      </c>
      <c r="J699" s="210"/>
      <c r="K699" s="210">
        <f>K$540</f>
        <v>222.88528803887442</v>
      </c>
      <c r="L699" s="210">
        <f t="shared" ref="L699:P699" si="737">L$540</f>
        <v>511.90467405408776</v>
      </c>
      <c r="M699" s="210">
        <f t="shared" si="737"/>
        <v>580.09984959859287</v>
      </c>
      <c r="N699" s="210">
        <f t="shared" si="737"/>
        <v>292.67903356175333</v>
      </c>
      <c r="O699" s="210">
        <f t="shared" si="737"/>
        <v>100.05574771761722</v>
      </c>
      <c r="P699" s="210">
        <f t="shared" si="737"/>
        <v>1707.6245929709257</v>
      </c>
      <c r="Q699" s="210"/>
      <c r="R699" s="210">
        <f>R$540</f>
        <v>21.359726772954858</v>
      </c>
      <c r="S699" s="210">
        <f t="shared" ref="S699:W699" si="738">S$540</f>
        <v>71.989862945978814</v>
      </c>
      <c r="T699" s="210">
        <f t="shared" si="738"/>
        <v>58.009984959859281</v>
      </c>
      <c r="U699" s="210">
        <f t="shared" si="738"/>
        <v>29.267903356175331</v>
      </c>
      <c r="V699" s="210">
        <f t="shared" si="738"/>
        <v>6.0742664909102091</v>
      </c>
      <c r="W699" s="210">
        <f t="shared" si="738"/>
        <v>186.70174452587852</v>
      </c>
      <c r="X699" s="777"/>
      <c r="Y699" s="777"/>
    </row>
    <row r="700" spans="1:25">
      <c r="A700" s="777">
        <v>61</v>
      </c>
      <c r="B700" s="632" t="s">
        <v>668</v>
      </c>
      <c r="D700" s="559"/>
      <c r="E700" s="559"/>
      <c r="F700" s="559"/>
      <c r="G700" s="559"/>
      <c r="H700" s="559"/>
      <c r="I700" s="559"/>
      <c r="J700" s="210"/>
      <c r="K700" s="556">
        <f>K$541</f>
        <v>0.83478703789820408</v>
      </c>
      <c r="L700" s="556">
        <f t="shared" ref="L700:P700" si="739">L$541</f>
        <v>0.95944059369669188</v>
      </c>
      <c r="M700" s="556">
        <f t="shared" si="739"/>
        <v>0.8</v>
      </c>
      <c r="N700" s="556">
        <f t="shared" si="739"/>
        <v>0.8</v>
      </c>
      <c r="O700" s="556">
        <f t="shared" si="739"/>
        <v>1.3177656642802211</v>
      </c>
      <c r="P700" s="556">
        <f t="shared" si="739"/>
        <v>0.86794087243441154</v>
      </c>
      <c r="Q700" s="556"/>
      <c r="R700" s="556">
        <f>R$541</f>
        <v>0.08</v>
      </c>
      <c r="S700" s="556">
        <f t="shared" ref="S700:W700" si="740">S$541</f>
        <v>0.13492745885288687</v>
      </c>
      <c r="T700" s="556">
        <f t="shared" si="740"/>
        <v>0.08</v>
      </c>
      <c r="U700" s="556">
        <f t="shared" si="740"/>
        <v>0.08</v>
      </c>
      <c r="V700" s="556">
        <f t="shared" si="740"/>
        <v>0.08</v>
      </c>
      <c r="W700" s="556">
        <f t="shared" si="740"/>
        <v>9.4895608610842175E-2</v>
      </c>
      <c r="X700" s="777"/>
      <c r="Y700" s="777"/>
    </row>
    <row r="701" spans="1:25">
      <c r="A701" s="777">
        <v>62</v>
      </c>
      <c r="B701" s="620" t="s">
        <v>776</v>
      </c>
      <c r="D701" s="211"/>
      <c r="E701" s="211"/>
      <c r="F701" s="211"/>
      <c r="G701" s="211"/>
      <c r="H701" s="211"/>
      <c r="I701" s="211"/>
      <c r="J701" s="210"/>
      <c r="K701" s="210"/>
      <c r="L701" s="210"/>
      <c r="M701" s="210"/>
      <c r="N701" s="210"/>
      <c r="O701" s="210"/>
      <c r="P701" s="210"/>
      <c r="Q701" s="210"/>
      <c r="R701" s="210"/>
      <c r="S701" s="210"/>
      <c r="T701" s="210"/>
      <c r="U701" s="210"/>
      <c r="V701" s="210"/>
      <c r="W701" s="210"/>
      <c r="X701" s="777"/>
      <c r="Y701" s="777"/>
    </row>
    <row r="702" spans="1:25">
      <c r="A702" s="777">
        <v>63</v>
      </c>
      <c r="B702" s="421" t="s">
        <v>1236</v>
      </c>
      <c r="D702" s="211"/>
      <c r="E702" s="211"/>
      <c r="F702" s="211"/>
      <c r="G702" s="211"/>
      <c r="H702" s="211"/>
      <c r="I702" s="211"/>
      <c r="J702" s="210"/>
      <c r="K702" s="210">
        <f>K$550</f>
        <v>0</v>
      </c>
      <c r="L702" s="210">
        <f t="shared" ref="L702:W702" si="741">L$550</f>
        <v>13.78462558336126</v>
      </c>
      <c r="M702" s="210">
        <f t="shared" si="741"/>
        <v>14.147409031857954</v>
      </c>
      <c r="N702" s="210">
        <f t="shared" si="741"/>
        <v>3.4632195958265957</v>
      </c>
      <c r="O702" s="210">
        <f t="shared" si="741"/>
        <v>0</v>
      </c>
      <c r="P702" s="210">
        <f t="shared" si="741"/>
        <v>31.39525421104581</v>
      </c>
      <c r="Q702" s="210"/>
      <c r="R702" s="210">
        <f t="shared" si="741"/>
        <v>0</v>
      </c>
      <c r="S702" s="210">
        <f t="shared" si="741"/>
        <v>2.6427326025184956</v>
      </c>
      <c r="T702" s="210">
        <f t="shared" si="741"/>
        <v>2.585921531406064</v>
      </c>
      <c r="U702" s="210">
        <f t="shared" si="741"/>
        <v>0.63463968807958182</v>
      </c>
      <c r="V702" s="210">
        <f t="shared" si="741"/>
        <v>0</v>
      </c>
      <c r="W702" s="210">
        <f t="shared" si="741"/>
        <v>5.8632938220041408</v>
      </c>
      <c r="X702" s="777"/>
      <c r="Y702" s="777"/>
    </row>
    <row r="703" spans="1:25">
      <c r="A703" s="777">
        <v>64</v>
      </c>
      <c r="B703" s="421" t="s">
        <v>713</v>
      </c>
      <c r="D703" s="211"/>
      <c r="E703" s="211"/>
      <c r="F703" s="211"/>
      <c r="G703" s="211"/>
      <c r="H703" s="211"/>
      <c r="I703" s="211"/>
      <c r="J703" s="210"/>
      <c r="K703" s="210">
        <f>K$553</f>
        <v>0</v>
      </c>
      <c r="L703" s="210">
        <f t="shared" ref="L703:P703" si="742">L$553</f>
        <v>13.784625583361276</v>
      </c>
      <c r="M703" s="210">
        <f t="shared" si="742"/>
        <v>0</v>
      </c>
      <c r="N703" s="210">
        <f t="shared" si="742"/>
        <v>0</v>
      </c>
      <c r="O703" s="210">
        <f t="shared" si="742"/>
        <v>0</v>
      </c>
      <c r="P703" s="210">
        <f t="shared" si="742"/>
        <v>13.784625583361276</v>
      </c>
      <c r="Q703" s="210"/>
      <c r="R703" s="210">
        <f>R$553</f>
        <v>0</v>
      </c>
      <c r="S703" s="210">
        <f t="shared" ref="S703:W703" si="743">S$553</f>
        <v>2.6427326025184925</v>
      </c>
      <c r="T703" s="210">
        <f t="shared" si="743"/>
        <v>0</v>
      </c>
      <c r="U703" s="210">
        <f t="shared" si="743"/>
        <v>0</v>
      </c>
      <c r="V703" s="210">
        <f t="shared" si="743"/>
        <v>0</v>
      </c>
      <c r="W703" s="210">
        <f t="shared" si="743"/>
        <v>2.6427326025184925</v>
      </c>
      <c r="X703" s="777"/>
      <c r="Y703" s="777"/>
    </row>
    <row r="704" spans="1:25">
      <c r="A704" s="777">
        <v>65</v>
      </c>
      <c r="B704" s="421" t="s">
        <v>669</v>
      </c>
      <c r="D704" s="211">
        <f>D$554</f>
        <v>216457.6538822767</v>
      </c>
      <c r="E704" s="211">
        <f t="shared" ref="E704:I704" si="744">E$554</f>
        <v>432551.92238569196</v>
      </c>
      <c r="F704" s="211">
        <f t="shared" si="744"/>
        <v>587868.25223140384</v>
      </c>
      <c r="G704" s="211">
        <f t="shared" si="744"/>
        <v>296598.44256774255</v>
      </c>
      <c r="H704" s="211">
        <f t="shared" si="744"/>
        <v>61556.099834710752</v>
      </c>
      <c r="I704" s="211">
        <f t="shared" si="744"/>
        <v>1595032.3709018258</v>
      </c>
      <c r="J704" s="210"/>
      <c r="K704" s="210">
        <f>K$554</f>
        <v>222.88528803887442</v>
      </c>
      <c r="L704" s="210">
        <f t="shared" ref="L704:P704" si="745">L$554</f>
        <v>498.12004847072649</v>
      </c>
      <c r="M704" s="210">
        <f t="shared" si="745"/>
        <v>580.09984959859287</v>
      </c>
      <c r="N704" s="210">
        <f t="shared" si="745"/>
        <v>292.67903356175333</v>
      </c>
      <c r="O704" s="210">
        <f t="shared" si="745"/>
        <v>100.05574771761721</v>
      </c>
      <c r="P704" s="210">
        <f t="shared" si="745"/>
        <v>1693.8399673875642</v>
      </c>
      <c r="Q704" s="210"/>
      <c r="R704" s="210">
        <f>R$554</f>
        <v>21.359726772954858</v>
      </c>
      <c r="S704" s="210">
        <f t="shared" ref="S704:W704" si="746">S$554</f>
        <v>69.347130343460321</v>
      </c>
      <c r="T704" s="210">
        <f t="shared" si="746"/>
        <v>58.009984959859281</v>
      </c>
      <c r="U704" s="210">
        <f t="shared" si="746"/>
        <v>29.267903356175331</v>
      </c>
      <c r="V704" s="210">
        <f t="shared" si="746"/>
        <v>6.07426649091021</v>
      </c>
      <c r="W704" s="210">
        <f t="shared" si="746"/>
        <v>184.05901192336003</v>
      </c>
      <c r="X704" s="777"/>
      <c r="Y704" s="777"/>
    </row>
    <row r="705" spans="1:25">
      <c r="A705" s="777">
        <v>66</v>
      </c>
      <c r="B705" s="632" t="s">
        <v>668</v>
      </c>
      <c r="D705" s="211"/>
      <c r="E705" s="211"/>
      <c r="F705" s="211"/>
      <c r="G705" s="211"/>
      <c r="H705" s="211"/>
      <c r="I705" s="211"/>
      <c r="J705" s="210"/>
      <c r="K705" s="556">
        <f>K$555</f>
        <v>0.83478703789820408</v>
      </c>
      <c r="L705" s="556">
        <f t="shared" ref="L705:P705" si="747">L$555</f>
        <v>0.93360467145584647</v>
      </c>
      <c r="M705" s="556">
        <f t="shared" si="747"/>
        <v>0.8</v>
      </c>
      <c r="N705" s="556">
        <f t="shared" si="747"/>
        <v>0.8</v>
      </c>
      <c r="O705" s="556">
        <f t="shared" si="747"/>
        <v>1.3177656642802209</v>
      </c>
      <c r="P705" s="556">
        <f t="shared" si="747"/>
        <v>0.86093450815255901</v>
      </c>
      <c r="Q705" s="556"/>
      <c r="R705" s="556">
        <f>R$555</f>
        <v>0.08</v>
      </c>
      <c r="S705" s="556">
        <f t="shared" ref="S705:W705" si="748">S$555</f>
        <v>0.12997430045122313</v>
      </c>
      <c r="T705" s="556">
        <f t="shared" si="748"/>
        <v>0.08</v>
      </c>
      <c r="U705" s="556">
        <f t="shared" si="748"/>
        <v>0.08</v>
      </c>
      <c r="V705" s="556">
        <f t="shared" si="748"/>
        <v>8.0000000000000016E-2</v>
      </c>
      <c r="W705" s="556">
        <f t="shared" si="748"/>
        <v>9.3552376819684771E-2</v>
      </c>
      <c r="X705" s="777"/>
      <c r="Y705" s="777"/>
    </row>
    <row r="706" spans="1:25">
      <c r="A706" s="777">
        <v>67</v>
      </c>
      <c r="B706" s="646" t="s">
        <v>1162</v>
      </c>
      <c r="D706" s="211"/>
      <c r="E706" s="211"/>
      <c r="F706" s="211"/>
      <c r="G706" s="211"/>
      <c r="H706" s="211"/>
      <c r="I706" s="211"/>
      <c r="J706" s="210"/>
      <c r="K706" s="210"/>
      <c r="L706" s="210"/>
      <c r="M706" s="210"/>
      <c r="N706" s="210"/>
      <c r="O706" s="210"/>
      <c r="P706" s="210"/>
      <c r="Q706" s="210"/>
      <c r="R706" s="210"/>
      <c r="S706" s="210"/>
      <c r="T706" s="210"/>
      <c r="U706" s="210"/>
      <c r="V706" s="210"/>
      <c r="W706" s="210"/>
      <c r="X706" s="777"/>
      <c r="Y706" s="777"/>
    </row>
    <row r="707" spans="1:25">
      <c r="A707" s="777">
        <v>68</v>
      </c>
      <c r="B707" s="221" t="s">
        <v>1163</v>
      </c>
      <c r="D707" s="550">
        <f t="shared" ref="D707:I707" si="749">D$569</f>
        <v>-5894</v>
      </c>
      <c r="E707" s="550">
        <f t="shared" si="749"/>
        <v>-3421</v>
      </c>
      <c r="F707" s="550">
        <f t="shared" si="749"/>
        <v>-4400</v>
      </c>
      <c r="G707" s="550">
        <f t="shared" si="749"/>
        <v>-2290</v>
      </c>
      <c r="H707" s="550">
        <f t="shared" si="749"/>
        <v>-30</v>
      </c>
      <c r="I707" s="550">
        <f t="shared" si="749"/>
        <v>-16035</v>
      </c>
      <c r="J707" s="554"/>
      <c r="K707" s="554">
        <f t="shared" ref="K707:P707" si="750">K$569</f>
        <v>48.856774070388951</v>
      </c>
      <c r="L707" s="554">
        <f t="shared" si="750"/>
        <v>90.469634834896965</v>
      </c>
      <c r="M707" s="554">
        <f t="shared" si="750"/>
        <v>213.96027257630362</v>
      </c>
      <c r="N707" s="554">
        <f t="shared" si="750"/>
        <v>71.863206832997264</v>
      </c>
      <c r="O707" s="554">
        <f t="shared" si="750"/>
        <v>16.397046191506689</v>
      </c>
      <c r="P707" s="554">
        <f t="shared" si="750"/>
        <v>441.54693450609352</v>
      </c>
      <c r="Q707" s="554"/>
      <c r="R707" s="554">
        <f t="shared" ref="R707:W707" si="751">R$569</f>
        <v>6.9598626868018947</v>
      </c>
      <c r="S707" s="554">
        <f t="shared" si="751"/>
        <v>16.859770181865628</v>
      </c>
      <c r="T707" s="554">
        <f t="shared" si="751"/>
        <v>26.743472879108026</v>
      </c>
      <c r="U707" s="554">
        <f t="shared" si="751"/>
        <v>0.22597387263870417</v>
      </c>
      <c r="V707" s="554">
        <f t="shared" si="751"/>
        <v>1.5415611083902068</v>
      </c>
      <c r="W707" s="554">
        <f t="shared" si="751"/>
        <v>52.330640728804461</v>
      </c>
      <c r="X707" s="777"/>
      <c r="Y707" s="777"/>
    </row>
    <row r="708" spans="1:25">
      <c r="A708" s="777">
        <v>69</v>
      </c>
      <c r="B708" s="221" t="s">
        <v>669</v>
      </c>
      <c r="D708" s="550">
        <f t="shared" ref="D708:I708" si="752">D$570</f>
        <v>216457.6538822767</v>
      </c>
      <c r="E708" s="550">
        <f t="shared" si="752"/>
        <v>432551.92238569196</v>
      </c>
      <c r="F708" s="550">
        <f t="shared" si="752"/>
        <v>587868.25223140384</v>
      </c>
      <c r="G708" s="550">
        <f t="shared" si="752"/>
        <v>296598.44256774255</v>
      </c>
      <c r="H708" s="550">
        <f t="shared" si="752"/>
        <v>61556.099834710752</v>
      </c>
      <c r="I708" s="550">
        <f t="shared" si="752"/>
        <v>1595032.3709018258</v>
      </c>
      <c r="J708" s="554"/>
      <c r="K708" s="554">
        <f t="shared" ref="K708:P708" si="753">K$570</f>
        <v>222.88528803887442</v>
      </c>
      <c r="L708" s="554">
        <f t="shared" si="753"/>
        <v>498.12004847072649</v>
      </c>
      <c r="M708" s="554">
        <f t="shared" si="753"/>
        <v>580.09984959859287</v>
      </c>
      <c r="N708" s="554">
        <f t="shared" si="753"/>
        <v>292.67903356175333</v>
      </c>
      <c r="O708" s="554">
        <f t="shared" si="753"/>
        <v>100.05574771761722</v>
      </c>
      <c r="P708" s="554">
        <f t="shared" si="753"/>
        <v>1693.8399673875642</v>
      </c>
      <c r="Q708" s="554"/>
      <c r="R708" s="554">
        <f t="shared" ref="R708:W708" si="754">R$570</f>
        <v>21.359726772954858</v>
      </c>
      <c r="S708" s="554">
        <f t="shared" si="754"/>
        <v>69.347130343460321</v>
      </c>
      <c r="T708" s="554">
        <f t="shared" si="754"/>
        <v>58.009984959859281</v>
      </c>
      <c r="U708" s="554">
        <f t="shared" si="754"/>
        <v>29.267903356175331</v>
      </c>
      <c r="V708" s="554">
        <f t="shared" si="754"/>
        <v>6.0742664909102091</v>
      </c>
      <c r="W708" s="554">
        <f t="shared" si="754"/>
        <v>184.05901192336003</v>
      </c>
      <c r="X708" s="777"/>
      <c r="Y708" s="777"/>
    </row>
    <row r="709" spans="1:25">
      <c r="A709" s="777">
        <v>70</v>
      </c>
      <c r="B709" s="619" t="s">
        <v>668</v>
      </c>
      <c r="D709" s="550"/>
      <c r="E709" s="550"/>
      <c r="F709" s="550"/>
      <c r="G709" s="550"/>
      <c r="H709" s="550"/>
      <c r="I709" s="550"/>
      <c r="J709" s="554"/>
      <c r="K709" s="555">
        <f t="shared" ref="K709:P709" si="755">K$571</f>
        <v>0.83478703789820408</v>
      </c>
      <c r="L709" s="555">
        <f t="shared" si="755"/>
        <v>0.93360467145584647</v>
      </c>
      <c r="M709" s="555">
        <f t="shared" si="755"/>
        <v>0.80000000000000016</v>
      </c>
      <c r="N709" s="555">
        <f t="shared" si="755"/>
        <v>0.80000000000000016</v>
      </c>
      <c r="O709" s="555">
        <f t="shared" si="755"/>
        <v>1.3177656642802209</v>
      </c>
      <c r="P709" s="555">
        <f t="shared" si="755"/>
        <v>0.86093450815255901</v>
      </c>
      <c r="Q709" s="555"/>
      <c r="R709" s="555">
        <f t="shared" ref="R709:W709" si="756">R$571</f>
        <v>0.08</v>
      </c>
      <c r="S709" s="555">
        <f t="shared" si="756"/>
        <v>0.12997430045122313</v>
      </c>
      <c r="T709" s="555">
        <f t="shared" si="756"/>
        <v>8.0000000000000016E-2</v>
      </c>
      <c r="U709" s="555">
        <f t="shared" si="756"/>
        <v>0.08</v>
      </c>
      <c r="V709" s="555">
        <f t="shared" si="756"/>
        <v>8.0000000000000016E-2</v>
      </c>
      <c r="W709" s="555">
        <f t="shared" si="756"/>
        <v>9.3552376819684771E-2</v>
      </c>
      <c r="X709" s="777"/>
      <c r="Y709" s="777"/>
    </row>
    <row r="710" spans="1:25">
      <c r="A710" s="777">
        <v>71</v>
      </c>
      <c r="B710" s="633" t="s">
        <v>1239</v>
      </c>
      <c r="C710" s="634"/>
      <c r="D710" s="635"/>
      <c r="E710" s="635"/>
      <c r="F710" s="635"/>
      <c r="G710" s="635"/>
      <c r="H710" s="635"/>
      <c r="I710" s="635"/>
      <c r="J710" s="636"/>
      <c r="K710" s="636"/>
      <c r="L710" s="636"/>
      <c r="M710" s="636"/>
      <c r="N710" s="636"/>
      <c r="O710" s="636"/>
      <c r="P710" s="636"/>
      <c r="Q710" s="636"/>
      <c r="R710" s="636"/>
      <c r="S710" s="636"/>
      <c r="T710" s="636"/>
      <c r="U710" s="636"/>
      <c r="V710" s="636"/>
      <c r="W710" s="637"/>
      <c r="X710" s="777"/>
      <c r="Y710" s="777"/>
    </row>
    <row r="711" spans="1:25">
      <c r="A711" s="777">
        <v>72</v>
      </c>
      <c r="B711" s="646" t="s">
        <v>760</v>
      </c>
      <c r="D711" s="211"/>
      <c r="E711" s="211"/>
      <c r="F711" s="211"/>
      <c r="G711" s="211"/>
      <c r="H711" s="211"/>
      <c r="I711" s="211"/>
      <c r="J711" s="210"/>
      <c r="K711" s="210"/>
      <c r="L711" s="210"/>
      <c r="M711" s="210"/>
      <c r="N711" s="210"/>
      <c r="O711" s="210"/>
      <c r="P711" s="210"/>
      <c r="Q711" s="210"/>
      <c r="R711" s="210"/>
      <c r="S711" s="210"/>
      <c r="T711" s="210"/>
      <c r="U711" s="210"/>
      <c r="V711" s="210"/>
      <c r="W711" s="210"/>
      <c r="X711" s="777"/>
      <c r="Y711" s="777"/>
    </row>
    <row r="712" spans="1:25">
      <c r="A712" s="777">
        <v>73</v>
      </c>
      <c r="B712" s="618" t="s">
        <v>709</v>
      </c>
      <c r="D712" s="211">
        <f>D$581</f>
        <v>222351.6538822767</v>
      </c>
      <c r="E712" s="211">
        <f t="shared" ref="E712:I712" si="757">E$581</f>
        <v>436972.92238569196</v>
      </c>
      <c r="F712" s="211">
        <f t="shared" si="757"/>
        <v>592883.25223140384</v>
      </c>
      <c r="G712" s="211">
        <f t="shared" si="757"/>
        <v>304048.44256774255</v>
      </c>
      <c r="H712" s="211">
        <f t="shared" si="757"/>
        <v>63034.099834710752</v>
      </c>
      <c r="I712" s="211">
        <f t="shared" si="757"/>
        <v>1619290.3709018258</v>
      </c>
      <c r="J712" s="211"/>
      <c r="K712" s="210">
        <f t="shared" ref="K712:P712" si="758">K$581</f>
        <v>282.43225947662467</v>
      </c>
      <c r="L712" s="210">
        <f t="shared" si="758"/>
        <v>629.5347888603726</v>
      </c>
      <c r="M712" s="210">
        <f t="shared" si="758"/>
        <v>957.86749900000109</v>
      </c>
      <c r="N712" s="210">
        <f t="shared" si="758"/>
        <v>508.66752665601132</v>
      </c>
      <c r="O712" s="210">
        <f t="shared" si="758"/>
        <v>157.62772899999999</v>
      </c>
      <c r="P712" s="210">
        <f t="shared" si="758"/>
        <v>2536.1298029930094</v>
      </c>
      <c r="Q712" s="211"/>
      <c r="R712" s="210">
        <f t="shared" ref="R712:W712" si="759">R$581</f>
        <v>29.651060564799756</v>
      </c>
      <c r="S712" s="210">
        <f t="shared" si="759"/>
        <v>93.663108536234503</v>
      </c>
      <c r="T712" s="210">
        <f t="shared" si="759"/>
        <v>108.05345510000004</v>
      </c>
      <c r="U712" s="210">
        <f t="shared" si="759"/>
        <v>49.563984774778426</v>
      </c>
      <c r="V712" s="210">
        <f t="shared" si="759"/>
        <v>9.7744972000000026</v>
      </c>
      <c r="W712" s="210">
        <f t="shared" si="759"/>
        <v>290.70610617581258</v>
      </c>
      <c r="X712" s="777"/>
      <c r="Y712" s="777"/>
    </row>
    <row r="713" spans="1:25">
      <c r="A713" s="777">
        <v>74</v>
      </c>
      <c r="B713" s="619" t="s">
        <v>710</v>
      </c>
      <c r="D713" s="211"/>
      <c r="E713" s="211"/>
      <c r="F713" s="211"/>
      <c r="G713" s="211"/>
      <c r="H713" s="211"/>
      <c r="I713" s="211"/>
      <c r="J713" s="210"/>
      <c r="K713" s="556">
        <f t="shared" ref="K713:P713" si="760">K$582</f>
        <v>1.0297722329100547</v>
      </c>
      <c r="L713" s="556">
        <f t="shared" si="760"/>
        <v>1.1679720484565255</v>
      </c>
      <c r="M713" s="556">
        <f t="shared" si="760"/>
        <v>1.3097955059772124</v>
      </c>
      <c r="N713" s="556">
        <f t="shared" si="760"/>
        <v>1.3563084606842892</v>
      </c>
      <c r="O713" s="556">
        <f t="shared" si="760"/>
        <v>2.0273293335279883</v>
      </c>
      <c r="P713" s="556">
        <f t="shared" si="760"/>
        <v>1.2697376143261829</v>
      </c>
      <c r="Q713" s="556"/>
      <c r="R713" s="556">
        <f t="shared" ref="R713:W713" si="761">R$582</f>
        <v>0.1081103090084234</v>
      </c>
      <c r="S713" s="556">
        <f t="shared" si="761"/>
        <v>0.17377259315550725</v>
      </c>
      <c r="T713" s="556">
        <f t="shared" si="761"/>
        <v>0.14775313917952484</v>
      </c>
      <c r="U713" s="556">
        <f t="shared" si="761"/>
        <v>0.13215715250625748</v>
      </c>
      <c r="V713" s="556">
        <f t="shared" si="761"/>
        <v>0.1257147141544315</v>
      </c>
      <c r="W713" s="556">
        <f t="shared" si="761"/>
        <v>0.14554478926516828</v>
      </c>
      <c r="X713" s="777"/>
      <c r="Y713" s="777"/>
    </row>
    <row r="714" spans="1:25">
      <c r="A714" s="777">
        <v>75</v>
      </c>
      <c r="B714" s="646" t="s">
        <v>777</v>
      </c>
      <c r="D714" s="211"/>
      <c r="E714" s="211"/>
      <c r="F714" s="211"/>
      <c r="G714" s="211"/>
      <c r="H714" s="211"/>
      <c r="I714" s="211"/>
      <c r="J714" s="210"/>
      <c r="K714" s="210"/>
      <c r="L714" s="210"/>
      <c r="M714" s="210"/>
      <c r="N714" s="210"/>
      <c r="O714" s="210"/>
      <c r="P714" s="210"/>
      <c r="Q714" s="210"/>
      <c r="R714" s="210"/>
      <c r="S714" s="210"/>
      <c r="T714" s="210"/>
      <c r="U714" s="210"/>
      <c r="V714" s="210"/>
      <c r="W714" s="210"/>
      <c r="X714" s="777"/>
      <c r="Y714" s="777"/>
    </row>
    <row r="715" spans="1:25">
      <c r="A715" s="777">
        <v>76</v>
      </c>
      <c r="B715" s="221" t="s">
        <v>780</v>
      </c>
      <c r="D715" s="211">
        <f>D$585</f>
        <v>0</v>
      </c>
      <c r="E715" s="211">
        <f t="shared" ref="E715:I715" si="762">E$585</f>
        <v>0</v>
      </c>
      <c r="F715" s="211">
        <f t="shared" si="762"/>
        <v>-615</v>
      </c>
      <c r="G715" s="211">
        <f t="shared" si="762"/>
        <v>-5010</v>
      </c>
      <c r="H715" s="211">
        <f t="shared" si="762"/>
        <v>0</v>
      </c>
      <c r="I715" s="211">
        <f t="shared" si="762"/>
        <v>-5625</v>
      </c>
      <c r="J715" s="210"/>
      <c r="K715" s="210">
        <f t="shared" ref="K715:P715" si="763">K$585</f>
        <v>2.5538225769479368</v>
      </c>
      <c r="L715" s="210">
        <f t="shared" si="763"/>
        <v>16.120347665997656</v>
      </c>
      <c r="M715" s="210">
        <f t="shared" si="763"/>
        <v>121.34746689185147</v>
      </c>
      <c r="N715" s="210">
        <f t="shared" si="763"/>
        <v>79.765747258721262</v>
      </c>
      <c r="O715" s="210">
        <f t="shared" si="763"/>
        <v>33.720337616486532</v>
      </c>
      <c r="P715" s="210">
        <f t="shared" si="763"/>
        <v>253.50772201000484</v>
      </c>
      <c r="Q715" s="210"/>
      <c r="R715" s="210">
        <f t="shared" ref="R715:W715" si="764">R$585</f>
        <v>0.11166686025765671</v>
      </c>
      <c r="S715" s="210">
        <f t="shared" si="764"/>
        <v>2.7961137635228113</v>
      </c>
      <c r="T715" s="210">
        <f t="shared" si="764"/>
        <v>17.045928729666741</v>
      </c>
      <c r="U715" s="210">
        <f t="shared" si="764"/>
        <v>8.7547351830186173</v>
      </c>
      <c r="V715" s="210">
        <f t="shared" si="764"/>
        <v>1.6228751720356893</v>
      </c>
      <c r="W715" s="210">
        <f t="shared" si="764"/>
        <v>30.331319708501518</v>
      </c>
      <c r="X715" s="777"/>
      <c r="Y715" s="777"/>
    </row>
    <row r="716" spans="1:25">
      <c r="A716" s="777">
        <v>77</v>
      </c>
      <c r="B716" s="221" t="s">
        <v>669</v>
      </c>
      <c r="D716" s="211">
        <f>D$586</f>
        <v>222351.6538822767</v>
      </c>
      <c r="E716" s="211">
        <f t="shared" ref="E716:I716" si="765">E$586</f>
        <v>436972.92238569196</v>
      </c>
      <c r="F716" s="211">
        <f t="shared" si="765"/>
        <v>592268.25223140384</v>
      </c>
      <c r="G716" s="211">
        <f t="shared" si="765"/>
        <v>299038.44256774255</v>
      </c>
      <c r="H716" s="211">
        <f t="shared" si="765"/>
        <v>63034.099834710752</v>
      </c>
      <c r="I716" s="211">
        <f t="shared" si="765"/>
        <v>1613665.3709018258</v>
      </c>
      <c r="J716" s="210"/>
      <c r="K716" s="210">
        <f t="shared" ref="K716:P716" si="766">K$586</f>
        <v>279.87843689967673</v>
      </c>
      <c r="L716" s="210">
        <f t="shared" si="766"/>
        <v>613.41444119437494</v>
      </c>
      <c r="M716" s="210">
        <f t="shared" si="766"/>
        <v>836.52003210814962</v>
      </c>
      <c r="N716" s="210">
        <f t="shared" si="766"/>
        <v>428.90177939729006</v>
      </c>
      <c r="O716" s="210">
        <f t="shared" si="766"/>
        <v>123.90739138351346</v>
      </c>
      <c r="P716" s="210">
        <f t="shared" si="766"/>
        <v>2282.6220809830047</v>
      </c>
      <c r="Q716" s="210"/>
      <c r="R716" s="210">
        <f t="shared" ref="R716:W716" si="767">R$586</f>
        <v>29.5393937045421</v>
      </c>
      <c r="S716" s="210">
        <f t="shared" si="767"/>
        <v>90.866994772711692</v>
      </c>
      <c r="T716" s="210">
        <f t="shared" si="767"/>
        <v>91.007526370333295</v>
      </c>
      <c r="U716" s="210">
        <f t="shared" si="767"/>
        <v>40.809249591759809</v>
      </c>
      <c r="V716" s="210">
        <f t="shared" si="767"/>
        <v>8.1516220279643132</v>
      </c>
      <c r="W716" s="210">
        <f t="shared" si="767"/>
        <v>260.3747864673112</v>
      </c>
      <c r="X716" s="777"/>
      <c r="Y716" s="777"/>
    </row>
    <row r="717" spans="1:25">
      <c r="A717" s="777">
        <v>78</v>
      </c>
      <c r="B717" s="619" t="s">
        <v>668</v>
      </c>
      <c r="D717" s="211"/>
      <c r="E717" s="211"/>
      <c r="F717" s="211"/>
      <c r="G717" s="211"/>
      <c r="H717" s="211"/>
      <c r="I717" s="211"/>
      <c r="J717" s="210"/>
      <c r="K717" s="556">
        <f t="shared" ref="K717:P717" si="768">K$587</f>
        <v>1.0204607768377447</v>
      </c>
      <c r="L717" s="556">
        <f t="shared" si="768"/>
        <v>1.1380640658978958</v>
      </c>
      <c r="M717" s="556">
        <f t="shared" si="768"/>
        <v>1.1450517976348811</v>
      </c>
      <c r="N717" s="556">
        <f t="shared" si="768"/>
        <v>1.1627813749016025</v>
      </c>
      <c r="O717" s="556">
        <f t="shared" si="768"/>
        <v>1.5936351477393291</v>
      </c>
      <c r="P717" s="556">
        <f t="shared" si="768"/>
        <v>1.1468002417718701</v>
      </c>
      <c r="Q717" s="556"/>
      <c r="R717" s="556">
        <f t="shared" ref="R717:W717" si="769">R$587</f>
        <v>0.10770316206195675</v>
      </c>
      <c r="S717" s="556">
        <f t="shared" si="769"/>
        <v>0.16858498036922873</v>
      </c>
      <c r="T717" s="556">
        <f t="shared" si="769"/>
        <v>0.12457362366569293</v>
      </c>
      <c r="U717" s="556">
        <f t="shared" si="769"/>
        <v>0.1106366017312656</v>
      </c>
      <c r="V717" s="556">
        <f t="shared" si="769"/>
        <v>0.10484210207155213</v>
      </c>
      <c r="W717" s="556">
        <f t="shared" si="769"/>
        <v>0.13081353701065626</v>
      </c>
      <c r="X717" s="777"/>
      <c r="Y717" s="777"/>
    </row>
    <row r="718" spans="1:25">
      <c r="A718" s="777">
        <v>79</v>
      </c>
      <c r="B718" s="646" t="s">
        <v>970</v>
      </c>
      <c r="D718" s="211"/>
      <c r="E718" s="211"/>
      <c r="F718" s="211"/>
      <c r="G718" s="211"/>
      <c r="H718" s="211"/>
      <c r="I718" s="211"/>
      <c r="J718" s="210"/>
      <c r="K718" s="210"/>
      <c r="L718" s="210"/>
      <c r="M718" s="210"/>
      <c r="N718" s="210"/>
      <c r="O718" s="210"/>
      <c r="P718" s="210"/>
      <c r="Q718" s="210"/>
      <c r="R718" s="210"/>
      <c r="S718" s="210"/>
      <c r="T718" s="210"/>
      <c r="U718" s="210"/>
      <c r="V718" s="210"/>
      <c r="W718" s="210"/>
      <c r="X718" s="777"/>
      <c r="Y718" s="777"/>
    </row>
    <row r="719" spans="1:25">
      <c r="A719" s="777">
        <v>80</v>
      </c>
      <c r="B719" s="221" t="s">
        <v>979</v>
      </c>
      <c r="D719" s="211">
        <f>D$590</f>
        <v>0</v>
      </c>
      <c r="E719" s="211">
        <f t="shared" ref="E719:I719" si="770">E$590</f>
        <v>-1000</v>
      </c>
      <c r="F719" s="211">
        <f t="shared" si="770"/>
        <v>0</v>
      </c>
      <c r="G719" s="211">
        <f t="shared" si="770"/>
        <v>-150</v>
      </c>
      <c r="H719" s="211">
        <f t="shared" si="770"/>
        <v>-1448</v>
      </c>
      <c r="I719" s="211">
        <f t="shared" si="770"/>
        <v>-2598</v>
      </c>
      <c r="J719" s="210"/>
      <c r="K719" s="210">
        <f>K$590</f>
        <v>8.1363747904133561</v>
      </c>
      <c r="L719" s="210">
        <f t="shared" ref="L719:P719" si="771">L$590</f>
        <v>24.824757888751492</v>
      </c>
      <c r="M719" s="210">
        <f t="shared" si="771"/>
        <v>42.45990993325313</v>
      </c>
      <c r="N719" s="210">
        <f t="shared" si="771"/>
        <v>64.359539002539464</v>
      </c>
      <c r="O719" s="210">
        <f t="shared" si="771"/>
        <v>7.4545974743895442</v>
      </c>
      <c r="P719" s="210">
        <f t="shared" si="771"/>
        <v>147.23517908934699</v>
      </c>
      <c r="Q719" s="210"/>
      <c r="R719" s="210">
        <f>R$590</f>
        <v>1.2198042447853474</v>
      </c>
      <c r="S719" s="210">
        <f t="shared" ref="S719:W719" si="772">S$590</f>
        <v>4.660094247385743</v>
      </c>
      <c r="T719" s="210">
        <f t="shared" si="772"/>
        <v>6.2540685313659878</v>
      </c>
      <c r="U719" s="210">
        <f t="shared" si="772"/>
        <v>11.315372362945773</v>
      </c>
      <c r="V719" s="210">
        <f t="shared" si="772"/>
        <v>0.53579442866389737</v>
      </c>
      <c r="W719" s="210">
        <f t="shared" si="772"/>
        <v>23.985133815146749</v>
      </c>
      <c r="X719" s="777"/>
      <c r="Y719" s="777"/>
    </row>
    <row r="720" spans="1:25">
      <c r="A720" s="777">
        <v>81</v>
      </c>
      <c r="B720" s="221" t="s">
        <v>669</v>
      </c>
      <c r="D720" s="211">
        <f>D$591</f>
        <v>222351.6538822767</v>
      </c>
      <c r="E720" s="211">
        <f t="shared" ref="E720:I720" si="773">E$591</f>
        <v>435972.92238569196</v>
      </c>
      <c r="F720" s="211">
        <f t="shared" si="773"/>
        <v>592268.25223140384</v>
      </c>
      <c r="G720" s="211">
        <f t="shared" si="773"/>
        <v>298888.44256774255</v>
      </c>
      <c r="H720" s="211">
        <f t="shared" si="773"/>
        <v>61586.099834710752</v>
      </c>
      <c r="I720" s="211">
        <f t="shared" si="773"/>
        <v>1611067.3709018258</v>
      </c>
      <c r="J720" s="210"/>
      <c r="K720" s="210">
        <f>K$591</f>
        <v>271.74206210926337</v>
      </c>
      <c r="L720" s="210">
        <f t="shared" ref="L720:P720" si="774">L$591</f>
        <v>588.58968330562345</v>
      </c>
      <c r="M720" s="210">
        <f t="shared" si="774"/>
        <v>794.06012217489649</v>
      </c>
      <c r="N720" s="210">
        <f t="shared" si="774"/>
        <v>364.54224039475059</v>
      </c>
      <c r="O720" s="210">
        <f t="shared" si="774"/>
        <v>116.45279390912391</v>
      </c>
      <c r="P720" s="210">
        <f t="shared" si="774"/>
        <v>2135.386901893658</v>
      </c>
      <c r="Q720" s="210"/>
      <c r="R720" s="210">
        <f>R$591</f>
        <v>28.319589459756752</v>
      </c>
      <c r="S720" s="210">
        <f t="shared" ref="S720:W720" si="775">S$591</f>
        <v>86.206900525325949</v>
      </c>
      <c r="T720" s="210">
        <f t="shared" si="775"/>
        <v>84.753457838967307</v>
      </c>
      <c r="U720" s="210">
        <f t="shared" si="775"/>
        <v>29.493877228814036</v>
      </c>
      <c r="V720" s="210">
        <f t="shared" si="775"/>
        <v>7.6158275993004159</v>
      </c>
      <c r="W720" s="210">
        <f t="shared" si="775"/>
        <v>236.38965265216444</v>
      </c>
      <c r="X720" s="777"/>
      <c r="Y720" s="777"/>
    </row>
    <row r="721" spans="1:25">
      <c r="A721" s="777">
        <v>82</v>
      </c>
      <c r="B721" s="619" t="s">
        <v>668</v>
      </c>
      <c r="D721" s="211"/>
      <c r="E721" s="211"/>
      <c r="F721" s="211"/>
      <c r="G721" s="211"/>
      <c r="H721" s="211"/>
      <c r="I721" s="211"/>
      <c r="J721" s="210"/>
      <c r="K721" s="556">
        <f>K$592</f>
        <v>0.99079485676457946</v>
      </c>
      <c r="L721" s="556">
        <f t="shared" ref="L721:P721" si="776">L$592</f>
        <v>1.0945116026319424</v>
      </c>
      <c r="M721" s="556">
        <f t="shared" si="776"/>
        <v>1.0869314964701138</v>
      </c>
      <c r="N721" s="556">
        <f t="shared" si="776"/>
        <v>0.98879435231014279</v>
      </c>
      <c r="O721" s="556">
        <f t="shared" si="776"/>
        <v>1.532972809273655</v>
      </c>
      <c r="P721" s="556">
        <f t="shared" si="776"/>
        <v>1.0745586227361117</v>
      </c>
      <c r="Q721" s="556"/>
      <c r="R721" s="556">
        <f>R$592</f>
        <v>0.10325565120326982</v>
      </c>
      <c r="S721" s="556">
        <f t="shared" ref="S721:W721" si="777">S$592</f>
        <v>0.16030599164089268</v>
      </c>
      <c r="T721" s="556">
        <f t="shared" si="777"/>
        <v>0.11601288137680232</v>
      </c>
      <c r="U721" s="556">
        <f t="shared" si="777"/>
        <v>0.08</v>
      </c>
      <c r="V721" s="556">
        <f t="shared" si="777"/>
        <v>0.10025398479450896</v>
      </c>
      <c r="W721" s="556">
        <f t="shared" si="777"/>
        <v>0.11895480831024949</v>
      </c>
      <c r="X721" s="777"/>
      <c r="Y721" s="777"/>
    </row>
    <row r="722" spans="1:25">
      <c r="A722" s="777">
        <v>83</v>
      </c>
      <c r="B722" s="646" t="s">
        <v>1159</v>
      </c>
      <c r="D722" s="211"/>
      <c r="E722" s="211"/>
      <c r="F722" s="211"/>
      <c r="G722" s="211"/>
      <c r="H722" s="211"/>
      <c r="I722" s="211"/>
      <c r="J722" s="210"/>
      <c r="K722" s="556"/>
      <c r="L722" s="556"/>
      <c r="M722" s="556"/>
      <c r="N722" s="556"/>
      <c r="O722" s="556"/>
      <c r="P722" s="556"/>
      <c r="Q722" s="556"/>
      <c r="R722" s="556"/>
      <c r="S722" s="556"/>
      <c r="T722" s="556"/>
      <c r="U722" s="556"/>
      <c r="V722" s="556"/>
      <c r="W722" s="556"/>
      <c r="X722" s="777"/>
      <c r="Y722" s="777"/>
    </row>
    <row r="723" spans="1:25">
      <c r="A723" s="777">
        <v>84</v>
      </c>
      <c r="B723" s="221" t="s">
        <v>1163</v>
      </c>
      <c r="D723" s="241">
        <f>D$595</f>
        <v>-5894</v>
      </c>
      <c r="E723" s="241">
        <f t="shared" ref="E723:I723" si="778">E$595</f>
        <v>-3421</v>
      </c>
      <c r="F723" s="241">
        <f t="shared" si="778"/>
        <v>-4400</v>
      </c>
      <c r="G723" s="241">
        <f t="shared" si="778"/>
        <v>-2290</v>
      </c>
      <c r="H723" s="241">
        <f t="shared" si="778"/>
        <v>-30</v>
      </c>
      <c r="I723" s="241">
        <f t="shared" si="778"/>
        <v>-16035</v>
      </c>
      <c r="J723" s="210"/>
      <c r="K723" s="242">
        <f>K$595</f>
        <v>48.856774070388951</v>
      </c>
      <c r="L723" s="242">
        <f t="shared" ref="L723:P723" si="779">L$595</f>
        <v>90.469634834896965</v>
      </c>
      <c r="M723" s="242">
        <f t="shared" si="779"/>
        <v>213.96027257630362</v>
      </c>
      <c r="N723" s="242">
        <f t="shared" si="779"/>
        <v>71.863206832997264</v>
      </c>
      <c r="O723" s="242">
        <f t="shared" si="779"/>
        <v>16.397046191506689</v>
      </c>
      <c r="P723" s="242">
        <f t="shared" si="779"/>
        <v>441.54693450609352</v>
      </c>
      <c r="Q723" s="556"/>
      <c r="R723" s="242">
        <f>R$595</f>
        <v>6.9598626868018947</v>
      </c>
      <c r="S723" s="242">
        <f t="shared" ref="S723:W723" si="780">S$595</f>
        <v>16.859770181865628</v>
      </c>
      <c r="T723" s="242">
        <f t="shared" si="780"/>
        <v>26.743472879108026</v>
      </c>
      <c r="U723" s="242">
        <f t="shared" si="780"/>
        <v>0.22597387263870417</v>
      </c>
      <c r="V723" s="242">
        <f t="shared" si="780"/>
        <v>1.5415611083902068</v>
      </c>
      <c r="W723" s="242">
        <f t="shared" si="780"/>
        <v>52.330640728804461</v>
      </c>
      <c r="X723" s="777"/>
      <c r="Y723" s="777"/>
    </row>
    <row r="724" spans="1:25">
      <c r="A724" s="777">
        <v>85</v>
      </c>
      <c r="B724" s="221" t="s">
        <v>669</v>
      </c>
      <c r="D724" s="241">
        <f>D$596</f>
        <v>216457.6538822767</v>
      </c>
      <c r="E724" s="241">
        <f t="shared" ref="E724:I724" si="781">E$596</f>
        <v>432551.92238569196</v>
      </c>
      <c r="F724" s="241">
        <f t="shared" si="781"/>
        <v>587868.25223140384</v>
      </c>
      <c r="G724" s="241">
        <f t="shared" si="781"/>
        <v>296598.44256774255</v>
      </c>
      <c r="H724" s="241">
        <f t="shared" si="781"/>
        <v>61556.099834710752</v>
      </c>
      <c r="I724" s="241">
        <f t="shared" si="781"/>
        <v>1595032.3709018258</v>
      </c>
      <c r="J724" s="210"/>
      <c r="K724" s="242">
        <f>K$596</f>
        <v>222.88528803887442</v>
      </c>
      <c r="L724" s="242">
        <f t="shared" ref="L724:P724" si="782">L$596</f>
        <v>498.12004847072649</v>
      </c>
      <c r="M724" s="242">
        <f t="shared" si="782"/>
        <v>580.09984959859287</v>
      </c>
      <c r="N724" s="242">
        <f t="shared" si="782"/>
        <v>292.67903356175333</v>
      </c>
      <c r="O724" s="242">
        <f t="shared" si="782"/>
        <v>100.05574771761722</v>
      </c>
      <c r="P724" s="242">
        <f t="shared" si="782"/>
        <v>1693.8399673875642</v>
      </c>
      <c r="Q724" s="556"/>
      <c r="R724" s="242">
        <f>R$596</f>
        <v>21.359726772954858</v>
      </c>
      <c r="S724" s="242">
        <f t="shared" ref="S724:W724" si="783">S$596</f>
        <v>69.347130343460321</v>
      </c>
      <c r="T724" s="242">
        <f t="shared" si="783"/>
        <v>58.009984959859281</v>
      </c>
      <c r="U724" s="242">
        <f t="shared" si="783"/>
        <v>29.267903356175331</v>
      </c>
      <c r="V724" s="242">
        <f t="shared" si="783"/>
        <v>6.0742664909102091</v>
      </c>
      <c r="W724" s="242">
        <f t="shared" si="783"/>
        <v>184.05901192336003</v>
      </c>
      <c r="X724" s="777"/>
      <c r="Y724" s="777"/>
    </row>
    <row r="725" spans="1:25">
      <c r="A725" s="777">
        <v>86</v>
      </c>
      <c r="B725" s="619" t="s">
        <v>668</v>
      </c>
      <c r="D725" s="211"/>
      <c r="E725" s="211"/>
      <c r="F725" s="211"/>
      <c r="G725" s="211"/>
      <c r="H725" s="211"/>
      <c r="I725" s="211"/>
      <c r="J725" s="210"/>
      <c r="K725" s="556">
        <f>K$597</f>
        <v>0.83478703789820408</v>
      </c>
      <c r="L725" s="556">
        <f t="shared" ref="L725:P725" si="784">L$597</f>
        <v>0.93360467145584647</v>
      </c>
      <c r="M725" s="556">
        <f t="shared" si="784"/>
        <v>0.80000000000000016</v>
      </c>
      <c r="N725" s="556">
        <f t="shared" si="784"/>
        <v>0.80000000000000016</v>
      </c>
      <c r="O725" s="556">
        <f t="shared" si="784"/>
        <v>1.3177656642802209</v>
      </c>
      <c r="P725" s="556">
        <f t="shared" si="784"/>
        <v>0.86093450815255901</v>
      </c>
      <c r="Q725" s="556"/>
      <c r="R725" s="556">
        <f>R$597</f>
        <v>0.08</v>
      </c>
      <c r="S725" s="556">
        <f t="shared" ref="S725:W725" si="785">S$597</f>
        <v>0.12997430045122313</v>
      </c>
      <c r="T725" s="556">
        <f t="shared" si="785"/>
        <v>8.0000000000000016E-2</v>
      </c>
      <c r="U725" s="556">
        <f t="shared" si="785"/>
        <v>0.08</v>
      </c>
      <c r="V725" s="556">
        <f t="shared" si="785"/>
        <v>8.0000000000000016E-2</v>
      </c>
      <c r="W725" s="556">
        <f t="shared" si="785"/>
        <v>9.3552376819684771E-2</v>
      </c>
      <c r="X725" s="777"/>
      <c r="Y725" s="777"/>
    </row>
    <row r="726" spans="1:25">
      <c r="A726" s="777">
        <v>87</v>
      </c>
      <c r="B726" s="646" t="s">
        <v>1035</v>
      </c>
      <c r="D726" s="211"/>
      <c r="E726" s="211"/>
      <c r="F726" s="211"/>
      <c r="G726" s="211"/>
      <c r="H726" s="211"/>
      <c r="I726" s="211"/>
      <c r="J726" s="210"/>
      <c r="K726" s="556"/>
      <c r="L726" s="556"/>
      <c r="M726" s="556"/>
      <c r="N726" s="556"/>
      <c r="O726" s="556"/>
      <c r="P726" s="556"/>
      <c r="Q726" s="556"/>
      <c r="R726" s="556"/>
      <c r="S726" s="556"/>
      <c r="T726" s="556"/>
      <c r="U726" s="556"/>
      <c r="V726" s="556"/>
      <c r="W726" s="556"/>
      <c r="X726" s="777"/>
      <c r="Y726" s="777"/>
    </row>
    <row r="727" spans="1:25">
      <c r="A727" s="777">
        <v>88</v>
      </c>
      <c r="B727" s="221" t="s">
        <v>1037</v>
      </c>
      <c r="D727" s="211">
        <f>D$600</f>
        <v>-5894</v>
      </c>
      <c r="E727" s="211">
        <f t="shared" ref="E727:I727" si="786">E$600</f>
        <v>-4421</v>
      </c>
      <c r="F727" s="211">
        <f t="shared" si="786"/>
        <v>-5015</v>
      </c>
      <c r="G727" s="211">
        <f t="shared" si="786"/>
        <v>-7450</v>
      </c>
      <c r="H727" s="211">
        <f t="shared" si="786"/>
        <v>-1478</v>
      </c>
      <c r="I727" s="211">
        <f t="shared" si="786"/>
        <v>-24258</v>
      </c>
      <c r="J727" s="210"/>
      <c r="K727" s="210">
        <f>K$600</f>
        <v>59.546971437750244</v>
      </c>
      <c r="L727" s="210">
        <f t="shared" ref="L727:P727" si="787">L$600</f>
        <v>131.41474038964611</v>
      </c>
      <c r="M727" s="210">
        <f t="shared" si="787"/>
        <v>377.76764940140822</v>
      </c>
      <c r="N727" s="210">
        <f t="shared" si="787"/>
        <v>215.98849309425799</v>
      </c>
      <c r="O727" s="210">
        <f t="shared" si="787"/>
        <v>57.571981282382765</v>
      </c>
      <c r="P727" s="210">
        <f t="shared" si="787"/>
        <v>842.28983560544532</v>
      </c>
      <c r="Q727" s="556"/>
      <c r="R727" s="210">
        <f>R$600</f>
        <v>8.2913337918448988</v>
      </c>
      <c r="S727" s="210">
        <f t="shared" ref="S727:W727" si="788">S$600</f>
        <v>24.315978192774182</v>
      </c>
      <c r="T727" s="210">
        <f t="shared" si="788"/>
        <v>50.043470140140755</v>
      </c>
      <c r="U727" s="210">
        <f t="shared" si="788"/>
        <v>20.296081418603094</v>
      </c>
      <c r="V727" s="210">
        <f t="shared" si="788"/>
        <v>3.7002307090897935</v>
      </c>
      <c r="W727" s="210">
        <f t="shared" si="788"/>
        <v>106.64709425245273</v>
      </c>
      <c r="X727" s="777"/>
      <c r="Y727" s="777"/>
    </row>
    <row r="728" spans="1:25">
      <c r="A728" s="777">
        <v>89</v>
      </c>
      <c r="B728" s="646" t="s">
        <v>744</v>
      </c>
      <c r="C728" s="369"/>
      <c r="D728" s="647"/>
      <c r="E728" s="647"/>
      <c r="F728" s="210"/>
      <c r="G728" s="210"/>
      <c r="H728" s="210"/>
      <c r="I728" s="210"/>
      <c r="J728" s="210"/>
      <c r="K728" s="210"/>
      <c r="L728" s="210"/>
      <c r="M728" s="210"/>
      <c r="N728" s="210"/>
      <c r="O728" s="210"/>
      <c r="P728" s="210"/>
      <c r="Q728" s="210"/>
      <c r="R728" s="210"/>
      <c r="S728" s="210"/>
      <c r="T728" s="210"/>
      <c r="U728" s="210"/>
      <c r="V728" s="210"/>
      <c r="W728" s="210"/>
      <c r="X728" s="777"/>
      <c r="Y728" s="777"/>
    </row>
    <row r="729" spans="1:25">
      <c r="A729" s="777">
        <v>90</v>
      </c>
      <c r="B729" s="221" t="s">
        <v>681</v>
      </c>
      <c r="D729" s="598">
        <f>D$603</f>
        <v>0</v>
      </c>
      <c r="E729" s="598">
        <f t="shared" ref="E729:I729" si="789">E$603</f>
        <v>0</v>
      </c>
      <c r="F729" s="598">
        <f t="shared" si="789"/>
        <v>-1.0373037148297857E-3</v>
      </c>
      <c r="G729" s="598">
        <f t="shared" si="789"/>
        <v>-1.6477637437276999E-2</v>
      </c>
      <c r="H729" s="598">
        <f t="shared" si="789"/>
        <v>0</v>
      </c>
      <c r="I729" s="598">
        <f t="shared" si="789"/>
        <v>-3.4737438702036423E-3</v>
      </c>
      <c r="J729" s="598"/>
      <c r="K729" s="598">
        <f>K$603</f>
        <v>9.0422481542314827E-3</v>
      </c>
      <c r="L729" s="598">
        <f t="shared" ref="L729:P729" si="790">L$603</f>
        <v>2.5606762249279064E-2</v>
      </c>
      <c r="M729" s="598">
        <f t="shared" si="790"/>
        <v>0.12668502378307683</v>
      </c>
      <c r="N729" s="598">
        <f t="shared" si="790"/>
        <v>0.15681313053951487</v>
      </c>
      <c r="O729" s="598">
        <f t="shared" si="790"/>
        <v>0.21392389416767232</v>
      </c>
      <c r="P729" s="598">
        <f t="shared" si="790"/>
        <v>9.9958496489741228E-2</v>
      </c>
      <c r="Q729" s="598"/>
      <c r="R729" s="598">
        <f>R$603</f>
        <v>3.7660325846901399E-3</v>
      </c>
      <c r="S729" s="598">
        <f t="shared" ref="S729:W729" si="791">S$603</f>
        <v>2.9852882391161583E-2</v>
      </c>
      <c r="T729" s="598">
        <f t="shared" si="791"/>
        <v>0.15775459205715611</v>
      </c>
      <c r="U729" s="598">
        <f t="shared" si="791"/>
        <v>0.17663501477535823</v>
      </c>
      <c r="V729" s="598">
        <f t="shared" si="791"/>
        <v>0.16603157572500904</v>
      </c>
      <c r="W729" s="598">
        <f t="shared" si="791"/>
        <v>0.10433671348532944</v>
      </c>
      <c r="X729" s="777"/>
      <c r="Y729" s="777"/>
    </row>
    <row r="730" spans="1:25">
      <c r="A730" s="777">
        <v>91</v>
      </c>
      <c r="B730" s="221" t="s">
        <v>425</v>
      </c>
      <c r="D730" s="598">
        <f>D$604</f>
        <v>0</v>
      </c>
      <c r="E730" s="598">
        <f t="shared" ref="E730:I730" si="792">E$604</f>
        <v>-2.2884713188643644E-3</v>
      </c>
      <c r="F730" s="598">
        <f t="shared" si="792"/>
        <v>0</v>
      </c>
      <c r="G730" s="598">
        <f t="shared" si="792"/>
        <v>-4.9334243824182631E-4</v>
      </c>
      <c r="H730" s="598">
        <f t="shared" si="792"/>
        <v>-2.2971693159686168E-2</v>
      </c>
      <c r="I730" s="598">
        <f t="shared" si="792"/>
        <v>-1.6044065021847223E-3</v>
      </c>
      <c r="J730" s="598"/>
      <c r="K730" s="598">
        <f>K$604</f>
        <v>2.8808234602842025E-2</v>
      </c>
      <c r="L730" s="598">
        <f t="shared" ref="L730:P730" si="793">L$604</f>
        <v>3.943349649300714E-2</v>
      </c>
      <c r="M730" s="598">
        <f t="shared" si="793"/>
        <v>4.432754005912156E-2</v>
      </c>
      <c r="N730" s="598">
        <f t="shared" si="793"/>
        <v>0.12652574742806982</v>
      </c>
      <c r="O730" s="598">
        <f t="shared" si="793"/>
        <v>4.7292424509837006E-2</v>
      </c>
      <c r="P730" s="598">
        <f t="shared" si="793"/>
        <v>5.8055064419647459E-2</v>
      </c>
      <c r="Q730" s="598"/>
      <c r="R730" s="598">
        <f>R$604</f>
        <v>4.1138637928973022E-2</v>
      </c>
      <c r="S730" s="598">
        <f t="shared" ref="S730:W730" si="794">S$604</f>
        <v>4.975378588447061E-2</v>
      </c>
      <c r="T730" s="598">
        <f t="shared" si="794"/>
        <v>5.7879394282931963E-2</v>
      </c>
      <c r="U730" s="598">
        <f t="shared" si="794"/>
        <v>0.22829827775880956</v>
      </c>
      <c r="V730" s="598">
        <f t="shared" si="794"/>
        <v>5.4815548841110437E-2</v>
      </c>
      <c r="W730" s="598">
        <f t="shared" si="794"/>
        <v>8.2506467203826372E-2</v>
      </c>
      <c r="X730" s="777"/>
      <c r="Y730" s="777"/>
    </row>
    <row r="731" spans="1:25">
      <c r="A731" s="777">
        <v>92</v>
      </c>
      <c r="B731" s="221" t="s">
        <v>1094</v>
      </c>
      <c r="D731" s="598">
        <f>D$605</f>
        <v>-2.6507560870766257E-2</v>
      </c>
      <c r="E731" s="598">
        <f t="shared" ref="E731:I731" si="795">E$605</f>
        <v>-7.8288603818349907E-3</v>
      </c>
      <c r="F731" s="598">
        <f t="shared" si="795"/>
        <v>-7.4213599109773281E-3</v>
      </c>
      <c r="G731" s="598">
        <f t="shared" si="795"/>
        <v>-7.5316945571585487E-3</v>
      </c>
      <c r="H731" s="598">
        <f t="shared" si="795"/>
        <v>-4.7593286933051451E-4</v>
      </c>
      <c r="I731" s="598">
        <f t="shared" si="795"/>
        <v>-9.9024858593271831E-3</v>
      </c>
      <c r="J731" s="598"/>
      <c r="K731" s="598">
        <f>K$605</f>
        <v>0.17298581316782105</v>
      </c>
      <c r="L731" s="598">
        <f t="shared" ref="L731:P731" si="796">L$605</f>
        <v>0.14370871385626099</v>
      </c>
      <c r="M731" s="598">
        <f t="shared" si="796"/>
        <v>0.22337147131484766</v>
      </c>
      <c r="N731" s="598">
        <f t="shared" si="796"/>
        <v>0.14127736304581337</v>
      </c>
      <c r="O731" s="598">
        <f t="shared" si="796"/>
        <v>0.10402386874143629</v>
      </c>
      <c r="P731" s="598">
        <f t="shared" si="796"/>
        <v>0.17410265593858903</v>
      </c>
      <c r="Q731" s="598"/>
      <c r="R731" s="598">
        <f>R$605</f>
        <v>0.23472559005408031</v>
      </c>
      <c r="S731" s="598">
        <f t="shared" ref="S731:W731" si="797">S$605</f>
        <v>0.180004384280533</v>
      </c>
      <c r="T731" s="598">
        <f t="shared" si="797"/>
        <v>0.24750224649788194</v>
      </c>
      <c r="U731" s="598">
        <f t="shared" si="797"/>
        <v>4.5592353735387165E-3</v>
      </c>
      <c r="V731" s="598">
        <f t="shared" si="797"/>
        <v>0.15771257353168061</v>
      </c>
      <c r="W731" s="598">
        <f t="shared" si="797"/>
        <v>0.18001218280965883</v>
      </c>
      <c r="X731" s="777"/>
      <c r="Y731" s="777"/>
    </row>
    <row r="732" spans="1:25">
      <c r="A732" s="777">
        <v>93</v>
      </c>
      <c r="B732" s="221" t="s">
        <v>975</v>
      </c>
      <c r="D732" s="598">
        <f>D$606</f>
        <v>-2.6507560870766257E-2</v>
      </c>
      <c r="E732" s="598">
        <f t="shared" ref="E732:I732" si="798">E$606</f>
        <v>-1.0117331700699355E-2</v>
      </c>
      <c r="F732" s="598">
        <f t="shared" si="798"/>
        <v>-8.4586636258071144E-3</v>
      </c>
      <c r="G732" s="598">
        <f t="shared" si="798"/>
        <v>-2.4502674432677375E-2</v>
      </c>
      <c r="H732" s="598">
        <f t="shared" si="798"/>
        <v>-2.3447626029016684E-2</v>
      </c>
      <c r="I732" s="598">
        <f t="shared" si="798"/>
        <v>-1.4980636231715548E-2</v>
      </c>
      <c r="K732" s="598">
        <f>K$606</f>
        <v>0.21083629592489456</v>
      </c>
      <c r="L732" s="598">
        <f t="shared" ref="L732:P732" si="799">L$606</f>
        <v>0.20874897259854719</v>
      </c>
      <c r="M732" s="598">
        <f t="shared" si="799"/>
        <v>0.39438403515704606</v>
      </c>
      <c r="N732" s="598">
        <f t="shared" si="799"/>
        <v>0.42461624101339812</v>
      </c>
      <c r="O732" s="598">
        <f t="shared" si="799"/>
        <v>0.36524018741894559</v>
      </c>
      <c r="P732" s="598">
        <f t="shared" si="799"/>
        <v>0.33211621684797771</v>
      </c>
      <c r="R732" s="598">
        <f>R$606</f>
        <v>0.27963026056774348</v>
      </c>
      <c r="S732" s="598">
        <f t="shared" ref="S732:W732" si="800">S$606</f>
        <v>0.25961105255616518</v>
      </c>
      <c r="T732" s="598">
        <f t="shared" si="800"/>
        <v>0.46313623283797001</v>
      </c>
      <c r="U732" s="598">
        <f t="shared" si="800"/>
        <v>0.40949252790770646</v>
      </c>
      <c r="V732" s="598">
        <f t="shared" si="800"/>
        <v>0.3785596980978001</v>
      </c>
      <c r="W732" s="598">
        <f t="shared" si="800"/>
        <v>0.36685536349881465</v>
      </c>
      <c r="X732" s="777"/>
      <c r="Y732" s="777"/>
    </row>
  </sheetData>
  <mergeCells count="81">
    <mergeCell ref="D26:I26"/>
    <mergeCell ref="K26:P26"/>
    <mergeCell ref="R26:W26"/>
    <mergeCell ref="D102:I102"/>
    <mergeCell ref="K102:P102"/>
    <mergeCell ref="R102:W102"/>
    <mergeCell ref="D115:I115"/>
    <mergeCell ref="K115:P115"/>
    <mergeCell ref="R115:W115"/>
    <mergeCell ref="D147:I147"/>
    <mergeCell ref="K147:P147"/>
    <mergeCell ref="R147:W147"/>
    <mergeCell ref="D176:I176"/>
    <mergeCell ref="K176:P176"/>
    <mergeCell ref="R176:W176"/>
    <mergeCell ref="D205:I205"/>
    <mergeCell ref="K205:P205"/>
    <mergeCell ref="R205:W205"/>
    <mergeCell ref="D223:I223"/>
    <mergeCell ref="K223:P223"/>
    <mergeCell ref="R223:W223"/>
    <mergeCell ref="D233:I233"/>
    <mergeCell ref="K233:P233"/>
    <mergeCell ref="R233:W233"/>
    <mergeCell ref="D243:I243"/>
    <mergeCell ref="K243:P243"/>
    <mergeCell ref="R243:W243"/>
    <mergeCell ref="D253:I253"/>
    <mergeCell ref="K253:P253"/>
    <mergeCell ref="R253:W253"/>
    <mergeCell ref="D419:I419"/>
    <mergeCell ref="K419:P419"/>
    <mergeCell ref="R419:W419"/>
    <mergeCell ref="D448:I448"/>
    <mergeCell ref="K448:P448"/>
    <mergeCell ref="R448:W448"/>
    <mergeCell ref="D477:I477"/>
    <mergeCell ref="K477:P477"/>
    <mergeCell ref="R477:W477"/>
    <mergeCell ref="D504:I504"/>
    <mergeCell ref="K504:P504"/>
    <mergeCell ref="R504:W504"/>
    <mergeCell ref="K518:P518"/>
    <mergeCell ref="R518:W518"/>
    <mergeCell ref="D532:I532"/>
    <mergeCell ref="K532:P532"/>
    <mergeCell ref="R532:W532"/>
    <mergeCell ref="D283:I283"/>
    <mergeCell ref="K283:P283"/>
    <mergeCell ref="R283:W283"/>
    <mergeCell ref="D312:I312"/>
    <mergeCell ref="K312:P312"/>
    <mergeCell ref="R312:W312"/>
    <mergeCell ref="D369:I369"/>
    <mergeCell ref="K369:P369"/>
    <mergeCell ref="R369:W369"/>
    <mergeCell ref="D638:I638"/>
    <mergeCell ref="K638:P638"/>
    <mergeCell ref="R638:W638"/>
    <mergeCell ref="D560:I560"/>
    <mergeCell ref="K560:P560"/>
    <mergeCell ref="R560:W560"/>
    <mergeCell ref="D578:I578"/>
    <mergeCell ref="K578:P578"/>
    <mergeCell ref="R578:W578"/>
    <mergeCell ref="D546:I546"/>
    <mergeCell ref="K546:P546"/>
    <mergeCell ref="R546:W546"/>
    <mergeCell ref="D518:I518"/>
    <mergeCell ref="K341:P341"/>
    <mergeCell ref="R341:W341"/>
    <mergeCell ref="D359:I359"/>
    <mergeCell ref="K359:P359"/>
    <mergeCell ref="R359:W359"/>
    <mergeCell ref="D341:I341"/>
    <mergeCell ref="D379:I379"/>
    <mergeCell ref="K379:P379"/>
    <mergeCell ref="R379:W379"/>
    <mergeCell ref="D389:I389"/>
    <mergeCell ref="K389:P389"/>
    <mergeCell ref="R389:W389"/>
  </mergeCells>
  <printOptions gridLines="1"/>
  <pageMargins left="0.5" right="0.5" top="0.75" bottom="0.75" header="0.3" footer="0.3"/>
  <pageSetup scale="42" fitToHeight="100" orientation="landscape" r:id="rId1"/>
  <headerFooter>
    <oddFooter>&amp;L&amp;"-,Italic"&amp;9&amp;F, &amp;A&amp;R&amp;"-,Italic"&amp;9&amp;P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1:U338"/>
  <sheetViews>
    <sheetView zoomScale="90" zoomScaleNormal="90" workbookViewId="0">
      <selection activeCell="A11" sqref="A11"/>
    </sheetView>
  </sheetViews>
  <sheetFormatPr defaultRowHeight="15"/>
  <cols>
    <col min="1" max="1" width="10.85546875" style="107" customWidth="1"/>
    <col min="2" max="2" width="30.7109375" style="107" customWidth="1"/>
    <col min="3" max="7" width="13" style="107" customWidth="1"/>
    <col min="8" max="12" width="12.7109375" style="107" customWidth="1"/>
    <col min="13" max="13" width="7.7109375" style="107" customWidth="1"/>
    <col min="14" max="14" width="12.7109375" style="107" customWidth="1"/>
    <col min="15" max="15" width="29.42578125" style="107" customWidth="1"/>
    <col min="16" max="21" width="10.85546875" style="107" customWidth="1"/>
    <col min="22" max="22" width="9.28515625" style="107" bestFit="1" customWidth="1"/>
    <col min="23" max="16384" width="9.140625" style="107"/>
  </cols>
  <sheetData>
    <row r="1" spans="1:15">
      <c r="A1" s="113" t="s">
        <v>227</v>
      </c>
      <c r="B1" s="114"/>
      <c r="C1" s="114"/>
      <c r="D1" s="114"/>
      <c r="E1" s="114"/>
      <c r="F1" s="115"/>
      <c r="G1" s="106"/>
      <c r="H1" s="106"/>
      <c r="I1" s="106"/>
      <c r="J1" s="106"/>
      <c r="K1" s="58" t="s">
        <v>1448</v>
      </c>
      <c r="O1" s="597"/>
    </row>
    <row r="2" spans="1:15">
      <c r="A2" s="106" t="s">
        <v>178</v>
      </c>
      <c r="B2" s="116"/>
      <c r="C2" s="116"/>
      <c r="D2" s="116"/>
      <c r="E2" s="116"/>
      <c r="F2" s="116"/>
    </row>
    <row r="3" spans="1:15">
      <c r="A3" s="106" t="s">
        <v>177</v>
      </c>
      <c r="B3" s="116"/>
      <c r="C3" s="116"/>
      <c r="D3" s="116"/>
      <c r="E3" s="116"/>
      <c r="F3" s="116"/>
    </row>
    <row r="4" spans="1:15">
      <c r="A4" s="39" t="s">
        <v>1016</v>
      </c>
      <c r="B4" s="116"/>
      <c r="D4" s="116"/>
      <c r="E4" s="116"/>
      <c r="F4" s="116"/>
      <c r="I4" s="1371" t="s">
        <v>1017</v>
      </c>
      <c r="K4" s="599" t="s">
        <v>692</v>
      </c>
    </row>
    <row r="5" spans="1:15">
      <c r="A5" s="59" t="s">
        <v>174</v>
      </c>
      <c r="K5" s="600" t="s">
        <v>637</v>
      </c>
    </row>
    <row r="6" spans="1:15">
      <c r="A6" s="59" t="s">
        <v>176</v>
      </c>
      <c r="K6" s="600" t="s">
        <v>640</v>
      </c>
    </row>
    <row r="7" spans="1:15">
      <c r="A7" s="98" t="s">
        <v>179</v>
      </c>
      <c r="K7" s="600" t="s">
        <v>638</v>
      </c>
    </row>
    <row r="8" spans="1:15">
      <c r="A8" s="120" t="s">
        <v>180</v>
      </c>
      <c r="K8" s="600" t="s">
        <v>639</v>
      </c>
    </row>
    <row r="9" spans="1:15">
      <c r="A9" s="98" t="s">
        <v>931</v>
      </c>
      <c r="I9" s="1334" t="s">
        <v>1282</v>
      </c>
      <c r="K9" s="600" t="s">
        <v>928</v>
      </c>
    </row>
    <row r="10" spans="1:15">
      <c r="A10" s="98" t="s">
        <v>931</v>
      </c>
      <c r="I10" s="1186" t="s">
        <v>932</v>
      </c>
      <c r="K10" s="600" t="s">
        <v>1283</v>
      </c>
      <c r="L10" s="600"/>
      <c r="M10" s="600"/>
    </row>
    <row r="13" spans="1:15">
      <c r="A13" s="117" t="s">
        <v>169</v>
      </c>
      <c r="B13" s="108"/>
      <c r="C13" s="109"/>
      <c r="N13" s="118" t="s">
        <v>173</v>
      </c>
      <c r="O13" s="110"/>
    </row>
    <row r="14" spans="1:15">
      <c r="A14" s="120" t="s">
        <v>157</v>
      </c>
      <c r="B14" s="63"/>
      <c r="C14" s="111"/>
      <c r="N14" s="61" t="s">
        <v>185</v>
      </c>
      <c r="O14" s="112"/>
    </row>
    <row r="15" spans="1:15">
      <c r="A15" s="112" t="s">
        <v>171</v>
      </c>
      <c r="B15" s="63"/>
      <c r="C15" s="111"/>
      <c r="N15" s="154" t="s">
        <v>183</v>
      </c>
      <c r="O15" s="112"/>
    </row>
    <row r="16" spans="1:15">
      <c r="A16" s="116"/>
      <c r="B16" s="63"/>
      <c r="C16" s="111"/>
      <c r="N16" s="154" t="s">
        <v>184</v>
      </c>
      <c r="O16" s="112"/>
    </row>
    <row r="17" spans="1:21">
      <c r="A17" s="261"/>
      <c r="B17" s="261"/>
      <c r="C17" s="261"/>
      <c r="D17" s="261"/>
      <c r="E17" s="261"/>
      <c r="F17" s="261"/>
      <c r="G17" s="261"/>
      <c r="H17" s="483" t="s">
        <v>636</v>
      </c>
    </row>
    <row r="18" spans="1:21">
      <c r="A18" s="119">
        <v>1</v>
      </c>
      <c r="B18" s="119">
        <v>2</v>
      </c>
      <c r="C18" s="119">
        <v>3</v>
      </c>
      <c r="D18" s="119">
        <v>4</v>
      </c>
      <c r="E18" s="119">
        <v>5</v>
      </c>
      <c r="F18" s="119">
        <v>6</v>
      </c>
      <c r="G18" s="119">
        <v>7</v>
      </c>
      <c r="H18" s="119">
        <v>8</v>
      </c>
    </row>
    <row r="19" spans="1:21">
      <c r="B19" s="106"/>
      <c r="C19" s="1448" t="s">
        <v>96</v>
      </c>
      <c r="D19" s="1449"/>
      <c r="E19" s="1450"/>
      <c r="F19" s="1451" t="s">
        <v>97</v>
      </c>
      <c r="G19" s="1452"/>
      <c r="H19" s="1453"/>
      <c r="N19" s="263"/>
      <c r="O19" s="261"/>
      <c r="P19" s="264"/>
      <c r="Q19" s="264"/>
      <c r="R19" s="264"/>
      <c r="S19" s="264"/>
      <c r="T19" s="264"/>
      <c r="U19" s="484" t="s">
        <v>633</v>
      </c>
    </row>
    <row r="20" spans="1:21">
      <c r="C20" s="1448" t="s">
        <v>170</v>
      </c>
      <c r="D20" s="1449"/>
      <c r="E20" s="1450"/>
      <c r="F20" s="1451" t="s">
        <v>170</v>
      </c>
      <c r="G20" s="1452"/>
      <c r="H20" s="1453"/>
      <c r="N20" s="138">
        <v>1</v>
      </c>
      <c r="O20" s="138">
        <v>2</v>
      </c>
      <c r="P20" s="138">
        <v>3</v>
      </c>
      <c r="Q20" s="138">
        <v>4</v>
      </c>
      <c r="R20" s="138">
        <v>5</v>
      </c>
      <c r="S20" s="138">
        <v>6</v>
      </c>
      <c r="T20" s="138">
        <v>7</v>
      </c>
      <c r="U20" s="138">
        <v>8</v>
      </c>
    </row>
    <row r="21" spans="1:21" s="153" customFormat="1" ht="75">
      <c r="A21" s="121" t="s">
        <v>167</v>
      </c>
      <c r="B21" s="121" t="s">
        <v>168</v>
      </c>
      <c r="C21" s="122" t="s">
        <v>98</v>
      </c>
      <c r="D21" s="122" t="s">
        <v>99</v>
      </c>
      <c r="E21" s="139" t="s">
        <v>182</v>
      </c>
      <c r="F21" s="123" t="s">
        <v>98</v>
      </c>
      <c r="G21" s="123" t="s">
        <v>99</v>
      </c>
      <c r="H21" s="140" t="s">
        <v>182</v>
      </c>
      <c r="N21" s="648" t="s">
        <v>167</v>
      </c>
      <c r="O21" s="522" t="s">
        <v>168</v>
      </c>
      <c r="P21" s="649" t="s">
        <v>150</v>
      </c>
      <c r="Q21" s="649" t="s">
        <v>151</v>
      </c>
      <c r="R21" s="649" t="s">
        <v>152</v>
      </c>
      <c r="S21" s="649" t="s">
        <v>153</v>
      </c>
      <c r="T21" s="649" t="s">
        <v>154</v>
      </c>
      <c r="U21" s="650" t="s">
        <v>155</v>
      </c>
    </row>
    <row r="22" spans="1:21">
      <c r="A22" s="155">
        <v>1</v>
      </c>
      <c r="B22" s="156" t="s">
        <v>100</v>
      </c>
      <c r="C22" s="124">
        <v>0.15</v>
      </c>
      <c r="D22" s="125">
        <v>0.15</v>
      </c>
      <c r="E22" s="141">
        <v>0.15</v>
      </c>
      <c r="F22" s="126">
        <v>0.05</v>
      </c>
      <c r="G22" s="127">
        <v>0.05</v>
      </c>
      <c r="H22" s="142">
        <v>0.7</v>
      </c>
      <c r="N22" s="161">
        <v>1</v>
      </c>
      <c r="O22" s="156" t="s">
        <v>100</v>
      </c>
      <c r="P22" s="162">
        <v>28317.375897123249</v>
      </c>
      <c r="Q22" s="162">
        <v>3001.4432629792368</v>
      </c>
      <c r="R22" s="162">
        <v>548.18487278225007</v>
      </c>
      <c r="S22" s="162">
        <v>30190.717135490893</v>
      </c>
      <c r="T22" s="162">
        <v>14845.43152244404</v>
      </c>
      <c r="U22" s="659">
        <v>76903.152690819668</v>
      </c>
    </row>
    <row r="23" spans="1:21">
      <c r="A23" s="157">
        <v>2</v>
      </c>
      <c r="B23" s="158" t="s">
        <v>101</v>
      </c>
      <c r="C23" s="128">
        <v>0.25</v>
      </c>
      <c r="D23" s="129">
        <v>0.25</v>
      </c>
      <c r="E23" s="143">
        <v>0.15</v>
      </c>
      <c r="F23" s="130">
        <v>0.05</v>
      </c>
      <c r="G23" s="131">
        <v>0.05</v>
      </c>
      <c r="H23" s="144">
        <v>0.7</v>
      </c>
      <c r="N23" s="163">
        <v>2</v>
      </c>
      <c r="O23" s="158" t="s">
        <v>101</v>
      </c>
      <c r="P23" s="164">
        <v>3732.5649586856084</v>
      </c>
      <c r="Q23" s="164">
        <v>382.51787370692699</v>
      </c>
      <c r="R23" s="164">
        <v>1505.9284249649886</v>
      </c>
      <c r="S23" s="164">
        <v>25733.604387196898</v>
      </c>
      <c r="T23" s="164">
        <v>1758.6663503085972</v>
      </c>
      <c r="U23" s="660">
        <v>33113.28199486302</v>
      </c>
    </row>
    <row r="24" spans="1:21">
      <c r="A24" s="157">
        <v>3</v>
      </c>
      <c r="B24" s="158" t="s">
        <v>102</v>
      </c>
      <c r="C24" s="128">
        <v>0.3</v>
      </c>
      <c r="D24" s="129">
        <v>0.25</v>
      </c>
      <c r="E24" s="143">
        <v>0.15</v>
      </c>
      <c r="F24" s="130">
        <v>0.05</v>
      </c>
      <c r="G24" s="131">
        <v>0.05</v>
      </c>
      <c r="H24" s="144">
        <v>0.7</v>
      </c>
      <c r="N24" s="163">
        <v>3</v>
      </c>
      <c r="O24" s="158" t="s">
        <v>102</v>
      </c>
      <c r="P24" s="164">
        <v>2426.7565512676624</v>
      </c>
      <c r="Q24" s="164">
        <v>59.098160678319999</v>
      </c>
      <c r="R24" s="164">
        <v>77.433485612784793</v>
      </c>
      <c r="S24" s="164">
        <v>8606.146593896352</v>
      </c>
      <c r="T24" s="164">
        <v>395.35941280303922</v>
      </c>
      <c r="U24" s="660">
        <v>11564.794204258158</v>
      </c>
    </row>
    <row r="25" spans="1:21">
      <c r="A25" s="157">
        <v>4</v>
      </c>
      <c r="B25" s="158" t="s">
        <v>103</v>
      </c>
      <c r="C25" s="128">
        <v>0.25</v>
      </c>
      <c r="D25" s="129">
        <v>0.25</v>
      </c>
      <c r="E25" s="143">
        <v>0.15</v>
      </c>
      <c r="F25" s="130">
        <v>0.05</v>
      </c>
      <c r="G25" s="131">
        <v>0.05</v>
      </c>
      <c r="H25" s="145">
        <v>0</v>
      </c>
      <c r="N25" s="163">
        <v>4</v>
      </c>
      <c r="O25" s="158" t="s">
        <v>103</v>
      </c>
      <c r="P25" s="164">
        <v>3976.9771178610599</v>
      </c>
      <c r="Q25" s="164">
        <v>1174.9486378047648</v>
      </c>
      <c r="R25" s="164">
        <v>2230.1245284013494</v>
      </c>
      <c r="S25" s="164">
        <v>14424.731940483722</v>
      </c>
      <c r="T25" s="164">
        <v>1871.0938085206067</v>
      </c>
      <c r="U25" s="660">
        <v>23677.876033071501</v>
      </c>
    </row>
    <row r="26" spans="1:21">
      <c r="A26" s="157">
        <v>5</v>
      </c>
      <c r="B26" s="158" t="s">
        <v>104</v>
      </c>
      <c r="C26" s="128">
        <v>0.17</v>
      </c>
      <c r="D26" s="129">
        <v>0.1</v>
      </c>
      <c r="E26" s="143">
        <v>0.3</v>
      </c>
      <c r="F26" s="130">
        <v>0.11</v>
      </c>
      <c r="G26" s="131">
        <v>0.19</v>
      </c>
      <c r="H26" s="145">
        <v>0.49</v>
      </c>
      <c r="N26" s="163">
        <v>5</v>
      </c>
      <c r="O26" s="158" t="s">
        <v>104</v>
      </c>
      <c r="P26" s="164">
        <v>2642.9159408399264</v>
      </c>
      <c r="Q26" s="164">
        <v>36797.666554474185</v>
      </c>
      <c r="R26" s="164">
        <v>796.46739110341355</v>
      </c>
      <c r="S26" s="164">
        <v>21867.31824233575</v>
      </c>
      <c r="T26" s="164">
        <v>55543.836247694868</v>
      </c>
      <c r="U26" s="660">
        <v>117648.20437644815</v>
      </c>
    </row>
    <row r="27" spans="1:21">
      <c r="A27" s="157">
        <v>6</v>
      </c>
      <c r="B27" s="158" t="s">
        <v>105</v>
      </c>
      <c r="C27" s="128">
        <v>0.11</v>
      </c>
      <c r="D27" s="129">
        <v>0.08</v>
      </c>
      <c r="E27" s="143">
        <v>0.3</v>
      </c>
      <c r="F27" s="130">
        <v>7.0000000000000007E-2</v>
      </c>
      <c r="G27" s="131">
        <v>0.13</v>
      </c>
      <c r="H27" s="145">
        <v>0.44</v>
      </c>
      <c r="N27" s="163">
        <v>6</v>
      </c>
      <c r="O27" s="158" t="s">
        <v>105</v>
      </c>
      <c r="P27" s="164">
        <v>474.80141897381998</v>
      </c>
      <c r="Q27" s="164">
        <v>5752.4357961230835</v>
      </c>
      <c r="R27" s="164"/>
      <c r="S27" s="164">
        <v>4881.5524656502303</v>
      </c>
      <c r="T27" s="164">
        <v>12722.422124190603</v>
      </c>
      <c r="U27" s="660">
        <v>23831.211804937739</v>
      </c>
    </row>
    <row r="28" spans="1:21">
      <c r="A28" s="157">
        <v>7</v>
      </c>
      <c r="B28" s="158" t="s">
        <v>106</v>
      </c>
      <c r="C28" s="128">
        <v>0.04</v>
      </c>
      <c r="D28" s="129">
        <v>0.06</v>
      </c>
      <c r="E28" s="143">
        <v>0.2</v>
      </c>
      <c r="F28" s="130">
        <v>0.04</v>
      </c>
      <c r="G28" s="131">
        <v>0.06</v>
      </c>
      <c r="H28" s="145">
        <v>0.35</v>
      </c>
      <c r="N28" s="163">
        <v>7</v>
      </c>
      <c r="O28" s="158" t="s">
        <v>106</v>
      </c>
      <c r="P28" s="164">
        <v>12055.852321720189</v>
      </c>
      <c r="Q28" s="164">
        <v>11002.187909365912</v>
      </c>
      <c r="R28" s="164">
        <v>277.50057343870003</v>
      </c>
      <c r="S28" s="164">
        <v>23653.504544032672</v>
      </c>
      <c r="T28" s="164">
        <v>31475.295861368137</v>
      </c>
      <c r="U28" s="660">
        <v>78464.341209925609</v>
      </c>
    </row>
    <row r="29" spans="1:21">
      <c r="A29" s="157">
        <v>8</v>
      </c>
      <c r="B29" s="158" t="s">
        <v>107</v>
      </c>
      <c r="C29" s="128">
        <v>0.3</v>
      </c>
      <c r="D29" s="129">
        <v>0.3</v>
      </c>
      <c r="E29" s="143">
        <v>0.5</v>
      </c>
      <c r="F29" s="130">
        <v>0.3</v>
      </c>
      <c r="G29" s="131">
        <v>0.3</v>
      </c>
      <c r="H29" s="145">
        <v>0.5</v>
      </c>
      <c r="N29" s="163">
        <v>8</v>
      </c>
      <c r="O29" s="158" t="s">
        <v>107</v>
      </c>
      <c r="P29" s="164">
        <v>590.74097612645994</v>
      </c>
      <c r="Q29" s="164">
        <v>1080.2642606185991</v>
      </c>
      <c r="R29" s="164"/>
      <c r="S29" s="164">
        <v>1877.6546794550243</v>
      </c>
      <c r="T29" s="164">
        <v>6393.3152562873474</v>
      </c>
      <c r="U29" s="660">
        <v>9941.9751724874295</v>
      </c>
    </row>
    <row r="30" spans="1:21">
      <c r="A30" s="157">
        <v>9</v>
      </c>
      <c r="B30" s="158" t="s">
        <v>108</v>
      </c>
      <c r="C30" s="128">
        <v>0.1</v>
      </c>
      <c r="D30" s="129">
        <v>0.23</v>
      </c>
      <c r="E30" s="143">
        <v>0.52</v>
      </c>
      <c r="F30" s="130">
        <v>0.1</v>
      </c>
      <c r="G30" s="131">
        <v>0.23</v>
      </c>
      <c r="H30" s="145">
        <v>0.52</v>
      </c>
      <c r="N30" s="163">
        <v>9</v>
      </c>
      <c r="O30" s="158" t="s">
        <v>108</v>
      </c>
      <c r="P30" s="164"/>
      <c r="Q30" s="164">
        <v>57895.285101532594</v>
      </c>
      <c r="R30" s="164">
        <v>33062.468847741344</v>
      </c>
      <c r="S30" s="164"/>
      <c r="T30" s="164">
        <v>2058.1147622376102</v>
      </c>
      <c r="U30" s="660">
        <v>93015.868711511546</v>
      </c>
    </row>
    <row r="31" spans="1:21">
      <c r="A31" s="157">
        <v>10</v>
      </c>
      <c r="B31" s="158" t="s">
        <v>109</v>
      </c>
      <c r="C31" s="128">
        <v>0.1</v>
      </c>
      <c r="D31" s="129">
        <v>0.2</v>
      </c>
      <c r="E31" s="143">
        <v>0.42</v>
      </c>
      <c r="F31" s="130">
        <v>0.12</v>
      </c>
      <c r="G31" s="131">
        <v>0.2</v>
      </c>
      <c r="H31" s="145">
        <v>0.42</v>
      </c>
      <c r="N31" s="163">
        <v>10</v>
      </c>
      <c r="O31" s="158" t="s">
        <v>109</v>
      </c>
      <c r="P31" s="164">
        <v>193.27803607351001</v>
      </c>
      <c r="Q31" s="164">
        <v>26592.176313553689</v>
      </c>
      <c r="R31" s="164">
        <v>65.661389168981998</v>
      </c>
      <c r="S31" s="164">
        <v>839.5833245131098</v>
      </c>
      <c r="T31" s="164">
        <v>69005.476052460115</v>
      </c>
      <c r="U31" s="660">
        <v>96696.175115769409</v>
      </c>
    </row>
    <row r="32" spans="1:21">
      <c r="A32" s="157">
        <v>11</v>
      </c>
      <c r="B32" s="111" t="s">
        <v>110</v>
      </c>
      <c r="C32" s="128">
        <v>0.2</v>
      </c>
      <c r="D32" s="129">
        <v>0.27</v>
      </c>
      <c r="E32" s="143">
        <v>0.5</v>
      </c>
      <c r="F32" s="130">
        <v>0.2</v>
      </c>
      <c r="G32" s="131">
        <v>0.27</v>
      </c>
      <c r="H32" s="145">
        <v>0.5</v>
      </c>
      <c r="N32" s="163">
        <v>11</v>
      </c>
      <c r="O32" s="111" t="s">
        <v>110</v>
      </c>
      <c r="P32" s="164"/>
      <c r="Q32" s="164">
        <v>289.18436121600001</v>
      </c>
      <c r="R32" s="164"/>
      <c r="S32" s="164">
        <v>1435.5943201424514</v>
      </c>
      <c r="T32" s="164">
        <v>3344.8917829697371</v>
      </c>
      <c r="U32" s="660">
        <v>5069.6704643281882</v>
      </c>
    </row>
    <row r="33" spans="1:21">
      <c r="A33" s="157">
        <v>12</v>
      </c>
      <c r="B33" s="111" t="s">
        <v>111</v>
      </c>
      <c r="C33" s="128">
        <v>0.25</v>
      </c>
      <c r="D33" s="129">
        <v>0.25</v>
      </c>
      <c r="E33" s="143">
        <v>0.25</v>
      </c>
      <c r="F33" s="130">
        <v>0.32</v>
      </c>
      <c r="G33" s="131">
        <v>0.35</v>
      </c>
      <c r="H33" s="145">
        <v>0.5</v>
      </c>
      <c r="N33" s="163">
        <v>12</v>
      </c>
      <c r="O33" s="111" t="s">
        <v>111</v>
      </c>
      <c r="P33" s="164">
        <v>175.42486284202997</v>
      </c>
      <c r="Q33" s="164">
        <v>16.033879690900001</v>
      </c>
      <c r="R33" s="164"/>
      <c r="S33" s="164">
        <v>300.25324616525751</v>
      </c>
      <c r="T33" s="164">
        <v>369.00332562863997</v>
      </c>
      <c r="U33" s="660">
        <v>860.71531432682741</v>
      </c>
    </row>
    <row r="34" spans="1:21">
      <c r="A34" s="157">
        <v>13</v>
      </c>
      <c r="B34" s="111" t="s">
        <v>112</v>
      </c>
      <c r="C34" s="128">
        <v>0.3</v>
      </c>
      <c r="D34" s="129">
        <v>0.22</v>
      </c>
      <c r="E34" s="143">
        <v>0.3</v>
      </c>
      <c r="F34" s="130">
        <v>0.2</v>
      </c>
      <c r="G34" s="131">
        <v>0.22</v>
      </c>
      <c r="H34" s="145">
        <v>0.49</v>
      </c>
      <c r="N34" s="163">
        <v>13</v>
      </c>
      <c r="O34" s="111" t="s">
        <v>112</v>
      </c>
      <c r="P34" s="164"/>
      <c r="Q34" s="164">
        <v>139.766138805</v>
      </c>
      <c r="R34" s="164"/>
      <c r="S34" s="164">
        <v>24.283589983799999</v>
      </c>
      <c r="T34" s="164">
        <v>38.333878388499997</v>
      </c>
      <c r="U34" s="660">
        <v>202.38360717730001</v>
      </c>
    </row>
    <row r="35" spans="1:21">
      <c r="A35" s="157">
        <v>14</v>
      </c>
      <c r="B35" s="158" t="s">
        <v>113</v>
      </c>
      <c r="C35" s="128">
        <v>0.2</v>
      </c>
      <c r="D35" s="129">
        <v>0.4</v>
      </c>
      <c r="E35" s="143">
        <v>0.48</v>
      </c>
      <c r="F35" s="130">
        <v>0.09</v>
      </c>
      <c r="G35" s="131">
        <v>0.28000000000000003</v>
      </c>
      <c r="H35" s="145">
        <v>0.48</v>
      </c>
      <c r="N35" s="163">
        <v>14</v>
      </c>
      <c r="O35" s="158" t="s">
        <v>113</v>
      </c>
      <c r="P35" s="164"/>
      <c r="Q35" s="164">
        <v>18.059606683869998</v>
      </c>
      <c r="R35" s="164"/>
      <c r="S35" s="164">
        <v>37.896988075739998</v>
      </c>
      <c r="T35" s="164"/>
      <c r="U35" s="660">
        <v>55.956594759609999</v>
      </c>
    </row>
    <row r="36" spans="1:21">
      <c r="A36" s="157">
        <v>15</v>
      </c>
      <c r="B36" s="158" t="s">
        <v>114</v>
      </c>
      <c r="C36" s="128">
        <v>0.15</v>
      </c>
      <c r="D36" s="129">
        <v>0.25</v>
      </c>
      <c r="E36" s="143">
        <v>0.36</v>
      </c>
      <c r="F36" s="130">
        <v>0.15</v>
      </c>
      <c r="G36" s="131">
        <v>0.25</v>
      </c>
      <c r="H36" s="145">
        <v>0.36</v>
      </c>
      <c r="N36" s="163">
        <v>15</v>
      </c>
      <c r="O36" s="158" t="s">
        <v>114</v>
      </c>
      <c r="P36" s="164">
        <v>2196.9340736167883</v>
      </c>
      <c r="Q36" s="164">
        <v>835.81893348166102</v>
      </c>
      <c r="R36" s="164">
        <v>324.91561149360501</v>
      </c>
      <c r="S36" s="164">
        <v>4835.2320306298525</v>
      </c>
      <c r="T36" s="164">
        <v>2785.0195129025851</v>
      </c>
      <c r="U36" s="660">
        <v>10977.920162124492</v>
      </c>
    </row>
    <row r="37" spans="1:21">
      <c r="A37" s="157">
        <v>16</v>
      </c>
      <c r="B37" s="158" t="s">
        <v>115</v>
      </c>
      <c r="C37" s="128">
        <v>0.05</v>
      </c>
      <c r="D37" s="129">
        <v>0.1</v>
      </c>
      <c r="E37" s="143">
        <v>0.25</v>
      </c>
      <c r="F37" s="130">
        <v>0.01</v>
      </c>
      <c r="G37" s="131">
        <v>0.1</v>
      </c>
      <c r="H37" s="145">
        <v>0.5</v>
      </c>
      <c r="N37" s="163">
        <v>16</v>
      </c>
      <c r="O37" s="158" t="s">
        <v>115</v>
      </c>
      <c r="P37" s="164">
        <v>69.164142834399996</v>
      </c>
      <c r="Q37" s="164">
        <v>12922.640690701795</v>
      </c>
      <c r="R37" s="164"/>
      <c r="S37" s="164">
        <v>1111.6650177665717</v>
      </c>
      <c r="T37" s="164">
        <v>28394.313862620358</v>
      </c>
      <c r="U37" s="660">
        <v>42497.783713923127</v>
      </c>
    </row>
    <row r="38" spans="1:21">
      <c r="A38" s="157">
        <v>17</v>
      </c>
      <c r="B38" s="158" t="s">
        <v>116</v>
      </c>
      <c r="C38" s="128">
        <v>0</v>
      </c>
      <c r="D38" s="129">
        <v>0</v>
      </c>
      <c r="E38" s="143">
        <v>0</v>
      </c>
      <c r="F38" s="130">
        <v>0</v>
      </c>
      <c r="G38" s="131">
        <v>0</v>
      </c>
      <c r="H38" s="145">
        <v>0</v>
      </c>
      <c r="N38" s="163">
        <v>17</v>
      </c>
      <c r="O38" s="158" t="s">
        <v>116</v>
      </c>
      <c r="P38" s="164">
        <v>101255.60849916542</v>
      </c>
      <c r="Q38" s="164">
        <v>2124.5629525128556</v>
      </c>
      <c r="R38" s="164">
        <v>657.92048008391134</v>
      </c>
      <c r="S38" s="164">
        <v>22740.545884122806</v>
      </c>
      <c r="T38" s="164">
        <v>3653.7793983509532</v>
      </c>
      <c r="U38" s="660">
        <v>130432.41721423595</v>
      </c>
    </row>
    <row r="39" spans="1:21">
      <c r="A39" s="157">
        <v>18</v>
      </c>
      <c r="B39" s="158" t="s">
        <v>117</v>
      </c>
      <c r="C39" s="128">
        <v>0</v>
      </c>
      <c r="D39" s="129">
        <v>0</v>
      </c>
      <c r="E39" s="143">
        <v>0</v>
      </c>
      <c r="F39" s="130">
        <v>0</v>
      </c>
      <c r="G39" s="131">
        <v>0</v>
      </c>
      <c r="H39" s="145">
        <v>0</v>
      </c>
      <c r="N39" s="163">
        <v>18</v>
      </c>
      <c r="O39" s="158" t="s">
        <v>117</v>
      </c>
      <c r="P39" s="164">
        <v>70191.027722980492</v>
      </c>
      <c r="Q39" s="164">
        <v>42824.81300863433</v>
      </c>
      <c r="R39" s="164">
        <v>2135.8267496797303</v>
      </c>
      <c r="S39" s="164">
        <v>98593.709216167466</v>
      </c>
      <c r="T39" s="164">
        <v>114621.18703975447</v>
      </c>
      <c r="U39" s="660">
        <v>328366.56373721652</v>
      </c>
    </row>
    <row r="40" spans="1:21">
      <c r="A40" s="157">
        <v>19</v>
      </c>
      <c r="B40" s="158" t="s">
        <v>118</v>
      </c>
      <c r="C40" s="128">
        <v>0.2</v>
      </c>
      <c r="D40" s="129">
        <v>0.23</v>
      </c>
      <c r="E40" s="143">
        <v>0.25</v>
      </c>
      <c r="F40" s="130">
        <v>0.1</v>
      </c>
      <c r="G40" s="131">
        <v>0.23</v>
      </c>
      <c r="H40" s="145">
        <v>0.52</v>
      </c>
      <c r="N40" s="163">
        <v>19</v>
      </c>
      <c r="O40" s="158" t="s">
        <v>118</v>
      </c>
      <c r="P40" s="164">
        <v>507.03024531063778</v>
      </c>
      <c r="Q40" s="164">
        <v>741.37414365861741</v>
      </c>
      <c r="R40" s="164">
        <v>329.74630857681171</v>
      </c>
      <c r="S40" s="164">
        <v>2719.0503114978733</v>
      </c>
      <c r="T40" s="164">
        <v>643.26859561825586</v>
      </c>
      <c r="U40" s="660">
        <v>4940.4696046621957</v>
      </c>
    </row>
    <row r="41" spans="1:21">
      <c r="A41" s="159">
        <v>20</v>
      </c>
      <c r="B41" s="160" t="s">
        <v>119</v>
      </c>
      <c r="C41" s="132">
        <v>0.05</v>
      </c>
      <c r="D41" s="133">
        <v>0.05</v>
      </c>
      <c r="E41" s="146">
        <v>0.5</v>
      </c>
      <c r="F41" s="134">
        <v>0.05</v>
      </c>
      <c r="G41" s="135">
        <v>0.05</v>
      </c>
      <c r="H41" s="147">
        <v>0.5</v>
      </c>
      <c r="N41" s="163">
        <v>20</v>
      </c>
      <c r="O41" s="158" t="s">
        <v>119</v>
      </c>
      <c r="P41" s="164">
        <v>515.35309044780604</v>
      </c>
      <c r="Q41" s="164">
        <v>443.06407494543004</v>
      </c>
      <c r="R41" s="164">
        <v>133.94855557610998</v>
      </c>
      <c r="S41" s="164">
        <v>832.26326671962329</v>
      </c>
      <c r="T41" s="164">
        <v>195.03338333957791</v>
      </c>
      <c r="U41" s="660">
        <v>2119.6623710285471</v>
      </c>
    </row>
    <row r="42" spans="1:21">
      <c r="C42" s="111"/>
      <c r="D42" s="111"/>
      <c r="E42" s="111"/>
      <c r="F42" s="111"/>
      <c r="G42" s="111"/>
      <c r="H42" s="111"/>
      <c r="N42" s="163">
        <v>21</v>
      </c>
      <c r="O42" s="651" t="s">
        <v>156</v>
      </c>
      <c r="P42" s="655">
        <v>229321.80585586905</v>
      </c>
      <c r="Q42" s="655">
        <v>204093.34166116777</v>
      </c>
      <c r="R42" s="655">
        <v>42146.12721862398</v>
      </c>
      <c r="S42" s="655">
        <v>264705.30718432611</v>
      </c>
      <c r="T42" s="655">
        <v>350113.84217788803</v>
      </c>
      <c r="U42" s="656">
        <v>1090380.4240978749</v>
      </c>
    </row>
    <row r="43" spans="1:21">
      <c r="N43" s="652">
        <v>22</v>
      </c>
      <c r="O43" s="653" t="s">
        <v>798</v>
      </c>
      <c r="P43" s="657">
        <f>P42-P38</f>
        <v>128066.19735670363</v>
      </c>
      <c r="Q43" s="657">
        <f t="shared" ref="Q43:U43" si="0">Q42-Q38</f>
        <v>201968.77870865492</v>
      </c>
      <c r="R43" s="657">
        <f t="shared" si="0"/>
        <v>41488.206738540066</v>
      </c>
      <c r="S43" s="657">
        <f t="shared" si="0"/>
        <v>241964.7613002033</v>
      </c>
      <c r="T43" s="657">
        <f t="shared" si="0"/>
        <v>346460.06277953705</v>
      </c>
      <c r="U43" s="658">
        <f t="shared" si="0"/>
        <v>959948.00688363891</v>
      </c>
    </row>
    <row r="45" spans="1:21">
      <c r="O45" s="38" t="s">
        <v>1278</v>
      </c>
      <c r="P45" s="1332">
        <f>SUM(P26:P37)</f>
        <v>18399.111773027125</v>
      </c>
      <c r="Q45" s="1332">
        <f t="shared" ref="Q45:U45" si="1">SUM(Q26:Q37)</f>
        <v>153341.51954624732</v>
      </c>
      <c r="R45" s="1332">
        <f t="shared" si="1"/>
        <v>34527.013812946047</v>
      </c>
      <c r="S45" s="1332">
        <f t="shared" si="1"/>
        <v>60864.538448750463</v>
      </c>
      <c r="T45" s="1332">
        <f t="shared" si="1"/>
        <v>212130.02266674853</v>
      </c>
      <c r="U45" s="1333">
        <f t="shared" si="1"/>
        <v>479262.20624771941</v>
      </c>
    </row>
    <row r="47" spans="1:21">
      <c r="A47" s="215" t="s">
        <v>175</v>
      </c>
      <c r="B47" s="216"/>
      <c r="C47" s="217"/>
      <c r="N47" s="214" t="s">
        <v>172</v>
      </c>
      <c r="O47" s="213"/>
    </row>
    <row r="48" spans="1:21">
      <c r="A48" s="106" t="s">
        <v>181</v>
      </c>
      <c r="N48" s="61" t="s">
        <v>186</v>
      </c>
    </row>
    <row r="49" spans="1:21">
      <c r="A49" s="120" t="s">
        <v>157</v>
      </c>
      <c r="N49" s="154" t="s">
        <v>183</v>
      </c>
    </row>
    <row r="50" spans="1:21">
      <c r="A50" s="112" t="s">
        <v>160</v>
      </c>
      <c r="N50" s="154" t="s">
        <v>184</v>
      </c>
    </row>
    <row r="51" spans="1:21">
      <c r="A51" s="112" t="s">
        <v>159</v>
      </c>
    </row>
    <row r="52" spans="1:21">
      <c r="A52" s="112" t="s">
        <v>158</v>
      </c>
    </row>
    <row r="53" spans="1:21">
      <c r="A53" s="112" t="s">
        <v>161</v>
      </c>
    </row>
    <row r="54" spans="1:21">
      <c r="A54" s="112" t="s">
        <v>163</v>
      </c>
    </row>
    <row r="56" spans="1:21">
      <c r="A56" s="262"/>
      <c r="B56" s="262"/>
      <c r="C56" s="262"/>
      <c r="D56" s="262"/>
      <c r="E56" s="262"/>
      <c r="F56" s="262"/>
      <c r="G56" s="262"/>
      <c r="H56" s="262"/>
      <c r="I56" s="483" t="s">
        <v>635</v>
      </c>
      <c r="J56" s="68"/>
      <c r="K56" s="68"/>
      <c r="N56" s="262"/>
      <c r="O56" s="262"/>
      <c r="P56" s="265"/>
      <c r="Q56" s="265"/>
      <c r="R56" s="265"/>
      <c r="S56" s="265"/>
      <c r="T56" s="265"/>
      <c r="U56" s="484" t="s">
        <v>634</v>
      </c>
    </row>
    <row r="57" spans="1:21">
      <c r="A57" s="119">
        <v>1</v>
      </c>
      <c r="B57" s="119">
        <v>2</v>
      </c>
      <c r="C57" s="119">
        <v>3</v>
      </c>
      <c r="D57" s="119">
        <v>4</v>
      </c>
      <c r="E57" s="119">
        <v>5</v>
      </c>
      <c r="F57" s="119">
        <v>6</v>
      </c>
      <c r="G57" s="119">
        <v>7</v>
      </c>
      <c r="H57" s="119">
        <v>8</v>
      </c>
      <c r="I57" s="119">
        <v>9</v>
      </c>
      <c r="J57" s="119"/>
      <c r="K57" s="119"/>
      <c r="L57" s="148"/>
      <c r="M57" s="148"/>
      <c r="N57" s="138">
        <v>1</v>
      </c>
      <c r="O57" s="138">
        <v>2</v>
      </c>
      <c r="P57" s="138">
        <v>3</v>
      </c>
      <c r="Q57" s="138">
        <v>4</v>
      </c>
      <c r="R57" s="138">
        <v>5</v>
      </c>
      <c r="S57" s="138">
        <v>6</v>
      </c>
      <c r="T57" s="138">
        <v>7</v>
      </c>
      <c r="U57" s="138">
        <v>8</v>
      </c>
    </row>
    <row r="58" spans="1:21" ht="45">
      <c r="A58" s="212" t="s">
        <v>164</v>
      </c>
      <c r="B58" s="212" t="s">
        <v>165</v>
      </c>
      <c r="C58" s="212" t="s">
        <v>120</v>
      </c>
      <c r="D58" s="212" t="s">
        <v>166</v>
      </c>
      <c r="E58" s="149" t="s">
        <v>487</v>
      </c>
      <c r="F58" s="150" t="s">
        <v>121</v>
      </c>
      <c r="G58" s="150" t="s">
        <v>122</v>
      </c>
      <c r="H58" s="151" t="s">
        <v>123</v>
      </c>
      <c r="I58" s="151" t="s">
        <v>124</v>
      </c>
      <c r="J58" s="787"/>
      <c r="K58" s="787"/>
      <c r="L58" s="136"/>
      <c r="M58" s="136"/>
      <c r="N58" s="654" t="s">
        <v>164</v>
      </c>
      <c r="O58" s="654" t="s">
        <v>165</v>
      </c>
      <c r="P58" s="649" t="s">
        <v>150</v>
      </c>
      <c r="Q58" s="649" t="s">
        <v>151</v>
      </c>
      <c r="R58" s="649" t="s">
        <v>152</v>
      </c>
      <c r="S58" s="649" t="s">
        <v>153</v>
      </c>
      <c r="T58" s="649" t="s">
        <v>154</v>
      </c>
      <c r="U58" s="650" t="s">
        <v>155</v>
      </c>
    </row>
    <row r="59" spans="1:21">
      <c r="A59" s="155">
        <v>1</v>
      </c>
      <c r="B59" s="156" t="s">
        <v>100</v>
      </c>
      <c r="C59" s="168">
        <v>1100</v>
      </c>
      <c r="D59" s="168">
        <v>1</v>
      </c>
      <c r="E59" s="169">
        <v>25.179144375000003</v>
      </c>
      <c r="F59" s="169">
        <v>5.6468280000000002</v>
      </c>
      <c r="G59" s="170">
        <f t="shared" ref="G59:G96" si="2">F59/$E59*lbacin_mgl</f>
        <v>0.98964138341961649</v>
      </c>
      <c r="H59" s="170">
        <v>0.57869196000000001</v>
      </c>
      <c r="I59" s="171">
        <f t="shared" ref="I59:I96" si="3">H59/$E59*lbacin_mgl</f>
        <v>0.10141932990843876</v>
      </c>
      <c r="J59" s="174"/>
      <c r="K59" s="174"/>
      <c r="L59" s="137"/>
      <c r="M59" s="137"/>
      <c r="N59" s="161">
        <v>1</v>
      </c>
      <c r="O59" s="156" t="s">
        <v>100</v>
      </c>
      <c r="P59" s="162">
        <v>28317.375897123249</v>
      </c>
      <c r="Q59" s="162">
        <v>3001.4432629792368</v>
      </c>
      <c r="R59" s="162">
        <v>548.18487278225007</v>
      </c>
      <c r="S59" s="162">
        <v>30190.717135490893</v>
      </c>
      <c r="T59" s="162">
        <v>14845.43152244404</v>
      </c>
      <c r="U59" s="659">
        <v>76903.152690819668</v>
      </c>
    </row>
    <row r="60" spans="1:21">
      <c r="A60" s="157">
        <v>2</v>
      </c>
      <c r="B60" s="158" t="s">
        <v>101</v>
      </c>
      <c r="C60" s="172">
        <v>1200</v>
      </c>
      <c r="D60" s="172">
        <v>2</v>
      </c>
      <c r="E60" s="173">
        <v>29.757170625000004</v>
      </c>
      <c r="F60" s="173">
        <v>8.2135680000000004</v>
      </c>
      <c r="G60" s="174">
        <f t="shared" si="2"/>
        <v>1.2180201642087589</v>
      </c>
      <c r="H60" s="174">
        <v>1.6534055999999999</v>
      </c>
      <c r="I60" s="175">
        <f t="shared" si="3"/>
        <v>0.24518958878963215</v>
      </c>
      <c r="J60" s="174"/>
      <c r="K60" s="174"/>
      <c r="L60" s="137"/>
      <c r="M60" s="137"/>
      <c r="N60" s="163">
        <v>2</v>
      </c>
      <c r="O60" s="158" t="s">
        <v>101</v>
      </c>
      <c r="P60" s="164">
        <v>3732.5649586856084</v>
      </c>
      <c r="Q60" s="164">
        <v>382.51787370692699</v>
      </c>
      <c r="R60" s="164">
        <v>1505.9284249649886</v>
      </c>
      <c r="S60" s="164">
        <v>25733.604387196898</v>
      </c>
      <c r="T60" s="164">
        <v>1758.6663503085972</v>
      </c>
      <c r="U60" s="660">
        <v>33113.28199486302</v>
      </c>
    </row>
    <row r="61" spans="1:21">
      <c r="A61" s="157">
        <v>3</v>
      </c>
      <c r="B61" s="158" t="s">
        <v>102</v>
      </c>
      <c r="C61" s="172">
        <v>1300</v>
      </c>
      <c r="D61" s="172">
        <v>3</v>
      </c>
      <c r="E61" s="173">
        <v>36.624210000000005</v>
      </c>
      <c r="F61" s="173">
        <v>12.320352</v>
      </c>
      <c r="G61" s="174">
        <f t="shared" si="2"/>
        <v>1.4844620751294249</v>
      </c>
      <c r="H61" s="174">
        <v>3.5430120000000001</v>
      </c>
      <c r="I61" s="175">
        <f t="shared" si="3"/>
        <v>0.42689258762480597</v>
      </c>
      <c r="J61" s="174"/>
      <c r="K61" s="174"/>
      <c r="L61" s="137"/>
      <c r="M61" s="137"/>
      <c r="N61" s="163">
        <v>3</v>
      </c>
      <c r="O61" s="158" t="s">
        <v>102</v>
      </c>
      <c r="P61" s="164">
        <v>2426.7565512676624</v>
      </c>
      <c r="Q61" s="164">
        <v>59.098160678319999</v>
      </c>
      <c r="R61" s="164">
        <v>77.433485612784793</v>
      </c>
      <c r="S61" s="164">
        <v>8606.146593896352</v>
      </c>
      <c r="T61" s="164">
        <v>395.35941280303922</v>
      </c>
      <c r="U61" s="660">
        <v>11564.794204258158</v>
      </c>
    </row>
    <row r="62" spans="1:21">
      <c r="A62" s="157">
        <v>4</v>
      </c>
      <c r="B62" s="158" t="s">
        <v>125</v>
      </c>
      <c r="C62" s="172">
        <v>1400</v>
      </c>
      <c r="D62" s="172">
        <v>4</v>
      </c>
      <c r="E62" s="173">
        <v>36.624210000000005</v>
      </c>
      <c r="F62" s="173">
        <v>11.293656</v>
      </c>
      <c r="G62" s="174">
        <f t="shared" si="2"/>
        <v>1.3607569022019728</v>
      </c>
      <c r="H62" s="174">
        <v>1.6534055999999999</v>
      </c>
      <c r="I62" s="175">
        <f t="shared" si="3"/>
        <v>0.19921654089157612</v>
      </c>
      <c r="J62" s="174"/>
      <c r="K62" s="174"/>
      <c r="L62" s="137"/>
      <c r="M62" s="137"/>
      <c r="N62" s="163">
        <v>4</v>
      </c>
      <c r="O62" s="158" t="s">
        <v>125</v>
      </c>
      <c r="P62" s="164">
        <v>807.00356698620249</v>
      </c>
      <c r="Q62" s="164">
        <v>190.93483948396798</v>
      </c>
      <c r="R62" s="164">
        <v>427.9976890180526</v>
      </c>
      <c r="S62" s="164">
        <v>6844.6987565791796</v>
      </c>
      <c r="T62" s="164">
        <v>688.58793232234143</v>
      </c>
      <c r="U62" s="660">
        <v>8959.2227843897454</v>
      </c>
    </row>
    <row r="63" spans="1:21">
      <c r="A63" s="157">
        <v>5</v>
      </c>
      <c r="B63" s="158" t="s">
        <v>126</v>
      </c>
      <c r="C63" s="172">
        <v>1500</v>
      </c>
      <c r="D63" s="172">
        <v>4</v>
      </c>
      <c r="E63" s="173">
        <v>38.913223125000002</v>
      </c>
      <c r="F63" s="173">
        <v>10.266960000000001</v>
      </c>
      <c r="G63" s="174">
        <f t="shared" si="2"/>
        <v>1.1642839804936667</v>
      </c>
      <c r="H63" s="174">
        <v>2.8344095999999999</v>
      </c>
      <c r="I63" s="175">
        <f t="shared" si="3"/>
        <v>0.32142500715279509</v>
      </c>
      <c r="J63" s="174"/>
      <c r="K63" s="174"/>
      <c r="L63" s="137"/>
      <c r="M63" s="137"/>
      <c r="N63" s="163">
        <v>5</v>
      </c>
      <c r="O63" s="158" t="s">
        <v>126</v>
      </c>
      <c r="P63" s="164">
        <v>28.690608199000003</v>
      </c>
      <c r="Q63" s="164">
        <v>236.41550272169999</v>
      </c>
      <c r="R63" s="164">
        <v>1263.886924901919</v>
      </c>
      <c r="S63" s="164">
        <v>690.11600099374084</v>
      </c>
      <c r="T63" s="164">
        <v>445.28866944322681</v>
      </c>
      <c r="U63" s="660">
        <v>2664.3977062595868</v>
      </c>
    </row>
    <row r="64" spans="1:21">
      <c r="A64" s="157">
        <v>6</v>
      </c>
      <c r="B64" s="158" t="s">
        <v>127</v>
      </c>
      <c r="C64" s="172">
        <v>1600</v>
      </c>
      <c r="D64" s="172">
        <v>4</v>
      </c>
      <c r="E64" s="173">
        <v>34.335196875000001</v>
      </c>
      <c r="F64" s="173">
        <v>7.1868720000000001</v>
      </c>
      <c r="G64" s="174">
        <f t="shared" si="2"/>
        <v>0.9236652911916422</v>
      </c>
      <c r="H64" s="174">
        <v>0.77946263999999998</v>
      </c>
      <c r="I64" s="175">
        <f t="shared" si="3"/>
        <v>0.10017746056262115</v>
      </c>
      <c r="J64" s="174"/>
      <c r="K64" s="174"/>
      <c r="L64" s="137"/>
      <c r="M64" s="137"/>
      <c r="N64" s="163">
        <v>6</v>
      </c>
      <c r="O64" s="158" t="s">
        <v>127</v>
      </c>
      <c r="P64" s="164">
        <v>342.87267710726002</v>
      </c>
      <c r="Q64" s="164">
        <v>553.13730195641904</v>
      </c>
      <c r="R64" s="164">
        <v>67.997745330740003</v>
      </c>
      <c r="S64" s="164">
        <v>1291.8359271316303</v>
      </c>
      <c r="T64" s="164">
        <v>21.964760377762964</v>
      </c>
      <c r="U64" s="660">
        <v>2277.8084119038126</v>
      </c>
    </row>
    <row r="65" spans="1:21">
      <c r="A65" s="157">
        <v>7</v>
      </c>
      <c r="B65" s="158" t="s">
        <v>128</v>
      </c>
      <c r="C65" s="172">
        <v>1700</v>
      </c>
      <c r="D65" s="172">
        <v>4</v>
      </c>
      <c r="E65" s="173">
        <v>34.335196875000001</v>
      </c>
      <c r="F65" s="173">
        <v>7.1868720000000001</v>
      </c>
      <c r="G65" s="174">
        <f t="shared" si="2"/>
        <v>0.9236652911916422</v>
      </c>
      <c r="H65" s="174">
        <v>2.8344095999999999</v>
      </c>
      <c r="I65" s="175">
        <f t="shared" si="3"/>
        <v>0.36428167477316781</v>
      </c>
      <c r="J65" s="174"/>
      <c r="K65" s="174"/>
      <c r="L65" s="137"/>
      <c r="M65" s="137"/>
      <c r="N65" s="163">
        <v>7</v>
      </c>
      <c r="O65" s="158" t="s">
        <v>128</v>
      </c>
      <c r="P65" s="164">
        <v>565.09724499005756</v>
      </c>
      <c r="Q65" s="164">
        <v>121.97290682085</v>
      </c>
      <c r="R65" s="164">
        <v>213.35120258730001</v>
      </c>
      <c r="S65" s="164">
        <v>2547.6040726211108</v>
      </c>
      <c r="T65" s="164">
        <v>245.34164330717343</v>
      </c>
      <c r="U65" s="660">
        <v>3693.3670703264916</v>
      </c>
    </row>
    <row r="66" spans="1:21">
      <c r="A66" s="157">
        <v>8</v>
      </c>
      <c r="B66" s="158" t="s">
        <v>129</v>
      </c>
      <c r="C66" s="172">
        <v>1800</v>
      </c>
      <c r="D66" s="172">
        <v>4</v>
      </c>
      <c r="E66" s="173">
        <v>25.179144375000003</v>
      </c>
      <c r="F66" s="173">
        <v>7.1868720000000001</v>
      </c>
      <c r="G66" s="174">
        <f t="shared" si="2"/>
        <v>1.2595435788976939</v>
      </c>
      <c r="H66" s="174">
        <v>1.1337638399999999</v>
      </c>
      <c r="I66" s="175">
        <f t="shared" si="3"/>
        <v>0.19869909533081875</v>
      </c>
      <c r="J66" s="174"/>
      <c r="K66" s="174"/>
      <c r="L66" s="137"/>
      <c r="M66" s="137"/>
      <c r="N66" s="163">
        <v>8</v>
      </c>
      <c r="O66" s="158" t="s">
        <v>129</v>
      </c>
      <c r="P66" s="164">
        <v>2233.3130205785374</v>
      </c>
      <c r="Q66" s="164">
        <v>72.488086821828006</v>
      </c>
      <c r="R66" s="164">
        <v>256.890966563338</v>
      </c>
      <c r="S66" s="164">
        <v>3050.477183158057</v>
      </c>
      <c r="T66" s="164">
        <v>469.91080307010304</v>
      </c>
      <c r="U66" s="660">
        <v>6083.0800601918636</v>
      </c>
    </row>
    <row r="67" spans="1:21">
      <c r="A67" s="157">
        <v>9</v>
      </c>
      <c r="B67" s="158" t="s">
        <v>130</v>
      </c>
      <c r="C67" s="172">
        <v>2110</v>
      </c>
      <c r="D67" s="172">
        <v>5</v>
      </c>
      <c r="E67" s="173">
        <v>27.4681575</v>
      </c>
      <c r="F67" s="173">
        <v>11.396325600000001</v>
      </c>
      <c r="G67" s="174">
        <f t="shared" si="2"/>
        <v>1.830836559326291</v>
      </c>
      <c r="H67" s="174">
        <v>1.6534055999999999</v>
      </c>
      <c r="I67" s="175">
        <f t="shared" si="3"/>
        <v>0.26562205452210153</v>
      </c>
      <c r="J67" s="174"/>
      <c r="K67" s="174"/>
      <c r="L67" s="137"/>
      <c r="M67" s="137"/>
      <c r="N67" s="163">
        <v>9</v>
      </c>
      <c r="O67" s="158" t="s">
        <v>130</v>
      </c>
      <c r="P67" s="164">
        <v>2642.9159408399264</v>
      </c>
      <c r="Q67" s="164">
        <v>36797.666554474185</v>
      </c>
      <c r="R67" s="164">
        <v>796.46739110341355</v>
      </c>
      <c r="S67" s="164">
        <v>21867.31824233575</v>
      </c>
      <c r="T67" s="164">
        <v>55543.836247694868</v>
      </c>
      <c r="U67" s="660">
        <v>117648.20437644815</v>
      </c>
    </row>
    <row r="68" spans="1:21">
      <c r="A68" s="157">
        <v>10</v>
      </c>
      <c r="B68" s="158" t="s">
        <v>131</v>
      </c>
      <c r="C68" s="172">
        <v>2120</v>
      </c>
      <c r="D68" s="172">
        <v>6</v>
      </c>
      <c r="E68" s="173">
        <v>22.89013125</v>
      </c>
      <c r="F68" s="173">
        <v>5.6468280000000002</v>
      </c>
      <c r="G68" s="174">
        <f t="shared" si="2"/>
        <v>1.0886055217615784</v>
      </c>
      <c r="H68" s="174">
        <v>0.85032287999999989</v>
      </c>
      <c r="I68" s="175">
        <f t="shared" si="3"/>
        <v>0.1639267536479255</v>
      </c>
      <c r="J68" s="174"/>
      <c r="K68" s="174"/>
      <c r="L68" s="137"/>
      <c r="M68" s="137"/>
      <c r="N68" s="163">
        <v>10</v>
      </c>
      <c r="O68" s="158" t="s">
        <v>131</v>
      </c>
      <c r="P68" s="164">
        <v>474.80141897381998</v>
      </c>
      <c r="Q68" s="164">
        <v>5752.4357961230835</v>
      </c>
      <c r="R68" s="164"/>
      <c r="S68" s="164">
        <v>4881.5524656502303</v>
      </c>
      <c r="T68" s="164">
        <v>12722.422124190603</v>
      </c>
      <c r="U68" s="660">
        <v>23831.211804937739</v>
      </c>
    </row>
    <row r="69" spans="1:21">
      <c r="A69" s="157">
        <v>11</v>
      </c>
      <c r="B69" s="158" t="s">
        <v>132</v>
      </c>
      <c r="C69" s="172">
        <v>2130</v>
      </c>
      <c r="D69" s="172">
        <v>7</v>
      </c>
      <c r="E69" s="176">
        <v>22.89013125</v>
      </c>
      <c r="F69" s="173">
        <v>4.2094535999999998</v>
      </c>
      <c r="G69" s="174">
        <f t="shared" si="2"/>
        <v>0.81150593440408569</v>
      </c>
      <c r="H69" s="174">
        <v>0.70860239999999997</v>
      </c>
      <c r="I69" s="175">
        <f t="shared" si="3"/>
        <v>0.13660562803993792</v>
      </c>
      <c r="J69" s="174"/>
      <c r="K69" s="174"/>
      <c r="L69" s="137"/>
      <c r="M69" s="137"/>
      <c r="N69" s="163">
        <v>11</v>
      </c>
      <c r="O69" s="158" t="s">
        <v>132</v>
      </c>
      <c r="P69" s="164">
        <v>149.13952521900001</v>
      </c>
      <c r="Q69" s="164">
        <v>5939.2227807620848</v>
      </c>
      <c r="R69" s="164"/>
      <c r="S69" s="164">
        <v>4212.4550069787847</v>
      </c>
      <c r="T69" s="164">
        <v>9994.319909251979</v>
      </c>
      <c r="U69" s="660">
        <v>20295.137222211848</v>
      </c>
    </row>
    <row r="70" spans="1:21">
      <c r="A70" s="157">
        <v>12</v>
      </c>
      <c r="B70" s="111" t="s">
        <v>133</v>
      </c>
      <c r="C70" s="172">
        <v>3000</v>
      </c>
      <c r="D70" s="172">
        <v>7</v>
      </c>
      <c r="E70" s="176">
        <v>18.312105000000003</v>
      </c>
      <c r="F70" s="173">
        <v>4.2094535999999998</v>
      </c>
      <c r="G70" s="174">
        <f t="shared" si="2"/>
        <v>1.0143824180051069</v>
      </c>
      <c r="H70" s="174">
        <v>0.21258071999999997</v>
      </c>
      <c r="I70" s="175">
        <f t="shared" si="3"/>
        <v>5.1227110514976713E-2</v>
      </c>
      <c r="J70" s="174"/>
      <c r="K70" s="174"/>
      <c r="L70" s="137"/>
      <c r="M70" s="137"/>
      <c r="N70" s="163">
        <v>12</v>
      </c>
      <c r="O70" s="111" t="s">
        <v>133</v>
      </c>
      <c r="P70" s="164">
        <v>11906.712796501191</v>
      </c>
      <c r="Q70" s="164">
        <v>5062.9651286038315</v>
      </c>
      <c r="R70" s="164">
        <v>277.50057343870003</v>
      </c>
      <c r="S70" s="164">
        <v>19441.049537053917</v>
      </c>
      <c r="T70" s="164">
        <v>21480.975952116154</v>
      </c>
      <c r="U70" s="660">
        <v>58169.203987713794</v>
      </c>
    </row>
    <row r="71" spans="1:21">
      <c r="A71" s="157">
        <v>13</v>
      </c>
      <c r="B71" s="158" t="s">
        <v>107</v>
      </c>
      <c r="C71" s="172">
        <v>2140</v>
      </c>
      <c r="D71" s="172">
        <v>8</v>
      </c>
      <c r="E71" s="176">
        <v>32.046183749999997</v>
      </c>
      <c r="F71" s="173">
        <v>15.400440000000001</v>
      </c>
      <c r="G71" s="174">
        <f t="shared" si="2"/>
        <v>2.1206601073277502</v>
      </c>
      <c r="H71" s="174">
        <v>2.9525099999999997</v>
      </c>
      <c r="I71" s="175">
        <f t="shared" si="3"/>
        <v>0.40656436916648192</v>
      </c>
      <c r="J71" s="174"/>
      <c r="K71" s="174"/>
      <c r="L71" s="137"/>
      <c r="M71" s="137"/>
      <c r="N71" s="163">
        <v>13</v>
      </c>
      <c r="O71" s="158" t="s">
        <v>107</v>
      </c>
      <c r="P71" s="164">
        <v>590.74097612645994</v>
      </c>
      <c r="Q71" s="164">
        <v>1080.2642606185991</v>
      </c>
      <c r="R71" s="164"/>
      <c r="S71" s="164">
        <v>1877.6546794550243</v>
      </c>
      <c r="T71" s="164">
        <v>6393.3152562873474</v>
      </c>
      <c r="U71" s="660">
        <v>9941.9751724874295</v>
      </c>
    </row>
    <row r="72" spans="1:21">
      <c r="A72" s="157">
        <v>14</v>
      </c>
      <c r="B72" s="158" t="s">
        <v>108</v>
      </c>
      <c r="C72" s="172">
        <v>2156</v>
      </c>
      <c r="D72" s="172">
        <v>9</v>
      </c>
      <c r="E72" s="176">
        <v>27.4681575</v>
      </c>
      <c r="F72" s="173">
        <v>8.2135680000000004</v>
      </c>
      <c r="G72" s="174">
        <f t="shared" si="2"/>
        <v>1.319521844559489</v>
      </c>
      <c r="H72" s="174">
        <v>0.47240159999999998</v>
      </c>
      <c r="I72" s="175">
        <f t="shared" si="3"/>
        <v>7.5892015577743291E-2</v>
      </c>
      <c r="J72" s="174"/>
      <c r="K72" s="174"/>
      <c r="L72" s="137"/>
      <c r="M72" s="137"/>
      <c r="N72" s="163">
        <v>14</v>
      </c>
      <c r="O72" s="158" t="s">
        <v>108</v>
      </c>
      <c r="P72" s="164"/>
      <c r="Q72" s="164">
        <v>57895.285101532594</v>
      </c>
      <c r="R72" s="164">
        <v>33062.468847741344</v>
      </c>
      <c r="S72" s="164"/>
      <c r="T72" s="164">
        <v>2058.1147622376102</v>
      </c>
      <c r="U72" s="660">
        <v>93015.868711511546</v>
      </c>
    </row>
    <row r="73" spans="1:21">
      <c r="A73" s="157">
        <v>15</v>
      </c>
      <c r="B73" s="158" t="s">
        <v>109</v>
      </c>
      <c r="C73" s="172">
        <v>2210</v>
      </c>
      <c r="D73" s="172">
        <v>10</v>
      </c>
      <c r="E73" s="176">
        <v>27.4681575</v>
      </c>
      <c r="F73" s="173">
        <v>8.726916000000001</v>
      </c>
      <c r="G73" s="174">
        <f t="shared" si="2"/>
        <v>1.401991959844457</v>
      </c>
      <c r="H73" s="174">
        <v>0.76765260000000002</v>
      </c>
      <c r="I73" s="175">
        <f t="shared" si="3"/>
        <v>0.12332452531383285</v>
      </c>
      <c r="J73" s="174"/>
      <c r="K73" s="174"/>
      <c r="L73" s="137"/>
      <c r="M73" s="137"/>
      <c r="N73" s="163">
        <v>15</v>
      </c>
      <c r="O73" s="158" t="s">
        <v>109</v>
      </c>
      <c r="P73" s="164">
        <v>193.27803607351001</v>
      </c>
      <c r="Q73" s="164">
        <v>26592.176313553689</v>
      </c>
      <c r="R73" s="164">
        <v>65.661389168981998</v>
      </c>
      <c r="S73" s="164">
        <v>839.5833245131098</v>
      </c>
      <c r="T73" s="164">
        <v>69005.476052460115</v>
      </c>
      <c r="U73" s="660">
        <v>96696.175115769409</v>
      </c>
    </row>
    <row r="74" spans="1:21">
      <c r="A74" s="157">
        <v>16</v>
      </c>
      <c r="B74" s="111" t="s">
        <v>110</v>
      </c>
      <c r="C74" s="172">
        <v>2420</v>
      </c>
      <c r="D74" s="172">
        <v>11</v>
      </c>
      <c r="E74" s="176">
        <v>27.4681575</v>
      </c>
      <c r="F74" s="173">
        <v>9.2402639999999998</v>
      </c>
      <c r="G74" s="174">
        <f t="shared" si="2"/>
        <v>1.4844620751294249</v>
      </c>
      <c r="H74" s="174">
        <v>2.38562808</v>
      </c>
      <c r="I74" s="175">
        <f t="shared" si="3"/>
        <v>0.38325467866760365</v>
      </c>
      <c r="J74" s="174"/>
      <c r="K74" s="174"/>
      <c r="L74" s="137"/>
      <c r="M74" s="137"/>
      <c r="N74" s="163">
        <v>16</v>
      </c>
      <c r="O74" s="111" t="s">
        <v>110</v>
      </c>
      <c r="P74" s="164"/>
      <c r="Q74" s="164">
        <v>289.18436121600001</v>
      </c>
      <c r="R74" s="164"/>
      <c r="S74" s="164">
        <v>1435.5943201424514</v>
      </c>
      <c r="T74" s="164">
        <v>3344.8917829697371</v>
      </c>
      <c r="U74" s="660">
        <v>5069.6704643281882</v>
      </c>
    </row>
    <row r="75" spans="1:21">
      <c r="A75" s="157">
        <v>17</v>
      </c>
      <c r="B75" s="111" t="s">
        <v>111</v>
      </c>
      <c r="C75" s="172">
        <v>2430</v>
      </c>
      <c r="D75" s="172">
        <v>12</v>
      </c>
      <c r="E75" s="176">
        <v>27.4681575</v>
      </c>
      <c r="F75" s="173">
        <v>12.320352</v>
      </c>
      <c r="G75" s="174">
        <f t="shared" si="2"/>
        <v>1.9792827668392332</v>
      </c>
      <c r="H75" s="174">
        <v>3.4249115999999997</v>
      </c>
      <c r="I75" s="175">
        <f t="shared" si="3"/>
        <v>0.55021711293863884</v>
      </c>
      <c r="J75" s="174"/>
      <c r="K75" s="174"/>
      <c r="L75" s="137"/>
      <c r="M75" s="137"/>
      <c r="N75" s="163">
        <v>17</v>
      </c>
      <c r="O75" s="111" t="s">
        <v>111</v>
      </c>
      <c r="P75" s="164">
        <v>175.42486284202997</v>
      </c>
      <c r="Q75" s="164">
        <v>16.033879690900001</v>
      </c>
      <c r="R75" s="164"/>
      <c r="S75" s="164">
        <v>300.25324616525751</v>
      </c>
      <c r="T75" s="164">
        <v>369.00332562863997</v>
      </c>
      <c r="U75" s="660">
        <v>860.71531432682741</v>
      </c>
    </row>
    <row r="76" spans="1:21">
      <c r="A76" s="157">
        <v>18</v>
      </c>
      <c r="B76" s="111" t="s">
        <v>112</v>
      </c>
      <c r="C76" s="172">
        <v>2510</v>
      </c>
      <c r="D76" s="172">
        <v>13</v>
      </c>
      <c r="E76" s="176">
        <v>22.89013125</v>
      </c>
      <c r="F76" s="173">
        <v>16.427136000000001</v>
      </c>
      <c r="G76" s="174">
        <f t="shared" si="2"/>
        <v>3.1668524269427731</v>
      </c>
      <c r="H76" s="174">
        <v>2.1494272799999998</v>
      </c>
      <c r="I76" s="175">
        <f t="shared" si="3"/>
        <v>0.41437040505447836</v>
      </c>
      <c r="J76" s="174"/>
      <c r="K76" s="174"/>
      <c r="L76" s="137"/>
      <c r="M76" s="137"/>
      <c r="N76" s="163">
        <v>18</v>
      </c>
      <c r="O76" s="111" t="s">
        <v>112</v>
      </c>
      <c r="P76" s="164"/>
      <c r="Q76" s="164">
        <v>139.766138805</v>
      </c>
      <c r="R76" s="164"/>
      <c r="S76" s="164">
        <v>24.283589983799999</v>
      </c>
      <c r="T76" s="164">
        <v>38.333878388499997</v>
      </c>
      <c r="U76" s="660">
        <v>202.38360717730001</v>
      </c>
    </row>
    <row r="77" spans="1:21">
      <c r="A77" s="157">
        <v>19</v>
      </c>
      <c r="B77" s="158" t="s">
        <v>113</v>
      </c>
      <c r="C77" s="172">
        <v>2520</v>
      </c>
      <c r="D77" s="172">
        <v>14</v>
      </c>
      <c r="E77" s="176">
        <v>22.89013125</v>
      </c>
      <c r="F77" s="173">
        <v>20.533920000000002</v>
      </c>
      <c r="G77" s="174">
        <f t="shared" si="2"/>
        <v>3.9585655336784673</v>
      </c>
      <c r="H77" s="174">
        <v>11.07781752</v>
      </c>
      <c r="I77" s="175">
        <f t="shared" si="3"/>
        <v>2.1356013183576961</v>
      </c>
      <c r="J77" s="174"/>
      <c r="K77" s="174"/>
      <c r="L77" s="137"/>
      <c r="M77" s="137"/>
      <c r="N77" s="163">
        <v>19</v>
      </c>
      <c r="O77" s="158" t="s">
        <v>113</v>
      </c>
      <c r="P77" s="164"/>
      <c r="Q77" s="164">
        <v>18.059606683869998</v>
      </c>
      <c r="R77" s="164"/>
      <c r="S77" s="164">
        <v>37.896988075739998</v>
      </c>
      <c r="T77" s="164"/>
      <c r="U77" s="660">
        <v>55.956594759609999</v>
      </c>
    </row>
    <row r="78" spans="1:21">
      <c r="A78" s="157">
        <v>20</v>
      </c>
      <c r="B78" s="158" t="s">
        <v>134</v>
      </c>
      <c r="C78" s="172">
        <v>2150</v>
      </c>
      <c r="D78" s="172">
        <v>15</v>
      </c>
      <c r="E78" s="176">
        <v>22.89013125</v>
      </c>
      <c r="F78" s="173">
        <v>6.7989143824800005</v>
      </c>
      <c r="G78" s="174">
        <f t="shared" si="2"/>
        <v>1.3107067788769091</v>
      </c>
      <c r="H78" s="174">
        <v>3.5011926483599995</v>
      </c>
      <c r="I78" s="175">
        <f t="shared" si="3"/>
        <v>0.67496613138486594</v>
      </c>
      <c r="J78" s="174"/>
      <c r="K78" s="174"/>
      <c r="L78" s="137"/>
      <c r="M78" s="137"/>
      <c r="N78" s="163">
        <v>20</v>
      </c>
      <c r="O78" s="158" t="s">
        <v>134</v>
      </c>
      <c r="P78" s="164">
        <v>64.404705012930009</v>
      </c>
      <c r="Q78" s="164">
        <v>502.41493476348001</v>
      </c>
      <c r="R78" s="164">
        <v>38.327884721899999</v>
      </c>
      <c r="S78" s="164">
        <v>3493.604662883874</v>
      </c>
      <c r="T78" s="164">
        <v>1308.0005045681678</v>
      </c>
      <c r="U78" s="660">
        <v>5406.7526919503525</v>
      </c>
    </row>
    <row r="79" spans="1:21">
      <c r="A79" s="157">
        <v>21</v>
      </c>
      <c r="B79" s="158" t="s">
        <v>135</v>
      </c>
      <c r="C79" s="172">
        <v>2160</v>
      </c>
      <c r="D79" s="172">
        <v>15</v>
      </c>
      <c r="E79" s="176">
        <v>27.4681575</v>
      </c>
      <c r="F79" s="173">
        <v>11.293656</v>
      </c>
      <c r="G79" s="174">
        <f t="shared" si="2"/>
        <v>1.8143425362692973</v>
      </c>
      <c r="H79" s="174">
        <v>4.1335139999999999</v>
      </c>
      <c r="I79" s="175">
        <f t="shared" si="3"/>
        <v>0.66405513630525381</v>
      </c>
      <c r="J79" s="174"/>
      <c r="K79" s="174"/>
      <c r="L79" s="137"/>
      <c r="M79" s="137"/>
      <c r="N79" s="163">
        <v>21</v>
      </c>
      <c r="O79" s="158" t="s">
        <v>135</v>
      </c>
      <c r="P79" s="164"/>
      <c r="Q79" s="164"/>
      <c r="R79" s="164"/>
      <c r="S79" s="164"/>
      <c r="T79" s="164">
        <v>17.492821825949999</v>
      </c>
      <c r="U79" s="660">
        <v>17.492821825949999</v>
      </c>
    </row>
    <row r="80" spans="1:21">
      <c r="A80" s="157">
        <v>22</v>
      </c>
      <c r="B80" s="158" t="s">
        <v>136</v>
      </c>
      <c r="C80" s="172">
        <v>2220</v>
      </c>
      <c r="D80" s="172">
        <v>15</v>
      </c>
      <c r="E80" s="176">
        <v>27.4681575</v>
      </c>
      <c r="F80" s="173">
        <v>9.2402639999999998</v>
      </c>
      <c r="G80" s="174">
        <f t="shared" si="2"/>
        <v>1.4844620751294249</v>
      </c>
      <c r="H80" s="174">
        <v>2.7163091999999995</v>
      </c>
      <c r="I80" s="175">
        <f t="shared" si="3"/>
        <v>0.43637908957202387</v>
      </c>
      <c r="J80" s="174"/>
      <c r="K80" s="174"/>
      <c r="L80" s="137"/>
      <c r="M80" s="137"/>
      <c r="N80" s="157">
        <v>22</v>
      </c>
      <c r="O80" s="158" t="s">
        <v>136</v>
      </c>
      <c r="P80" s="158"/>
      <c r="Q80" s="158"/>
      <c r="R80" s="158"/>
      <c r="S80" s="158"/>
      <c r="T80" s="158"/>
      <c r="U80" s="167"/>
    </row>
    <row r="81" spans="1:21">
      <c r="A81" s="157">
        <v>23</v>
      </c>
      <c r="B81" s="158" t="s">
        <v>137</v>
      </c>
      <c r="C81" s="172">
        <v>2230</v>
      </c>
      <c r="D81" s="172">
        <v>15</v>
      </c>
      <c r="E81" s="176">
        <v>27.4681575</v>
      </c>
      <c r="F81" s="173">
        <v>9.2402639999999998</v>
      </c>
      <c r="G81" s="174">
        <f t="shared" si="2"/>
        <v>1.4844620751294249</v>
      </c>
      <c r="H81" s="174">
        <v>2.7163091999999995</v>
      </c>
      <c r="I81" s="175">
        <f t="shared" si="3"/>
        <v>0.43637908957202387</v>
      </c>
      <c r="J81" s="174"/>
      <c r="K81" s="174"/>
      <c r="L81" s="137"/>
      <c r="M81" s="137"/>
      <c r="N81" s="163">
        <v>23</v>
      </c>
      <c r="O81" s="158" t="s">
        <v>137</v>
      </c>
      <c r="P81" s="164">
        <v>1798.435309611298</v>
      </c>
      <c r="Q81" s="164"/>
      <c r="R81" s="164"/>
      <c r="S81" s="164">
        <v>142.61623042452587</v>
      </c>
      <c r="T81" s="164">
        <v>53.489649227019491</v>
      </c>
      <c r="U81" s="660">
        <v>1994.5411892628433</v>
      </c>
    </row>
    <row r="82" spans="1:21">
      <c r="A82" s="157">
        <v>24</v>
      </c>
      <c r="B82" s="158" t="s">
        <v>138</v>
      </c>
      <c r="C82" s="172">
        <v>2310</v>
      </c>
      <c r="D82" s="172">
        <v>15</v>
      </c>
      <c r="E82" s="176">
        <v>27.4681575</v>
      </c>
      <c r="F82" s="173">
        <v>55.498093347839998</v>
      </c>
      <c r="G82" s="174">
        <f t="shared" si="2"/>
        <v>8.9158507610671194</v>
      </c>
      <c r="H82" s="174">
        <v>10.583236664880001</v>
      </c>
      <c r="I82" s="175">
        <f t="shared" si="3"/>
        <v>1.7002126195889622</v>
      </c>
      <c r="J82" s="174"/>
      <c r="K82" s="174"/>
      <c r="L82" s="137"/>
      <c r="M82" s="137"/>
      <c r="N82" s="157">
        <v>24</v>
      </c>
      <c r="O82" s="158" t="s">
        <v>138</v>
      </c>
      <c r="P82" s="158"/>
      <c r="Q82" s="158"/>
      <c r="R82" s="158"/>
      <c r="S82" s="158"/>
      <c r="T82" s="158"/>
      <c r="U82" s="167"/>
    </row>
    <row r="83" spans="1:21">
      <c r="A83" s="157">
        <v>25</v>
      </c>
      <c r="B83" s="158" t="s">
        <v>139</v>
      </c>
      <c r="C83" s="172">
        <v>2320</v>
      </c>
      <c r="D83" s="172">
        <v>15</v>
      </c>
      <c r="E83" s="176">
        <v>27.4681575</v>
      </c>
      <c r="F83" s="173">
        <v>10.266960000000001</v>
      </c>
      <c r="G83" s="174">
        <f t="shared" si="2"/>
        <v>1.6494023056993612</v>
      </c>
      <c r="H83" s="174">
        <v>1.771506</v>
      </c>
      <c r="I83" s="175">
        <f t="shared" si="3"/>
        <v>0.28459505841653737</v>
      </c>
      <c r="J83" s="174"/>
      <c r="K83" s="174"/>
      <c r="L83" s="137"/>
      <c r="M83" s="137"/>
      <c r="N83" s="157">
        <v>25</v>
      </c>
      <c r="O83" s="158" t="s">
        <v>139</v>
      </c>
      <c r="P83" s="158"/>
      <c r="Q83" s="158"/>
      <c r="R83" s="158"/>
      <c r="S83" s="158"/>
      <c r="T83" s="158"/>
      <c r="U83" s="167"/>
    </row>
    <row r="84" spans="1:21">
      <c r="A84" s="157">
        <v>26</v>
      </c>
      <c r="B84" s="158" t="s">
        <v>140</v>
      </c>
      <c r="C84" s="172">
        <v>2410</v>
      </c>
      <c r="D84" s="172">
        <v>15</v>
      </c>
      <c r="E84" s="176">
        <v>22.89013125</v>
      </c>
      <c r="F84" s="173">
        <v>12.320352</v>
      </c>
      <c r="G84" s="174">
        <f t="shared" si="2"/>
        <v>2.3751393202070799</v>
      </c>
      <c r="H84" s="174">
        <v>3.4249115999999997</v>
      </c>
      <c r="I84" s="175">
        <f t="shared" si="3"/>
        <v>0.66026053552636665</v>
      </c>
      <c r="J84" s="174"/>
      <c r="K84" s="174"/>
      <c r="L84" s="137"/>
      <c r="M84" s="137"/>
      <c r="N84" s="163">
        <v>26</v>
      </c>
      <c r="O84" s="158" t="s">
        <v>140</v>
      </c>
      <c r="P84" s="164">
        <v>185.39344133240002</v>
      </c>
      <c r="Q84" s="164">
        <v>174.08626768222101</v>
      </c>
      <c r="R84" s="164">
        <v>269.70653881470503</v>
      </c>
      <c r="S84" s="164">
        <v>230.57516810396629</v>
      </c>
      <c r="T84" s="164">
        <v>111.23626343231999</v>
      </c>
      <c r="U84" s="660">
        <v>970.99767936561227</v>
      </c>
    </row>
    <row r="85" spans="1:21">
      <c r="A85" s="157">
        <v>27</v>
      </c>
      <c r="B85" s="158" t="s">
        <v>141</v>
      </c>
      <c r="C85" s="172">
        <v>2500</v>
      </c>
      <c r="D85" s="172">
        <v>15</v>
      </c>
      <c r="E85" s="176">
        <v>22.89013125</v>
      </c>
      <c r="F85" s="173">
        <v>8.2135680000000004</v>
      </c>
      <c r="G85" s="174">
        <f t="shared" si="2"/>
        <v>1.5834262134713866</v>
      </c>
      <c r="H85" s="174">
        <v>2.1494272799999998</v>
      </c>
      <c r="I85" s="175">
        <f t="shared" si="3"/>
        <v>0.41437040505447836</v>
      </c>
      <c r="J85" s="174"/>
      <c r="K85" s="174"/>
      <c r="L85" s="137"/>
      <c r="M85" s="137"/>
      <c r="N85" s="163">
        <v>27</v>
      </c>
      <c r="O85" s="158" t="s">
        <v>141</v>
      </c>
      <c r="P85" s="164"/>
      <c r="Q85" s="164"/>
      <c r="R85" s="164">
        <v>16.881187957000002</v>
      </c>
      <c r="S85" s="164">
        <v>68.247484331806987</v>
      </c>
      <c r="T85" s="164">
        <v>79.40995570880699</v>
      </c>
      <c r="U85" s="660">
        <v>164.53862799761399</v>
      </c>
    </row>
    <row r="86" spans="1:21">
      <c r="A86" s="157">
        <v>28</v>
      </c>
      <c r="B86" s="158" t="s">
        <v>142</v>
      </c>
      <c r="C86" s="172">
        <v>2540</v>
      </c>
      <c r="D86" s="172">
        <v>15</v>
      </c>
      <c r="E86" s="176">
        <v>11.445065625</v>
      </c>
      <c r="F86" s="173">
        <v>10.266960000000001</v>
      </c>
      <c r="G86" s="174">
        <f t="shared" si="2"/>
        <v>3.9585655336784673</v>
      </c>
      <c r="H86" s="174">
        <v>0.82670279999999996</v>
      </c>
      <c r="I86" s="175">
        <f t="shared" si="3"/>
        <v>0.31874646542652185</v>
      </c>
      <c r="J86" s="174"/>
      <c r="K86" s="174"/>
      <c r="L86" s="137"/>
      <c r="M86" s="137"/>
      <c r="N86" s="163">
        <v>28</v>
      </c>
      <c r="O86" s="158" t="s">
        <v>142</v>
      </c>
      <c r="P86" s="164"/>
      <c r="Q86" s="164">
        <v>26.54572468596</v>
      </c>
      <c r="R86" s="164"/>
      <c r="S86" s="164">
        <v>97.361684175536297</v>
      </c>
      <c r="T86" s="164">
        <v>90.967355650155</v>
      </c>
      <c r="U86" s="660">
        <v>214.87476451165128</v>
      </c>
    </row>
    <row r="87" spans="1:21">
      <c r="A87" s="157">
        <v>29</v>
      </c>
      <c r="B87" s="158" t="s">
        <v>143</v>
      </c>
      <c r="C87" s="172">
        <v>2610</v>
      </c>
      <c r="D87" s="172">
        <v>15</v>
      </c>
      <c r="E87" s="176">
        <v>27.4681575</v>
      </c>
      <c r="F87" s="173">
        <v>7.1868720000000001</v>
      </c>
      <c r="G87" s="174">
        <f t="shared" si="2"/>
        <v>1.1545816139895528</v>
      </c>
      <c r="H87" s="174">
        <v>0.82670279999999996</v>
      </c>
      <c r="I87" s="175">
        <f t="shared" si="3"/>
        <v>0.13281102726105076</v>
      </c>
      <c r="J87" s="174"/>
      <c r="K87" s="174"/>
      <c r="L87" s="137"/>
      <c r="M87" s="137"/>
      <c r="N87" s="163">
        <v>29</v>
      </c>
      <c r="O87" s="158" t="s">
        <v>143</v>
      </c>
      <c r="P87" s="164">
        <v>148.70061766015999</v>
      </c>
      <c r="Q87" s="164">
        <v>132.77200635</v>
      </c>
      <c r="R87" s="164"/>
      <c r="S87" s="164">
        <v>802.82680071014443</v>
      </c>
      <c r="T87" s="164">
        <v>1124.4229624901648</v>
      </c>
      <c r="U87" s="660">
        <v>2208.7223872104692</v>
      </c>
    </row>
    <row r="88" spans="1:21">
      <c r="A88" s="157">
        <v>30</v>
      </c>
      <c r="B88" s="158" t="s">
        <v>115</v>
      </c>
      <c r="C88" s="172">
        <v>4400</v>
      </c>
      <c r="D88" s="172">
        <v>16</v>
      </c>
      <c r="E88" s="176">
        <v>13.73407875</v>
      </c>
      <c r="F88" s="173">
        <v>3.1827576000000004</v>
      </c>
      <c r="G88" s="174">
        <f t="shared" si="2"/>
        <v>1.022629429533604</v>
      </c>
      <c r="H88" s="174">
        <v>0.17715059999999999</v>
      </c>
      <c r="I88" s="175">
        <f t="shared" si="3"/>
        <v>5.6919011683307465E-2</v>
      </c>
      <c r="J88" s="174"/>
      <c r="K88" s="174"/>
      <c r="L88" s="137"/>
      <c r="M88" s="137"/>
      <c r="N88" s="163">
        <v>30</v>
      </c>
      <c r="O88" s="158" t="s">
        <v>115</v>
      </c>
      <c r="P88" s="164"/>
      <c r="Q88" s="164"/>
      <c r="R88" s="164"/>
      <c r="S88" s="164"/>
      <c r="T88" s="164">
        <v>21.528796419999999</v>
      </c>
      <c r="U88" s="660">
        <v>21.528796419999999</v>
      </c>
    </row>
    <row r="89" spans="1:21">
      <c r="A89" s="157">
        <v>31</v>
      </c>
      <c r="B89" s="158" t="s">
        <v>116</v>
      </c>
      <c r="C89" s="172">
        <v>5000</v>
      </c>
      <c r="D89" s="172">
        <v>17</v>
      </c>
      <c r="E89" s="176">
        <v>4.5780262500000006</v>
      </c>
      <c r="F89" s="173">
        <v>0.92402640000000003</v>
      </c>
      <c r="G89" s="174">
        <f t="shared" si="2"/>
        <v>0.89067724507765489</v>
      </c>
      <c r="H89" s="174">
        <v>5.9050199999999997E-2</v>
      </c>
      <c r="I89" s="175">
        <f t="shared" si="3"/>
        <v>5.6919011683307458E-2</v>
      </c>
      <c r="J89" s="174"/>
      <c r="K89" s="174"/>
      <c r="L89" s="137"/>
      <c r="M89" s="137"/>
      <c r="N89" s="163">
        <v>31</v>
      </c>
      <c r="O89" s="158" t="s">
        <v>116</v>
      </c>
      <c r="P89" s="164">
        <v>101255.60849916542</v>
      </c>
      <c r="Q89" s="164">
        <v>2124.5629525128556</v>
      </c>
      <c r="R89" s="164">
        <v>657.92048008391134</v>
      </c>
      <c r="S89" s="164">
        <v>22740.545884122806</v>
      </c>
      <c r="T89" s="164">
        <v>3653.7793983509532</v>
      </c>
      <c r="U89" s="660">
        <v>130432.41721423595</v>
      </c>
    </row>
    <row r="90" spans="1:21">
      <c r="A90" s="157">
        <v>32</v>
      </c>
      <c r="B90" s="158" t="s">
        <v>144</v>
      </c>
      <c r="C90" s="172">
        <v>4000</v>
      </c>
      <c r="D90" s="172">
        <v>18</v>
      </c>
      <c r="E90" s="176">
        <v>13.73407875</v>
      </c>
      <c r="F90" s="173">
        <v>2.5667400000000002</v>
      </c>
      <c r="G90" s="174">
        <f t="shared" si="2"/>
        <v>0.8247011528496806</v>
      </c>
      <c r="H90" s="174">
        <v>8.2670279999999999E-2</v>
      </c>
      <c r="I90" s="175">
        <f t="shared" si="3"/>
        <v>2.6562205452210153E-2</v>
      </c>
      <c r="J90" s="174"/>
      <c r="K90" s="174"/>
      <c r="L90" s="137"/>
      <c r="M90" s="137"/>
      <c r="N90" s="163">
        <v>32</v>
      </c>
      <c r="O90" s="158" t="s">
        <v>144</v>
      </c>
      <c r="P90" s="164">
        <v>15054.078568609611</v>
      </c>
      <c r="Q90" s="164">
        <v>20716.174185726752</v>
      </c>
      <c r="R90" s="164">
        <v>313.93329214988006</v>
      </c>
      <c r="S90" s="164">
        <v>40539.563444201958</v>
      </c>
      <c r="T90" s="164">
        <v>52159.117964778059</v>
      </c>
      <c r="U90" s="660">
        <v>128782.86745546627</v>
      </c>
    </row>
    <row r="91" spans="1:21">
      <c r="A91" s="157">
        <v>33</v>
      </c>
      <c r="B91" s="158" t="s">
        <v>145</v>
      </c>
      <c r="C91" s="172">
        <v>6000</v>
      </c>
      <c r="D91" s="172">
        <v>18</v>
      </c>
      <c r="E91" s="176">
        <v>6.8670393750000001</v>
      </c>
      <c r="F91" s="173">
        <v>1.540044</v>
      </c>
      <c r="G91" s="174">
        <f t="shared" si="2"/>
        <v>0.9896413834196166</v>
      </c>
      <c r="H91" s="177">
        <v>1.1810039999999999E-2</v>
      </c>
      <c r="I91" s="175">
        <f t="shared" si="3"/>
        <v>7.5892015577743287E-3</v>
      </c>
      <c r="J91" s="174"/>
      <c r="K91" s="174"/>
      <c r="L91" s="152"/>
      <c r="M91" s="152"/>
      <c r="N91" s="163">
        <v>33</v>
      </c>
      <c r="O91" s="158" t="s">
        <v>145</v>
      </c>
      <c r="P91" s="164">
        <v>47247.137111969299</v>
      </c>
      <c r="Q91" s="164">
        <v>30608.471520198505</v>
      </c>
      <c r="R91" s="164">
        <v>1208.2771663481196</v>
      </c>
      <c r="S91" s="164">
        <v>44331.843248437057</v>
      </c>
      <c r="T91" s="164">
        <v>63554.114132195034</v>
      </c>
      <c r="U91" s="660">
        <v>186949.84317914801</v>
      </c>
    </row>
    <row r="92" spans="1:21">
      <c r="A92" s="157">
        <v>34</v>
      </c>
      <c r="B92" s="158" t="s">
        <v>146</v>
      </c>
      <c r="C92" s="172">
        <v>7000</v>
      </c>
      <c r="D92" s="172">
        <v>18</v>
      </c>
      <c r="E92" s="176">
        <v>34.335196875000001</v>
      </c>
      <c r="F92" s="173">
        <v>7.1868720000000001</v>
      </c>
      <c r="G92" s="174">
        <f t="shared" si="2"/>
        <v>0.9236652911916422</v>
      </c>
      <c r="H92" s="174">
        <v>0.88575300000000001</v>
      </c>
      <c r="I92" s="175">
        <f t="shared" si="3"/>
        <v>0.11383802336661494</v>
      </c>
      <c r="J92" s="174"/>
      <c r="K92" s="174"/>
      <c r="L92" s="137"/>
      <c r="M92" s="137"/>
      <c r="N92" s="163">
        <v>34</v>
      </c>
      <c r="O92" s="158" t="s">
        <v>146</v>
      </c>
      <c r="P92" s="164">
        <v>529.00565685345919</v>
      </c>
      <c r="Q92" s="164">
        <v>1987.0034180384735</v>
      </c>
      <c r="R92" s="164">
        <v>412.96155272778083</v>
      </c>
      <c r="S92" s="164">
        <v>503.42093135932004</v>
      </c>
      <c r="T92" s="164">
        <v>2247.7534926044532</v>
      </c>
      <c r="U92" s="660">
        <v>5680.1450515834877</v>
      </c>
    </row>
    <row r="93" spans="1:21">
      <c r="A93" s="157">
        <v>35</v>
      </c>
      <c r="B93" s="158" t="s">
        <v>147</v>
      </c>
      <c r="C93" s="172">
        <v>1900</v>
      </c>
      <c r="D93" s="172">
        <v>18</v>
      </c>
      <c r="E93" s="176">
        <v>22.89013125</v>
      </c>
      <c r="F93" s="173">
        <v>4.1067840000000002</v>
      </c>
      <c r="G93" s="174">
        <f t="shared" si="2"/>
        <v>0.79171310673569328</v>
      </c>
      <c r="H93" s="174">
        <v>0.33068112</v>
      </c>
      <c r="I93" s="175">
        <f t="shared" si="3"/>
        <v>6.3749293085304359E-2</v>
      </c>
      <c r="J93" s="174"/>
      <c r="K93" s="174"/>
      <c r="L93" s="137"/>
      <c r="M93" s="137"/>
      <c r="N93" s="163">
        <v>35</v>
      </c>
      <c r="O93" s="158" t="s">
        <v>147</v>
      </c>
      <c r="P93" s="164">
        <v>7429.9705283825906</v>
      </c>
      <c r="Q93" s="164">
        <v>2435.80457537249</v>
      </c>
      <c r="R93" s="164">
        <v>200.65473845394999</v>
      </c>
      <c r="S93" s="164">
        <v>14330.546609935585</v>
      </c>
      <c r="T93" s="164">
        <v>25032.986516377539</v>
      </c>
      <c r="U93" s="660">
        <v>49429.962968522159</v>
      </c>
    </row>
    <row r="94" spans="1:21">
      <c r="A94" s="157">
        <v>36</v>
      </c>
      <c r="B94" s="158" t="s">
        <v>118</v>
      </c>
      <c r="C94" s="172">
        <v>8100</v>
      </c>
      <c r="D94" s="172">
        <v>19</v>
      </c>
      <c r="E94" s="176">
        <v>45.780262499999999</v>
      </c>
      <c r="F94" s="173">
        <v>9.445603199999999</v>
      </c>
      <c r="G94" s="174">
        <f t="shared" si="2"/>
        <v>0.9104700727460473</v>
      </c>
      <c r="H94" s="174">
        <v>1.9486565999999998</v>
      </c>
      <c r="I94" s="175">
        <f t="shared" si="3"/>
        <v>0.18783273855491464</v>
      </c>
      <c r="J94" s="174"/>
      <c r="K94" s="174"/>
      <c r="L94" s="137"/>
      <c r="M94" s="137"/>
      <c r="N94" s="163">
        <v>36</v>
      </c>
      <c r="O94" s="158" t="s">
        <v>118</v>
      </c>
      <c r="P94" s="164">
        <v>507.03024531063778</v>
      </c>
      <c r="Q94" s="164">
        <v>741.37414365861741</v>
      </c>
      <c r="R94" s="164">
        <v>329.74630857681171</v>
      </c>
      <c r="S94" s="164">
        <v>2719.0503114978733</v>
      </c>
      <c r="T94" s="164">
        <v>643.26859561825586</v>
      </c>
      <c r="U94" s="660">
        <v>4940.4696046621957</v>
      </c>
    </row>
    <row r="95" spans="1:21">
      <c r="A95" s="157">
        <v>37</v>
      </c>
      <c r="B95" s="158" t="s">
        <v>148</v>
      </c>
      <c r="C95" s="172">
        <v>8200</v>
      </c>
      <c r="D95" s="172">
        <v>20</v>
      </c>
      <c r="E95" s="176">
        <v>25.179144375000003</v>
      </c>
      <c r="F95" s="173">
        <v>6.1601759999999999</v>
      </c>
      <c r="G95" s="174">
        <f t="shared" si="2"/>
        <v>1.0796087819123088</v>
      </c>
      <c r="H95" s="174">
        <v>0.56688191999999993</v>
      </c>
      <c r="I95" s="175">
        <f t="shared" si="3"/>
        <v>9.9349547665409377E-2</v>
      </c>
      <c r="J95" s="174"/>
      <c r="K95" s="174"/>
      <c r="L95" s="137"/>
      <c r="M95" s="137"/>
      <c r="N95" s="163">
        <v>37</v>
      </c>
      <c r="O95" s="158" t="s">
        <v>148</v>
      </c>
      <c r="P95" s="164">
        <v>10.0185092208</v>
      </c>
      <c r="Q95" s="164">
        <v>19.876263198499998</v>
      </c>
      <c r="R95" s="164"/>
      <c r="S95" s="164">
        <v>42.207039547652499</v>
      </c>
      <c r="T95" s="164">
        <v>23.626207455029999</v>
      </c>
      <c r="U95" s="660">
        <v>95.728019421982495</v>
      </c>
    </row>
    <row r="96" spans="1:21">
      <c r="A96" s="159">
        <v>38</v>
      </c>
      <c r="B96" s="160" t="s">
        <v>149</v>
      </c>
      <c r="C96" s="178">
        <v>8300</v>
      </c>
      <c r="D96" s="178">
        <v>20</v>
      </c>
      <c r="E96" s="179">
        <v>22.89013125</v>
      </c>
      <c r="F96" s="180">
        <v>6.1601759999999999</v>
      </c>
      <c r="G96" s="181">
        <f t="shared" si="2"/>
        <v>1.1875696601035399</v>
      </c>
      <c r="H96" s="181">
        <v>0.56688191999999993</v>
      </c>
      <c r="I96" s="182">
        <f t="shared" si="3"/>
        <v>0.10928450243195033</v>
      </c>
      <c r="J96" s="174"/>
      <c r="K96" s="174"/>
      <c r="L96" s="137"/>
      <c r="M96" s="137"/>
      <c r="N96" s="163">
        <v>38</v>
      </c>
      <c r="O96" s="158" t="s">
        <v>149</v>
      </c>
      <c r="P96" s="164">
        <v>505.33458122700608</v>
      </c>
      <c r="Q96" s="164">
        <v>423.18781174693009</v>
      </c>
      <c r="R96" s="164">
        <v>133.94855557610998</v>
      </c>
      <c r="S96" s="164">
        <v>790.0562271719707</v>
      </c>
      <c r="T96" s="164">
        <v>171.40717588454785</v>
      </c>
      <c r="U96" s="660">
        <v>2023.9343516065646</v>
      </c>
    </row>
    <row r="97" spans="1:21">
      <c r="N97" s="163">
        <v>39</v>
      </c>
      <c r="O97" s="651" t="s">
        <v>156</v>
      </c>
      <c r="P97" s="655">
        <v>229321.80585586911</v>
      </c>
      <c r="Q97" s="655">
        <v>204093.34166116785</v>
      </c>
      <c r="R97" s="655">
        <v>42146.12721862398</v>
      </c>
      <c r="S97" s="655">
        <v>264705.307184326</v>
      </c>
      <c r="T97" s="655">
        <v>350113.84217788826</v>
      </c>
      <c r="U97" s="656">
        <v>1090380.4240978751</v>
      </c>
    </row>
    <row r="98" spans="1:21">
      <c r="N98" s="652">
        <v>40</v>
      </c>
      <c r="O98" s="653" t="s">
        <v>798</v>
      </c>
      <c r="P98" s="657">
        <f>P97-P89</f>
        <v>128066.19735670369</v>
      </c>
      <c r="Q98" s="657">
        <f t="shared" ref="Q98:U98" si="4">Q97-Q89</f>
        <v>201968.77870865501</v>
      </c>
      <c r="R98" s="657">
        <f t="shared" si="4"/>
        <v>41488.206738540066</v>
      </c>
      <c r="S98" s="657">
        <f t="shared" si="4"/>
        <v>241964.76130020319</v>
      </c>
      <c r="T98" s="657">
        <f t="shared" si="4"/>
        <v>346460.06277953729</v>
      </c>
      <c r="U98" s="658">
        <f t="shared" si="4"/>
        <v>959948.00688363914</v>
      </c>
    </row>
    <row r="99" spans="1:21">
      <c r="N99" s="56"/>
      <c r="O99" s="234"/>
      <c r="P99" s="207"/>
      <c r="Q99" s="207"/>
      <c r="R99" s="207"/>
      <c r="S99" s="207"/>
      <c r="T99" s="207"/>
      <c r="U99" s="207"/>
    </row>
    <row r="101" spans="1:21">
      <c r="A101" s="1359" t="s">
        <v>1311</v>
      </c>
      <c r="B101" s="1345"/>
      <c r="C101" s="1345"/>
      <c r="D101" s="1345"/>
      <c r="E101" s="1345"/>
      <c r="F101" s="1345"/>
      <c r="G101" s="1345"/>
      <c r="H101" s="1345"/>
      <c r="I101" s="1345"/>
      <c r="J101" s="1345"/>
      <c r="K101" s="1345"/>
      <c r="L101" s="1360" t="s">
        <v>1315</v>
      </c>
    </row>
    <row r="102" spans="1:21">
      <c r="A102" s="61" t="s">
        <v>1316</v>
      </c>
    </row>
    <row r="103" spans="1:21">
      <c r="A103" s="61" t="s">
        <v>1317</v>
      </c>
    </row>
    <row r="104" spans="1:21">
      <c r="A104" s="61" t="s">
        <v>1318</v>
      </c>
    </row>
    <row r="105" spans="1:21">
      <c r="A105" s="221" t="s">
        <v>1313</v>
      </c>
    </row>
    <row r="106" spans="1:21">
      <c r="A106" s="221" t="s">
        <v>1314</v>
      </c>
    </row>
    <row r="107" spans="1:21">
      <c r="A107" s="61" t="s">
        <v>1312</v>
      </c>
    </row>
    <row r="109" spans="1:21">
      <c r="A109" t="s">
        <v>1319</v>
      </c>
    </row>
    <row r="110" spans="1:21">
      <c r="A110" s="1365" t="s">
        <v>1320</v>
      </c>
      <c r="B110" s="1319"/>
      <c r="C110" t="s">
        <v>1326</v>
      </c>
      <c r="L110" s="404" t="s">
        <v>1327</v>
      </c>
    </row>
    <row r="111" spans="1:21">
      <c r="A111" s="1366" t="s">
        <v>1321</v>
      </c>
      <c r="B111" s="1331"/>
      <c r="C111" t="s">
        <v>1329</v>
      </c>
      <c r="L111" s="404" t="s">
        <v>1328</v>
      </c>
    </row>
    <row r="112" spans="1:21">
      <c r="A112" s="1367" t="s">
        <v>1322</v>
      </c>
      <c r="B112" s="1362"/>
      <c r="C112" t="s">
        <v>1330</v>
      </c>
      <c r="L112" s="404" t="s">
        <v>1328</v>
      </c>
    </row>
    <row r="113" spans="1:21">
      <c r="A113" s="1368" t="s">
        <v>1323</v>
      </c>
      <c r="B113" s="1363"/>
      <c r="C113" t="s">
        <v>1331</v>
      </c>
      <c r="L113" s="404" t="s">
        <v>1328</v>
      </c>
    </row>
    <row r="114" spans="1:21">
      <c r="A114" s="1369" t="s">
        <v>1324</v>
      </c>
      <c r="B114" s="1364"/>
      <c r="C114" t="s">
        <v>1332</v>
      </c>
      <c r="L114" s="404" t="s">
        <v>1328</v>
      </c>
    </row>
    <row r="115" spans="1:21">
      <c r="A115" s="1370" t="s">
        <v>117</v>
      </c>
      <c r="B115" s="1361"/>
      <c r="C115" s="107" t="s">
        <v>1325</v>
      </c>
      <c r="L115" s="404" t="s">
        <v>1327</v>
      </c>
    </row>
    <row r="116" spans="1:21">
      <c r="O116" s="786" t="s">
        <v>1299</v>
      </c>
      <c r="P116" s="1345"/>
      <c r="Q116" s="1345"/>
      <c r="R116" s="1345"/>
      <c r="S116" s="1345"/>
      <c r="T116" s="1345"/>
      <c r="U116" s="109"/>
    </row>
    <row r="117" spans="1:21">
      <c r="O117" s="61" t="s">
        <v>1300</v>
      </c>
    </row>
    <row r="118" spans="1:21">
      <c r="A118" s="786" t="s">
        <v>1285</v>
      </c>
      <c r="B118" s="109"/>
      <c r="O118" s="61" t="s">
        <v>1298</v>
      </c>
    </row>
    <row r="119" spans="1:21">
      <c r="A119" s="263"/>
      <c r="B119" s="261"/>
      <c r="C119" s="261"/>
      <c r="D119" s="261"/>
      <c r="E119" s="261"/>
      <c r="F119" s="261"/>
      <c r="G119" s="261"/>
      <c r="H119" s="261"/>
      <c r="I119" s="261"/>
      <c r="J119" s="261"/>
      <c r="K119" s="261"/>
      <c r="L119" s="484" t="s">
        <v>1279</v>
      </c>
    </row>
    <row r="120" spans="1:21">
      <c r="A120" s="138">
        <v>1</v>
      </c>
      <c r="B120" s="138">
        <v>2</v>
      </c>
      <c r="C120" s="138">
        <v>3</v>
      </c>
      <c r="D120" s="138">
        <v>4</v>
      </c>
      <c r="E120" s="138">
        <v>5</v>
      </c>
      <c r="F120" s="138">
        <v>6</v>
      </c>
      <c r="G120" s="138">
        <v>7</v>
      </c>
      <c r="H120" s="138">
        <v>8</v>
      </c>
      <c r="I120" s="138">
        <v>9</v>
      </c>
      <c r="J120" s="138">
        <v>10</v>
      </c>
      <c r="K120" s="138">
        <v>11</v>
      </c>
      <c r="L120" s="138">
        <v>12</v>
      </c>
      <c r="O120" s="1356" t="s">
        <v>681</v>
      </c>
      <c r="P120" s="1352"/>
      <c r="Q120" s="1352"/>
      <c r="R120" s="1352"/>
      <c r="S120" s="1352"/>
      <c r="T120" s="1352"/>
      <c r="U120" s="1353"/>
    </row>
    <row r="121" spans="1:21">
      <c r="B121" s="99" t="s">
        <v>207</v>
      </c>
      <c r="C121" s="138">
        <v>1</v>
      </c>
      <c r="D121" s="138">
        <v>2</v>
      </c>
      <c r="E121" s="138">
        <v>3</v>
      </c>
      <c r="F121" s="138">
        <v>4</v>
      </c>
      <c r="G121" s="138">
        <v>5</v>
      </c>
      <c r="H121" s="138">
        <v>1</v>
      </c>
      <c r="I121" s="138">
        <v>2</v>
      </c>
      <c r="J121" s="138">
        <v>3</v>
      </c>
      <c r="K121" s="138">
        <v>4</v>
      </c>
      <c r="L121" s="138">
        <v>5</v>
      </c>
      <c r="O121" s="404" t="s">
        <v>1289</v>
      </c>
      <c r="Q121" s="404" t="s">
        <v>1289</v>
      </c>
    </row>
    <row r="122" spans="1:21">
      <c r="C122" s="1459" t="s">
        <v>681</v>
      </c>
      <c r="D122" s="1460"/>
      <c r="E122" s="1460"/>
      <c r="F122" s="1460"/>
      <c r="G122" s="1460"/>
      <c r="H122" s="1460"/>
      <c r="I122" s="1460"/>
      <c r="J122" s="1460"/>
      <c r="K122" s="1460"/>
      <c r="L122" s="1461"/>
      <c r="O122" s="1354">
        <v>0.1</v>
      </c>
      <c r="Q122" s="1336">
        <v>0.1</v>
      </c>
    </row>
    <row r="123" spans="1:21">
      <c r="C123" s="1459" t="s">
        <v>1273</v>
      </c>
      <c r="D123" s="1460"/>
      <c r="E123" s="1460"/>
      <c r="F123" s="1460"/>
      <c r="G123" s="1461"/>
      <c r="H123" s="1459" t="s">
        <v>1274</v>
      </c>
      <c r="I123" s="1460"/>
      <c r="J123" s="1460"/>
      <c r="K123" s="1460"/>
      <c r="L123" s="1461"/>
      <c r="O123" s="64"/>
    </row>
    <row r="124" spans="1:21">
      <c r="A124" s="1344" t="s">
        <v>1251</v>
      </c>
      <c r="B124" s="121" t="s">
        <v>168</v>
      </c>
      <c r="C124" s="816" t="s">
        <v>150</v>
      </c>
      <c r="D124" s="816" t="s">
        <v>271</v>
      </c>
      <c r="E124" s="816" t="s">
        <v>152</v>
      </c>
      <c r="F124" s="816" t="s">
        <v>203</v>
      </c>
      <c r="G124" s="816" t="s">
        <v>289</v>
      </c>
      <c r="H124" s="817" t="s">
        <v>150</v>
      </c>
      <c r="I124" s="817" t="s">
        <v>271</v>
      </c>
      <c r="J124" s="817" t="s">
        <v>152</v>
      </c>
      <c r="K124" s="817" t="s">
        <v>203</v>
      </c>
      <c r="L124" s="817" t="s">
        <v>289</v>
      </c>
      <c r="O124" s="404" t="s">
        <v>1288</v>
      </c>
      <c r="Q124" s="1346" t="s">
        <v>1290</v>
      </c>
      <c r="R124" s="1331"/>
      <c r="S124" s="1331"/>
      <c r="T124" s="1331"/>
      <c r="U124" s="1331"/>
    </row>
    <row r="125" spans="1:21">
      <c r="A125" s="1318">
        <v>1</v>
      </c>
      <c r="B125" s="158" t="s">
        <v>100</v>
      </c>
      <c r="C125" s="1338">
        <f t="shared" ref="C125:G128" si="5">$O$122*$O125</f>
        <v>8.5000000000000006E-2</v>
      </c>
      <c r="D125" s="1338">
        <f t="shared" si="5"/>
        <v>8.5000000000000006E-2</v>
      </c>
      <c r="E125" s="1338">
        <f t="shared" si="5"/>
        <v>8.5000000000000006E-2</v>
      </c>
      <c r="F125" s="1338">
        <f t="shared" si="5"/>
        <v>8.5000000000000006E-2</v>
      </c>
      <c r="G125" s="1338">
        <f t="shared" si="5"/>
        <v>8.5000000000000006E-2</v>
      </c>
      <c r="H125" s="1339">
        <f t="shared" ref="H125:L128" si="6">$Q$122*$O125*Q125</f>
        <v>7.4114810242047552E-2</v>
      </c>
      <c r="I125" s="1339">
        <f t="shared" si="6"/>
        <v>3.2284422847210024E-2</v>
      </c>
      <c r="J125" s="1339">
        <f t="shared" si="6"/>
        <v>1.0762150302446377E-2</v>
      </c>
      <c r="K125" s="1339">
        <f t="shared" si="6"/>
        <v>0</v>
      </c>
      <c r="L125" s="1339">
        <f t="shared" si="6"/>
        <v>5.6017771104941085E-2</v>
      </c>
      <c r="O125" s="1354">
        <v>0.85</v>
      </c>
      <c r="P125" s="1317"/>
      <c r="Q125" s="1337">
        <v>0.87193894402408878</v>
      </c>
      <c r="R125" s="1337">
        <v>0.37981673937894145</v>
      </c>
      <c r="S125" s="1337">
        <v>0.12661353296995737</v>
      </c>
      <c r="T125" s="1337">
        <v>0</v>
      </c>
      <c r="U125" s="1337">
        <v>0.65903260123460095</v>
      </c>
    </row>
    <row r="126" spans="1:21">
      <c r="A126" s="1318">
        <v>2</v>
      </c>
      <c r="B126" s="158" t="s">
        <v>101</v>
      </c>
      <c r="C126" s="1338">
        <f t="shared" si="5"/>
        <v>6.8000000000000005E-2</v>
      </c>
      <c r="D126" s="1338">
        <f t="shared" si="5"/>
        <v>6.8000000000000005E-2</v>
      </c>
      <c r="E126" s="1338">
        <f t="shared" si="5"/>
        <v>6.8000000000000005E-2</v>
      </c>
      <c r="F126" s="1338">
        <f t="shared" si="5"/>
        <v>6.8000000000000005E-2</v>
      </c>
      <c r="G126" s="1338">
        <f t="shared" si="5"/>
        <v>6.8000000000000005E-2</v>
      </c>
      <c r="H126" s="1339">
        <f t="shared" si="6"/>
        <v>3.8252365491133068E-2</v>
      </c>
      <c r="I126" s="1339">
        <f t="shared" si="6"/>
        <v>1.9885460909462159E-2</v>
      </c>
      <c r="J126" s="1339">
        <f t="shared" si="6"/>
        <v>2.0827501011562465E-2</v>
      </c>
      <c r="K126" s="1339">
        <f t="shared" si="6"/>
        <v>3.4338397491776661E-2</v>
      </c>
      <c r="L126" s="1339">
        <f t="shared" si="6"/>
        <v>6.4782361105285957E-2</v>
      </c>
      <c r="O126" s="1354">
        <v>0.68</v>
      </c>
      <c r="P126" s="1317"/>
      <c r="Q126" s="1337">
        <v>0.56253478663430978</v>
      </c>
      <c r="R126" s="1337">
        <v>0.29243324866856113</v>
      </c>
      <c r="S126" s="1337">
        <v>0.30628677958180095</v>
      </c>
      <c r="T126" s="1337">
        <v>0.50497643370259793</v>
      </c>
      <c r="U126" s="1337">
        <v>0.9526817809600876</v>
      </c>
    </row>
    <row r="127" spans="1:21">
      <c r="A127" s="1318">
        <v>3</v>
      </c>
      <c r="B127" s="158" t="s">
        <v>102</v>
      </c>
      <c r="C127" s="1338">
        <f t="shared" si="5"/>
        <v>3.4999999999999996E-2</v>
      </c>
      <c r="D127" s="1338">
        <f t="shared" si="5"/>
        <v>3.4999999999999996E-2</v>
      </c>
      <c r="E127" s="1338">
        <f t="shared" si="5"/>
        <v>3.4999999999999996E-2</v>
      </c>
      <c r="F127" s="1338">
        <f t="shared" si="5"/>
        <v>3.4999999999999996E-2</v>
      </c>
      <c r="G127" s="1338">
        <f t="shared" si="5"/>
        <v>3.4999999999999996E-2</v>
      </c>
      <c r="H127" s="1339">
        <f t="shared" si="6"/>
        <v>8.2179175326577009E-3</v>
      </c>
      <c r="I127" s="1339">
        <f t="shared" si="6"/>
        <v>0</v>
      </c>
      <c r="J127" s="1339">
        <f t="shared" si="6"/>
        <v>0</v>
      </c>
      <c r="K127" s="1339">
        <f t="shared" si="6"/>
        <v>9.1722371191918387E-4</v>
      </c>
      <c r="L127" s="1339">
        <f t="shared" si="6"/>
        <v>2.2515267223216284E-2</v>
      </c>
      <c r="O127" s="1354">
        <v>0.35</v>
      </c>
      <c r="P127" s="1317"/>
      <c r="Q127" s="1337">
        <v>0.23479764379022006</v>
      </c>
      <c r="R127" s="1337">
        <v>0</v>
      </c>
      <c r="S127" s="1337">
        <v>0</v>
      </c>
      <c r="T127" s="1337">
        <v>2.6206391769119541E-2</v>
      </c>
      <c r="U127" s="1337">
        <v>0.64329334923475101</v>
      </c>
    </row>
    <row r="128" spans="1:21">
      <c r="A128" s="1318">
        <v>4</v>
      </c>
      <c r="B128" s="158" t="s">
        <v>103</v>
      </c>
      <c r="C128" s="1338">
        <f t="shared" si="5"/>
        <v>2.0000000000000004E-2</v>
      </c>
      <c r="D128" s="1338">
        <f t="shared" si="5"/>
        <v>2.0000000000000004E-2</v>
      </c>
      <c r="E128" s="1338">
        <f t="shared" si="5"/>
        <v>2.0000000000000004E-2</v>
      </c>
      <c r="F128" s="1338">
        <f t="shared" si="5"/>
        <v>2.0000000000000004E-2</v>
      </c>
      <c r="G128" s="1338">
        <f t="shared" si="5"/>
        <v>2.0000000000000004E-2</v>
      </c>
      <c r="H128" s="1339">
        <f t="shared" si="6"/>
        <v>1.4568122943359241E-2</v>
      </c>
      <c r="I128" s="1339">
        <f t="shared" si="6"/>
        <v>1.456197053491667E-2</v>
      </c>
      <c r="J128" s="1339">
        <f t="shared" si="6"/>
        <v>1.2315565577343392E-2</v>
      </c>
      <c r="K128" s="1339">
        <f t="shared" si="6"/>
        <v>9.8110409320426185E-3</v>
      </c>
      <c r="L128" s="1339">
        <f t="shared" si="6"/>
        <v>1.5438407264985429E-2</v>
      </c>
      <c r="O128" s="1354">
        <v>0.2</v>
      </c>
      <c r="P128" s="1317"/>
      <c r="Q128" s="1337">
        <v>0.72840614716796193</v>
      </c>
      <c r="R128" s="1337">
        <v>0.72809852674583342</v>
      </c>
      <c r="S128" s="1337">
        <v>0.61577827886716952</v>
      </c>
      <c r="T128" s="1337">
        <v>0.49055204660213081</v>
      </c>
      <c r="U128" s="1337">
        <v>0.77192036324927127</v>
      </c>
    </row>
    <row r="129" spans="1:21">
      <c r="A129" s="1318">
        <v>5</v>
      </c>
      <c r="B129" s="158" t="s">
        <v>104</v>
      </c>
      <c r="C129" s="1340">
        <f>C$248</f>
        <v>7.0000000000000001E-3</v>
      </c>
      <c r="D129" s="1340">
        <f t="shared" ref="D129:G140" si="7">D$248</f>
        <v>0.54500000000000004</v>
      </c>
      <c r="E129" s="1340">
        <f t="shared" si="7"/>
        <v>0.75800000000000001</v>
      </c>
      <c r="F129" s="1340">
        <f t="shared" si="7"/>
        <v>3.0000000000000001E-3</v>
      </c>
      <c r="G129" s="1340">
        <f t="shared" si="7"/>
        <v>0.55500000000000005</v>
      </c>
      <c r="H129" s="1341">
        <f>C$259</f>
        <v>7.0000000000000001E-3</v>
      </c>
      <c r="I129" s="1341">
        <f t="shared" ref="I129:L129" si="8">D$259</f>
        <v>0.54500000000000004</v>
      </c>
      <c r="J129" s="1341">
        <f t="shared" si="8"/>
        <v>0.75800000000000001</v>
      </c>
      <c r="K129" s="1341">
        <f t="shared" si="8"/>
        <v>3.0000000000000001E-3</v>
      </c>
      <c r="L129" s="1341">
        <f t="shared" si="8"/>
        <v>0.55500000000000005</v>
      </c>
      <c r="O129" s="1355"/>
      <c r="P129" s="1317"/>
      <c r="Q129" s="1317"/>
      <c r="R129" s="1317"/>
      <c r="S129" s="1317"/>
      <c r="T129" s="1317"/>
      <c r="U129" s="1317"/>
    </row>
    <row r="130" spans="1:21">
      <c r="A130" s="1318">
        <v>6</v>
      </c>
      <c r="B130" s="158" t="s">
        <v>105</v>
      </c>
      <c r="C130" s="1340">
        <f t="shared" ref="C130:C140" si="9">C$248</f>
        <v>7.0000000000000001E-3</v>
      </c>
      <c r="D130" s="1340">
        <f t="shared" si="7"/>
        <v>0.54500000000000004</v>
      </c>
      <c r="E130" s="1340">
        <f t="shared" si="7"/>
        <v>0.75800000000000001</v>
      </c>
      <c r="F130" s="1340">
        <f t="shared" si="7"/>
        <v>3.0000000000000001E-3</v>
      </c>
      <c r="G130" s="1340">
        <f t="shared" si="7"/>
        <v>0.55500000000000005</v>
      </c>
      <c r="H130" s="1341">
        <f t="shared" ref="H130:H140" si="10">C$259</f>
        <v>7.0000000000000001E-3</v>
      </c>
      <c r="I130" s="1341">
        <f t="shared" ref="I130:I140" si="11">D$259</f>
        <v>0.54500000000000004</v>
      </c>
      <c r="J130" s="1341">
        <f t="shared" ref="J130:J140" si="12">E$259</f>
        <v>0.75800000000000001</v>
      </c>
      <c r="K130" s="1341">
        <f t="shared" ref="K130:K140" si="13">F$259</f>
        <v>3.0000000000000001E-3</v>
      </c>
      <c r="L130" s="1341">
        <f t="shared" ref="L130:L140" si="14">G$259</f>
        <v>0.55500000000000005</v>
      </c>
      <c r="O130" s="1355"/>
      <c r="P130" s="1317"/>
      <c r="Q130" s="1317"/>
      <c r="R130" s="1317"/>
      <c r="S130" s="1317"/>
      <c r="T130" s="1317"/>
      <c r="U130" s="1317"/>
    </row>
    <row r="131" spans="1:21">
      <c r="A131" s="1318">
        <v>7</v>
      </c>
      <c r="B131" s="158" t="s">
        <v>106</v>
      </c>
      <c r="C131" s="1340">
        <f t="shared" si="9"/>
        <v>7.0000000000000001E-3</v>
      </c>
      <c r="D131" s="1340">
        <f t="shared" si="7"/>
        <v>0.54500000000000004</v>
      </c>
      <c r="E131" s="1340">
        <f t="shared" si="7"/>
        <v>0.75800000000000001</v>
      </c>
      <c r="F131" s="1340">
        <f t="shared" si="7"/>
        <v>3.0000000000000001E-3</v>
      </c>
      <c r="G131" s="1340">
        <f t="shared" si="7"/>
        <v>0.55500000000000005</v>
      </c>
      <c r="H131" s="1341">
        <f t="shared" si="10"/>
        <v>7.0000000000000001E-3</v>
      </c>
      <c r="I131" s="1341">
        <f t="shared" si="11"/>
        <v>0.54500000000000004</v>
      </c>
      <c r="J131" s="1341">
        <f t="shared" si="12"/>
        <v>0.75800000000000001</v>
      </c>
      <c r="K131" s="1341">
        <f t="shared" si="13"/>
        <v>3.0000000000000001E-3</v>
      </c>
      <c r="L131" s="1341">
        <f t="shared" si="14"/>
        <v>0.55500000000000005</v>
      </c>
      <c r="O131" s="1355"/>
      <c r="P131" s="1317"/>
      <c r="Q131" s="1317"/>
      <c r="R131" s="1317"/>
      <c r="S131" s="1317"/>
      <c r="T131" s="1317"/>
      <c r="U131" s="1317"/>
    </row>
    <row r="132" spans="1:21">
      <c r="A132" s="1318">
        <v>8</v>
      </c>
      <c r="B132" s="158" t="s">
        <v>107</v>
      </c>
      <c r="C132" s="1340">
        <f t="shared" si="9"/>
        <v>7.0000000000000001E-3</v>
      </c>
      <c r="D132" s="1340">
        <f t="shared" si="7"/>
        <v>0.54500000000000004</v>
      </c>
      <c r="E132" s="1340">
        <f t="shared" si="7"/>
        <v>0.75800000000000001</v>
      </c>
      <c r="F132" s="1340">
        <f t="shared" si="7"/>
        <v>3.0000000000000001E-3</v>
      </c>
      <c r="G132" s="1340">
        <f t="shared" si="7"/>
        <v>0.55500000000000005</v>
      </c>
      <c r="H132" s="1341">
        <f t="shared" si="10"/>
        <v>7.0000000000000001E-3</v>
      </c>
      <c r="I132" s="1341">
        <f t="shared" si="11"/>
        <v>0.54500000000000004</v>
      </c>
      <c r="J132" s="1341">
        <f t="shared" si="12"/>
        <v>0.75800000000000001</v>
      </c>
      <c r="K132" s="1341">
        <f t="shared" si="13"/>
        <v>3.0000000000000001E-3</v>
      </c>
      <c r="L132" s="1341">
        <f t="shared" si="14"/>
        <v>0.55500000000000005</v>
      </c>
      <c r="O132" s="1355"/>
      <c r="P132" s="1317"/>
      <c r="Q132" s="1317"/>
      <c r="R132" s="1317"/>
      <c r="S132" s="1317"/>
      <c r="T132" s="1317"/>
      <c r="U132" s="1317"/>
    </row>
    <row r="133" spans="1:21">
      <c r="A133" s="1318">
        <v>9</v>
      </c>
      <c r="B133" s="158" t="s">
        <v>108</v>
      </c>
      <c r="C133" s="1340">
        <f t="shared" si="9"/>
        <v>7.0000000000000001E-3</v>
      </c>
      <c r="D133" s="1340">
        <f t="shared" si="7"/>
        <v>0.54500000000000004</v>
      </c>
      <c r="E133" s="1340">
        <f t="shared" si="7"/>
        <v>0.75800000000000001</v>
      </c>
      <c r="F133" s="1340">
        <f t="shared" si="7"/>
        <v>3.0000000000000001E-3</v>
      </c>
      <c r="G133" s="1340">
        <f t="shared" si="7"/>
        <v>0.55500000000000005</v>
      </c>
      <c r="H133" s="1341">
        <f t="shared" si="10"/>
        <v>7.0000000000000001E-3</v>
      </c>
      <c r="I133" s="1341">
        <f t="shared" si="11"/>
        <v>0.54500000000000004</v>
      </c>
      <c r="J133" s="1341">
        <f t="shared" si="12"/>
        <v>0.75800000000000001</v>
      </c>
      <c r="K133" s="1341">
        <f t="shared" si="13"/>
        <v>3.0000000000000001E-3</v>
      </c>
      <c r="L133" s="1341">
        <f t="shared" si="14"/>
        <v>0.55500000000000005</v>
      </c>
      <c r="O133" s="1355"/>
      <c r="P133" s="1317"/>
      <c r="Q133" s="1317"/>
      <c r="R133" s="1317"/>
      <c r="S133" s="1317"/>
      <c r="T133" s="1317"/>
      <c r="U133" s="1317"/>
    </row>
    <row r="134" spans="1:21">
      <c r="A134" s="1318">
        <v>10</v>
      </c>
      <c r="B134" s="158" t="s">
        <v>109</v>
      </c>
      <c r="C134" s="1340">
        <f t="shared" si="9"/>
        <v>7.0000000000000001E-3</v>
      </c>
      <c r="D134" s="1340">
        <f t="shared" si="7"/>
        <v>0.54500000000000004</v>
      </c>
      <c r="E134" s="1340">
        <f t="shared" si="7"/>
        <v>0.75800000000000001</v>
      </c>
      <c r="F134" s="1340">
        <f t="shared" si="7"/>
        <v>3.0000000000000001E-3</v>
      </c>
      <c r="G134" s="1340">
        <f t="shared" si="7"/>
        <v>0.55500000000000005</v>
      </c>
      <c r="H134" s="1341">
        <f t="shared" si="10"/>
        <v>7.0000000000000001E-3</v>
      </c>
      <c r="I134" s="1341">
        <f t="shared" si="11"/>
        <v>0.54500000000000004</v>
      </c>
      <c r="J134" s="1341">
        <f t="shared" si="12"/>
        <v>0.75800000000000001</v>
      </c>
      <c r="K134" s="1341">
        <f t="shared" si="13"/>
        <v>3.0000000000000001E-3</v>
      </c>
      <c r="L134" s="1341">
        <f t="shared" si="14"/>
        <v>0.55500000000000005</v>
      </c>
      <c r="O134" s="1355"/>
      <c r="P134" s="1317"/>
      <c r="Q134" s="1317"/>
      <c r="R134" s="1317"/>
      <c r="S134" s="1317"/>
      <c r="T134" s="1317"/>
      <c r="U134" s="1317"/>
    </row>
    <row r="135" spans="1:21">
      <c r="A135" s="1318">
        <v>11</v>
      </c>
      <c r="B135" s="111" t="s">
        <v>110</v>
      </c>
      <c r="C135" s="1340">
        <f t="shared" si="9"/>
        <v>7.0000000000000001E-3</v>
      </c>
      <c r="D135" s="1340">
        <f t="shared" si="7"/>
        <v>0.54500000000000004</v>
      </c>
      <c r="E135" s="1340">
        <f t="shared" si="7"/>
        <v>0.75800000000000001</v>
      </c>
      <c r="F135" s="1340">
        <f t="shared" si="7"/>
        <v>3.0000000000000001E-3</v>
      </c>
      <c r="G135" s="1340">
        <f t="shared" si="7"/>
        <v>0.55500000000000005</v>
      </c>
      <c r="H135" s="1341">
        <f t="shared" si="10"/>
        <v>7.0000000000000001E-3</v>
      </c>
      <c r="I135" s="1341">
        <f t="shared" si="11"/>
        <v>0.54500000000000004</v>
      </c>
      <c r="J135" s="1341">
        <f t="shared" si="12"/>
        <v>0.75800000000000001</v>
      </c>
      <c r="K135" s="1341">
        <f t="shared" si="13"/>
        <v>3.0000000000000001E-3</v>
      </c>
      <c r="L135" s="1341">
        <f t="shared" si="14"/>
        <v>0.55500000000000005</v>
      </c>
      <c r="O135" s="1355"/>
      <c r="P135" s="1317"/>
      <c r="Q135" s="1317"/>
      <c r="R135" s="1317"/>
      <c r="S135" s="1317"/>
      <c r="T135" s="1317"/>
      <c r="U135" s="1317"/>
    </row>
    <row r="136" spans="1:21">
      <c r="A136" s="1318">
        <v>12</v>
      </c>
      <c r="B136" s="111" t="s">
        <v>111</v>
      </c>
      <c r="C136" s="1340">
        <f t="shared" si="9"/>
        <v>7.0000000000000001E-3</v>
      </c>
      <c r="D136" s="1340">
        <f t="shared" si="7"/>
        <v>0.54500000000000004</v>
      </c>
      <c r="E136" s="1340">
        <f t="shared" si="7"/>
        <v>0.75800000000000001</v>
      </c>
      <c r="F136" s="1340">
        <f t="shared" si="7"/>
        <v>3.0000000000000001E-3</v>
      </c>
      <c r="G136" s="1340">
        <f t="shared" si="7"/>
        <v>0.55500000000000005</v>
      </c>
      <c r="H136" s="1341">
        <f t="shared" si="10"/>
        <v>7.0000000000000001E-3</v>
      </c>
      <c r="I136" s="1341">
        <f t="shared" si="11"/>
        <v>0.54500000000000004</v>
      </c>
      <c r="J136" s="1341">
        <f t="shared" si="12"/>
        <v>0.75800000000000001</v>
      </c>
      <c r="K136" s="1341">
        <f t="shared" si="13"/>
        <v>3.0000000000000001E-3</v>
      </c>
      <c r="L136" s="1341">
        <f t="shared" si="14"/>
        <v>0.55500000000000005</v>
      </c>
      <c r="O136" s="1355"/>
      <c r="P136" s="1317"/>
      <c r="Q136" s="1317"/>
      <c r="R136" s="1317"/>
      <c r="S136" s="1317"/>
      <c r="T136" s="1317"/>
      <c r="U136" s="1317"/>
    </row>
    <row r="137" spans="1:21">
      <c r="A137" s="1318">
        <v>13</v>
      </c>
      <c r="B137" s="111" t="s">
        <v>112</v>
      </c>
      <c r="C137" s="1340">
        <f t="shared" si="9"/>
        <v>7.0000000000000001E-3</v>
      </c>
      <c r="D137" s="1340">
        <f t="shared" si="7"/>
        <v>0.54500000000000004</v>
      </c>
      <c r="E137" s="1340">
        <f t="shared" si="7"/>
        <v>0.75800000000000001</v>
      </c>
      <c r="F137" s="1340">
        <f t="shared" si="7"/>
        <v>3.0000000000000001E-3</v>
      </c>
      <c r="G137" s="1340">
        <f t="shared" si="7"/>
        <v>0.55500000000000005</v>
      </c>
      <c r="H137" s="1341">
        <f t="shared" si="10"/>
        <v>7.0000000000000001E-3</v>
      </c>
      <c r="I137" s="1341">
        <f t="shared" si="11"/>
        <v>0.54500000000000004</v>
      </c>
      <c r="J137" s="1341">
        <f t="shared" si="12"/>
        <v>0.75800000000000001</v>
      </c>
      <c r="K137" s="1341">
        <f t="shared" si="13"/>
        <v>3.0000000000000001E-3</v>
      </c>
      <c r="L137" s="1341">
        <f t="shared" si="14"/>
        <v>0.55500000000000005</v>
      </c>
      <c r="O137" s="1355"/>
      <c r="P137" s="1317"/>
      <c r="Q137" s="1317"/>
      <c r="R137" s="1317"/>
      <c r="S137" s="1317"/>
      <c r="T137" s="1317"/>
      <c r="U137" s="1317"/>
    </row>
    <row r="138" spans="1:21">
      <c r="A138" s="1318">
        <v>14</v>
      </c>
      <c r="B138" s="158" t="s">
        <v>113</v>
      </c>
      <c r="C138" s="1340">
        <f t="shared" si="9"/>
        <v>7.0000000000000001E-3</v>
      </c>
      <c r="D138" s="1340">
        <f t="shared" si="7"/>
        <v>0.54500000000000004</v>
      </c>
      <c r="E138" s="1340">
        <f t="shared" si="7"/>
        <v>0.75800000000000001</v>
      </c>
      <c r="F138" s="1340">
        <f t="shared" si="7"/>
        <v>3.0000000000000001E-3</v>
      </c>
      <c r="G138" s="1340">
        <f t="shared" si="7"/>
        <v>0.55500000000000005</v>
      </c>
      <c r="H138" s="1341">
        <f t="shared" si="10"/>
        <v>7.0000000000000001E-3</v>
      </c>
      <c r="I138" s="1341">
        <f t="shared" si="11"/>
        <v>0.54500000000000004</v>
      </c>
      <c r="J138" s="1341">
        <f t="shared" si="12"/>
        <v>0.75800000000000001</v>
      </c>
      <c r="K138" s="1341">
        <f t="shared" si="13"/>
        <v>3.0000000000000001E-3</v>
      </c>
      <c r="L138" s="1341">
        <f t="shared" si="14"/>
        <v>0.55500000000000005</v>
      </c>
      <c r="O138" s="1355"/>
      <c r="P138" s="1317"/>
      <c r="Q138" s="1317"/>
      <c r="R138" s="1317"/>
      <c r="S138" s="1317"/>
      <c r="T138" s="1317"/>
      <c r="U138" s="1317"/>
    </row>
    <row r="139" spans="1:21">
      <c r="A139" s="1318">
        <v>15</v>
      </c>
      <c r="B139" s="158" t="s">
        <v>114</v>
      </c>
      <c r="C139" s="1340">
        <f t="shared" si="9"/>
        <v>7.0000000000000001E-3</v>
      </c>
      <c r="D139" s="1340">
        <f t="shared" si="7"/>
        <v>0.54500000000000004</v>
      </c>
      <c r="E139" s="1340">
        <f t="shared" si="7"/>
        <v>0.75800000000000001</v>
      </c>
      <c r="F139" s="1340">
        <f t="shared" si="7"/>
        <v>3.0000000000000001E-3</v>
      </c>
      <c r="G139" s="1340">
        <f t="shared" si="7"/>
        <v>0.55500000000000005</v>
      </c>
      <c r="H139" s="1341">
        <f t="shared" si="10"/>
        <v>7.0000000000000001E-3</v>
      </c>
      <c r="I139" s="1341">
        <f t="shared" si="11"/>
        <v>0.54500000000000004</v>
      </c>
      <c r="J139" s="1341">
        <f t="shared" si="12"/>
        <v>0.75800000000000001</v>
      </c>
      <c r="K139" s="1341">
        <f t="shared" si="13"/>
        <v>3.0000000000000001E-3</v>
      </c>
      <c r="L139" s="1341">
        <f t="shared" si="14"/>
        <v>0.55500000000000005</v>
      </c>
      <c r="O139" s="1355"/>
      <c r="P139" s="1317"/>
      <c r="Q139" s="1317"/>
      <c r="R139" s="1317"/>
      <c r="S139" s="1317"/>
      <c r="T139" s="1317"/>
      <c r="U139" s="1317"/>
    </row>
    <row r="140" spans="1:21">
      <c r="A140" s="1318">
        <v>16</v>
      </c>
      <c r="B140" s="158" t="s">
        <v>115</v>
      </c>
      <c r="C140" s="1340">
        <f t="shared" si="9"/>
        <v>7.0000000000000001E-3</v>
      </c>
      <c r="D140" s="1340">
        <f t="shared" si="7"/>
        <v>0.54500000000000004</v>
      </c>
      <c r="E140" s="1340">
        <f t="shared" si="7"/>
        <v>0.75800000000000001</v>
      </c>
      <c r="F140" s="1340">
        <f t="shared" si="7"/>
        <v>3.0000000000000001E-3</v>
      </c>
      <c r="G140" s="1340">
        <f t="shared" si="7"/>
        <v>0.55500000000000005</v>
      </c>
      <c r="H140" s="1341">
        <f t="shared" si="10"/>
        <v>7.0000000000000001E-3</v>
      </c>
      <c r="I140" s="1341">
        <f t="shared" si="11"/>
        <v>0.54500000000000004</v>
      </c>
      <c r="J140" s="1341">
        <f t="shared" si="12"/>
        <v>0.75800000000000001</v>
      </c>
      <c r="K140" s="1341">
        <f t="shared" si="13"/>
        <v>3.0000000000000001E-3</v>
      </c>
      <c r="L140" s="1341">
        <f t="shared" si="14"/>
        <v>0.55500000000000005</v>
      </c>
      <c r="O140" s="1355"/>
      <c r="P140" s="1317"/>
      <c r="Q140" s="1317"/>
      <c r="R140" s="1317"/>
      <c r="S140" s="1317"/>
      <c r="T140" s="1317"/>
      <c r="U140" s="1317"/>
    </row>
    <row r="141" spans="1:21">
      <c r="A141" s="1318">
        <v>17</v>
      </c>
      <c r="B141" s="158" t="s">
        <v>116</v>
      </c>
      <c r="C141" s="1342">
        <v>0</v>
      </c>
      <c r="D141" s="1342">
        <v>0</v>
      </c>
      <c r="E141" s="1342">
        <v>0</v>
      </c>
      <c r="F141" s="1342">
        <v>0</v>
      </c>
      <c r="G141" s="1342">
        <v>0</v>
      </c>
      <c r="H141" s="1342">
        <v>0</v>
      </c>
      <c r="I141" s="1342">
        <v>0</v>
      </c>
      <c r="J141" s="1342">
        <v>0</v>
      </c>
      <c r="K141" s="1342">
        <v>0</v>
      </c>
      <c r="L141" s="1342">
        <v>0</v>
      </c>
      <c r="O141" s="1355"/>
      <c r="P141" s="1317"/>
      <c r="Q141" s="1317"/>
      <c r="R141" s="1317"/>
      <c r="S141" s="1317"/>
      <c r="T141" s="1317"/>
      <c r="U141" s="1317"/>
    </row>
    <row r="142" spans="1:21">
      <c r="A142" s="1318">
        <v>18</v>
      </c>
      <c r="B142" s="158" t="s">
        <v>117</v>
      </c>
      <c r="C142" s="1342">
        <v>0</v>
      </c>
      <c r="D142" s="1342">
        <v>0</v>
      </c>
      <c r="E142" s="1342">
        <v>0</v>
      </c>
      <c r="F142" s="1342">
        <v>0</v>
      </c>
      <c r="G142" s="1342">
        <v>0</v>
      </c>
      <c r="H142" s="1342">
        <v>0</v>
      </c>
      <c r="I142" s="1342">
        <v>0</v>
      </c>
      <c r="J142" s="1342">
        <v>0</v>
      </c>
      <c r="K142" s="1342">
        <v>0</v>
      </c>
      <c r="L142" s="1342">
        <v>0</v>
      </c>
      <c r="O142" s="1355"/>
      <c r="P142" s="1317"/>
      <c r="Q142" s="1317"/>
      <c r="R142" s="1317"/>
      <c r="S142" s="1317"/>
      <c r="T142" s="1317"/>
      <c r="U142" s="1317"/>
    </row>
    <row r="143" spans="1:21">
      <c r="A143" s="1318">
        <v>19</v>
      </c>
      <c r="B143" s="158" t="s">
        <v>118</v>
      </c>
      <c r="C143" s="1338">
        <f t="shared" ref="C143:G144" si="15">$O$122*$O143</f>
        <v>3.8000000000000006E-2</v>
      </c>
      <c r="D143" s="1338">
        <f t="shared" si="15"/>
        <v>3.8000000000000006E-2</v>
      </c>
      <c r="E143" s="1338">
        <f t="shared" si="15"/>
        <v>3.8000000000000006E-2</v>
      </c>
      <c r="F143" s="1338">
        <f t="shared" si="15"/>
        <v>3.8000000000000006E-2</v>
      </c>
      <c r="G143" s="1338">
        <f t="shared" si="15"/>
        <v>3.8000000000000006E-2</v>
      </c>
      <c r="H143" s="1339">
        <f t="shared" ref="H143:L144" si="16">$Q$122*$O143*Q143</f>
        <v>3.8000000000000006E-2</v>
      </c>
      <c r="I143" s="1339">
        <f t="shared" si="16"/>
        <v>3.8000000000000006E-2</v>
      </c>
      <c r="J143" s="1339">
        <f t="shared" si="16"/>
        <v>3.8000000000000006E-2</v>
      </c>
      <c r="K143" s="1339">
        <f t="shared" si="16"/>
        <v>3.8000000000000006E-2</v>
      </c>
      <c r="L143" s="1339">
        <f t="shared" si="16"/>
        <v>3.8000000000000006E-2</v>
      </c>
      <c r="O143" s="1354">
        <v>0.38</v>
      </c>
      <c r="P143" s="1317"/>
      <c r="Q143" s="1337">
        <v>1</v>
      </c>
      <c r="R143" s="1337">
        <v>1</v>
      </c>
      <c r="S143" s="1337">
        <v>1</v>
      </c>
      <c r="T143" s="1337">
        <v>1</v>
      </c>
      <c r="U143" s="1337">
        <v>1</v>
      </c>
    </row>
    <row r="144" spans="1:21">
      <c r="A144" s="1318">
        <v>20</v>
      </c>
      <c r="B144" s="158" t="s">
        <v>119</v>
      </c>
      <c r="C144" s="1338">
        <f t="shared" si="15"/>
        <v>3.8000000000000006E-2</v>
      </c>
      <c r="D144" s="1338">
        <f t="shared" si="15"/>
        <v>3.8000000000000006E-2</v>
      </c>
      <c r="E144" s="1338">
        <f t="shared" si="15"/>
        <v>3.8000000000000006E-2</v>
      </c>
      <c r="F144" s="1338">
        <f t="shared" si="15"/>
        <v>3.8000000000000006E-2</v>
      </c>
      <c r="G144" s="1338">
        <f t="shared" si="15"/>
        <v>3.8000000000000006E-2</v>
      </c>
      <c r="H144" s="1339">
        <f t="shared" si="16"/>
        <v>3.8000000000000006E-2</v>
      </c>
      <c r="I144" s="1339">
        <f t="shared" si="16"/>
        <v>3.8000000000000006E-2</v>
      </c>
      <c r="J144" s="1339">
        <f t="shared" si="16"/>
        <v>3.8000000000000006E-2</v>
      </c>
      <c r="K144" s="1339">
        <f t="shared" si="16"/>
        <v>3.8000000000000006E-2</v>
      </c>
      <c r="L144" s="1339">
        <f t="shared" si="16"/>
        <v>3.8000000000000006E-2</v>
      </c>
      <c r="O144" s="1354">
        <v>0.38</v>
      </c>
      <c r="P144" s="1317"/>
      <c r="Q144" s="1337">
        <v>1</v>
      </c>
      <c r="R144" s="1337">
        <v>1</v>
      </c>
      <c r="S144" s="1337">
        <v>1</v>
      </c>
      <c r="T144" s="1337">
        <v>1</v>
      </c>
      <c r="U144" s="1337">
        <v>1</v>
      </c>
    </row>
    <row r="145" spans="1:21">
      <c r="O145" s="64"/>
    </row>
    <row r="146" spans="1:21">
      <c r="O146" s="64"/>
    </row>
    <row r="147" spans="1:21">
      <c r="A147" s="786" t="s">
        <v>1286</v>
      </c>
      <c r="B147" s="109"/>
      <c r="O147" s="64"/>
    </row>
    <row r="148" spans="1:21">
      <c r="A148" s="263"/>
      <c r="B148" s="261"/>
      <c r="C148" s="261"/>
      <c r="D148" s="261"/>
      <c r="E148" s="261"/>
      <c r="F148" s="261"/>
      <c r="G148" s="261"/>
      <c r="H148" s="261"/>
      <c r="I148" s="261"/>
      <c r="J148" s="261"/>
      <c r="K148" s="261"/>
      <c r="L148" s="484" t="s">
        <v>1280</v>
      </c>
      <c r="O148" s="64"/>
    </row>
    <row r="149" spans="1:21">
      <c r="A149" s="138">
        <v>1</v>
      </c>
      <c r="B149" s="138">
        <v>2</v>
      </c>
      <c r="C149" s="138">
        <v>3</v>
      </c>
      <c r="D149" s="138">
        <v>4</v>
      </c>
      <c r="E149" s="138">
        <v>5</v>
      </c>
      <c r="F149" s="138">
        <v>6</v>
      </c>
      <c r="G149" s="138">
        <v>7</v>
      </c>
      <c r="H149" s="138">
        <v>8</v>
      </c>
      <c r="I149" s="138">
        <v>9</v>
      </c>
      <c r="J149" s="138">
        <v>10</v>
      </c>
      <c r="K149" s="138">
        <v>11</v>
      </c>
      <c r="L149" s="138">
        <v>12</v>
      </c>
      <c r="O149" s="1356" t="s">
        <v>425</v>
      </c>
      <c r="P149" s="1352"/>
      <c r="Q149" s="1352"/>
      <c r="R149" s="1352"/>
      <c r="S149" s="1352"/>
      <c r="T149" s="1352"/>
      <c r="U149" s="1353"/>
    </row>
    <row r="150" spans="1:21">
      <c r="B150" s="99" t="s">
        <v>207</v>
      </c>
      <c r="C150" s="138">
        <v>1</v>
      </c>
      <c r="D150" s="138">
        <v>2</v>
      </c>
      <c r="E150" s="138">
        <v>3</v>
      </c>
      <c r="F150" s="138">
        <v>4</v>
      </c>
      <c r="G150" s="138">
        <v>5</v>
      </c>
      <c r="H150" s="138">
        <v>1</v>
      </c>
      <c r="I150" s="138">
        <v>2</v>
      </c>
      <c r="J150" s="138">
        <v>3</v>
      </c>
      <c r="K150" s="138">
        <v>4</v>
      </c>
      <c r="L150" s="138">
        <v>5</v>
      </c>
      <c r="O150" s="404" t="s">
        <v>1289</v>
      </c>
      <c r="Q150" s="404" t="s">
        <v>1289</v>
      </c>
    </row>
    <row r="151" spans="1:21">
      <c r="C151" s="1459" t="s">
        <v>425</v>
      </c>
      <c r="D151" s="1460"/>
      <c r="E151" s="1460"/>
      <c r="F151" s="1460"/>
      <c r="G151" s="1460"/>
      <c r="H151" s="1460"/>
      <c r="I151" s="1460"/>
      <c r="J151" s="1460"/>
      <c r="K151" s="1460"/>
      <c r="L151" s="1461"/>
      <c r="O151" s="1354">
        <v>0.25</v>
      </c>
      <c r="Q151" s="1336">
        <v>0.2</v>
      </c>
    </row>
    <row r="152" spans="1:21">
      <c r="C152" s="1459" t="s">
        <v>1273</v>
      </c>
      <c r="D152" s="1460"/>
      <c r="E152" s="1460"/>
      <c r="F152" s="1460"/>
      <c r="G152" s="1461"/>
      <c r="H152" s="1459" t="s">
        <v>1274</v>
      </c>
      <c r="I152" s="1460"/>
      <c r="J152" s="1460"/>
      <c r="K152" s="1460"/>
      <c r="L152" s="1461"/>
      <c r="O152" s="64"/>
    </row>
    <row r="153" spans="1:21">
      <c r="A153" s="1344" t="s">
        <v>1251</v>
      </c>
      <c r="B153" s="121" t="s">
        <v>168</v>
      </c>
      <c r="C153" s="816" t="s">
        <v>150</v>
      </c>
      <c r="D153" s="816" t="s">
        <v>271</v>
      </c>
      <c r="E153" s="816" t="s">
        <v>152</v>
      </c>
      <c r="F153" s="816" t="s">
        <v>203</v>
      </c>
      <c r="G153" s="816" t="s">
        <v>289</v>
      </c>
      <c r="H153" s="817" t="s">
        <v>150</v>
      </c>
      <c r="I153" s="817" t="s">
        <v>271</v>
      </c>
      <c r="J153" s="817" t="s">
        <v>152</v>
      </c>
      <c r="K153" s="817" t="s">
        <v>203</v>
      </c>
      <c r="L153" s="817" t="s">
        <v>289</v>
      </c>
      <c r="O153" s="404" t="s">
        <v>1288</v>
      </c>
      <c r="Q153" s="1346" t="s">
        <v>1290</v>
      </c>
      <c r="R153" s="1331"/>
      <c r="S153" s="1331"/>
      <c r="T153" s="1331"/>
      <c r="U153" s="1331"/>
    </row>
    <row r="154" spans="1:21">
      <c r="A154" s="1318">
        <v>1</v>
      </c>
      <c r="B154" s="158" t="s">
        <v>100</v>
      </c>
      <c r="C154" s="1338">
        <f t="shared" ref="C154:G157" si="17">$O$151*$O154</f>
        <v>0.21249999999999999</v>
      </c>
      <c r="D154" s="1338">
        <f t="shared" si="17"/>
        <v>0.21249999999999999</v>
      </c>
      <c r="E154" s="1338">
        <f t="shared" si="17"/>
        <v>0.21249999999999999</v>
      </c>
      <c r="F154" s="1338">
        <f t="shared" si="17"/>
        <v>0.21249999999999999</v>
      </c>
      <c r="G154" s="1338">
        <f t="shared" si="17"/>
        <v>0.21249999999999999</v>
      </c>
      <c r="H154" s="1339">
        <f t="shared" ref="H154:L157" si="18">$Q$151*$O154*Q154</f>
        <v>0.1482296204840951</v>
      </c>
      <c r="I154" s="1339">
        <f t="shared" si="18"/>
        <v>6.4568845694420049E-2</v>
      </c>
      <c r="J154" s="1339">
        <f t="shared" si="18"/>
        <v>2.1524300604892754E-2</v>
      </c>
      <c r="K154" s="1339">
        <f t="shared" si="18"/>
        <v>0</v>
      </c>
      <c r="L154" s="1339">
        <f t="shared" si="18"/>
        <v>0.11203554220988217</v>
      </c>
      <c r="O154" s="1354">
        <v>0.85</v>
      </c>
      <c r="P154" s="1317"/>
      <c r="Q154" s="1337">
        <v>0.87193894402408878</v>
      </c>
      <c r="R154" s="1337">
        <v>0.37981673937894145</v>
      </c>
      <c r="S154" s="1337">
        <v>0.12661353296995737</v>
      </c>
      <c r="T154" s="1337">
        <v>0</v>
      </c>
      <c r="U154" s="1337">
        <v>0.65903260123460095</v>
      </c>
    </row>
    <row r="155" spans="1:21">
      <c r="A155" s="1318">
        <v>2</v>
      </c>
      <c r="B155" s="158" t="s">
        <v>101</v>
      </c>
      <c r="C155" s="1338">
        <f t="shared" si="17"/>
        <v>0.17</v>
      </c>
      <c r="D155" s="1338">
        <f t="shared" si="17"/>
        <v>0.17</v>
      </c>
      <c r="E155" s="1338">
        <f t="shared" si="17"/>
        <v>0.17</v>
      </c>
      <c r="F155" s="1338">
        <f t="shared" si="17"/>
        <v>0.17</v>
      </c>
      <c r="G155" s="1338">
        <f t="shared" si="17"/>
        <v>0.17</v>
      </c>
      <c r="H155" s="1339">
        <f t="shared" si="18"/>
        <v>7.6504730982266136E-2</v>
      </c>
      <c r="I155" s="1339">
        <f t="shared" si="18"/>
        <v>3.9770921818924318E-2</v>
      </c>
      <c r="J155" s="1339">
        <f t="shared" si="18"/>
        <v>4.1655002023124929E-2</v>
      </c>
      <c r="K155" s="1339">
        <f t="shared" si="18"/>
        <v>6.8676794983553321E-2</v>
      </c>
      <c r="L155" s="1339">
        <f t="shared" si="18"/>
        <v>0.12956472221057191</v>
      </c>
      <c r="O155" s="1354">
        <v>0.68</v>
      </c>
      <c r="P155" s="1317"/>
      <c r="Q155" s="1337">
        <v>0.56253478663430978</v>
      </c>
      <c r="R155" s="1337">
        <v>0.29243324866856113</v>
      </c>
      <c r="S155" s="1337">
        <v>0.30628677958180095</v>
      </c>
      <c r="T155" s="1337">
        <v>0.50497643370259793</v>
      </c>
      <c r="U155" s="1337">
        <v>0.9526817809600876</v>
      </c>
    </row>
    <row r="156" spans="1:21">
      <c r="A156" s="1318">
        <v>3</v>
      </c>
      <c r="B156" s="158" t="s">
        <v>102</v>
      </c>
      <c r="C156" s="1338">
        <f t="shared" si="17"/>
        <v>8.7499999999999994E-2</v>
      </c>
      <c r="D156" s="1338">
        <f t="shared" si="17"/>
        <v>8.7499999999999994E-2</v>
      </c>
      <c r="E156" s="1338">
        <f t="shared" si="17"/>
        <v>8.7499999999999994E-2</v>
      </c>
      <c r="F156" s="1338">
        <f t="shared" si="17"/>
        <v>8.7499999999999994E-2</v>
      </c>
      <c r="G156" s="1338">
        <f t="shared" si="17"/>
        <v>8.7499999999999994E-2</v>
      </c>
      <c r="H156" s="1339">
        <f t="shared" si="18"/>
        <v>1.6435835065315402E-2</v>
      </c>
      <c r="I156" s="1339">
        <f t="shared" si="18"/>
        <v>0</v>
      </c>
      <c r="J156" s="1339">
        <f t="shared" si="18"/>
        <v>0</v>
      </c>
      <c r="K156" s="1339">
        <f t="shared" si="18"/>
        <v>1.8344474238383677E-3</v>
      </c>
      <c r="L156" s="1339">
        <f t="shared" si="18"/>
        <v>4.5030534446432569E-2</v>
      </c>
      <c r="O156" s="1354">
        <v>0.35</v>
      </c>
      <c r="P156" s="1317"/>
      <c r="Q156" s="1337">
        <v>0.23479764379022006</v>
      </c>
      <c r="R156" s="1337">
        <v>0</v>
      </c>
      <c r="S156" s="1337">
        <v>0</v>
      </c>
      <c r="T156" s="1337">
        <v>2.6206391769119541E-2</v>
      </c>
      <c r="U156" s="1337">
        <v>0.64329334923475101</v>
      </c>
    </row>
    <row r="157" spans="1:21">
      <c r="A157" s="1318">
        <v>4</v>
      </c>
      <c r="B157" s="158" t="s">
        <v>103</v>
      </c>
      <c r="C157" s="1338">
        <f t="shared" si="17"/>
        <v>0.05</v>
      </c>
      <c r="D157" s="1338">
        <f t="shared" si="17"/>
        <v>0.05</v>
      </c>
      <c r="E157" s="1338">
        <f t="shared" si="17"/>
        <v>0.05</v>
      </c>
      <c r="F157" s="1338">
        <f t="shared" si="17"/>
        <v>0.05</v>
      </c>
      <c r="G157" s="1338">
        <f t="shared" si="17"/>
        <v>0.05</v>
      </c>
      <c r="H157" s="1339">
        <f t="shared" si="18"/>
        <v>2.9136245886718481E-2</v>
      </c>
      <c r="I157" s="1339">
        <f t="shared" si="18"/>
        <v>2.9123941069833341E-2</v>
      </c>
      <c r="J157" s="1339">
        <f t="shared" si="18"/>
        <v>2.4631131154686785E-2</v>
      </c>
      <c r="K157" s="1339">
        <f t="shared" si="18"/>
        <v>1.9622081864085237E-2</v>
      </c>
      <c r="L157" s="1339">
        <f t="shared" si="18"/>
        <v>3.0876814529970858E-2</v>
      </c>
      <c r="O157" s="1354">
        <v>0.2</v>
      </c>
      <c r="P157" s="1317"/>
      <c r="Q157" s="1337">
        <v>0.72840614716796193</v>
      </c>
      <c r="R157" s="1337">
        <v>0.72809852674583342</v>
      </c>
      <c r="S157" s="1337">
        <v>0.61577827886716952</v>
      </c>
      <c r="T157" s="1337">
        <v>0.49055204660213081</v>
      </c>
      <c r="U157" s="1337">
        <v>0.77192036324927127</v>
      </c>
    </row>
    <row r="158" spans="1:21">
      <c r="A158" s="1318">
        <v>5</v>
      </c>
      <c r="B158" s="158" t="s">
        <v>104</v>
      </c>
      <c r="C158" s="1340">
        <f>C$249</f>
        <v>0.29299999999999998</v>
      </c>
      <c r="D158" s="1340">
        <f t="shared" ref="D158:G169" si="19">D$249</f>
        <v>0.255</v>
      </c>
      <c r="E158" s="1340">
        <f t="shared" si="19"/>
        <v>4.2000000000000003E-2</v>
      </c>
      <c r="F158" s="1340">
        <f t="shared" si="19"/>
        <v>0.29699999999999999</v>
      </c>
      <c r="G158" s="1340">
        <f t="shared" si="19"/>
        <v>0.245</v>
      </c>
      <c r="H158" s="1341">
        <f>C$260</f>
        <v>9.2999999999999999E-2</v>
      </c>
      <c r="I158" s="1341">
        <f t="shared" ref="I158:L158" si="20">D$260</f>
        <v>0.105</v>
      </c>
      <c r="J158" s="1341">
        <f t="shared" si="20"/>
        <v>0.14199999999999999</v>
      </c>
      <c r="K158" s="1341">
        <f t="shared" si="20"/>
        <v>9.7000000000000003E-2</v>
      </c>
      <c r="L158" s="1341">
        <f t="shared" si="20"/>
        <v>9.5000000000000001E-2</v>
      </c>
      <c r="O158" s="1355"/>
      <c r="P158" s="1317"/>
      <c r="Q158" s="1317"/>
      <c r="R158" s="1317"/>
      <c r="S158" s="1317"/>
      <c r="T158" s="1317"/>
      <c r="U158" s="1317"/>
    </row>
    <row r="159" spans="1:21">
      <c r="A159" s="1318">
        <v>6</v>
      </c>
      <c r="B159" s="158" t="s">
        <v>105</v>
      </c>
      <c r="C159" s="1340">
        <f t="shared" ref="C159:C169" si="21">C$249</f>
        <v>0.29299999999999998</v>
      </c>
      <c r="D159" s="1340">
        <f t="shared" si="19"/>
        <v>0.255</v>
      </c>
      <c r="E159" s="1340">
        <f t="shared" si="19"/>
        <v>4.2000000000000003E-2</v>
      </c>
      <c r="F159" s="1340">
        <f t="shared" si="19"/>
        <v>0.29699999999999999</v>
      </c>
      <c r="G159" s="1340">
        <f t="shared" si="19"/>
        <v>0.245</v>
      </c>
      <c r="H159" s="1341">
        <f t="shared" ref="H159:H169" si="22">C$260</f>
        <v>9.2999999999999999E-2</v>
      </c>
      <c r="I159" s="1341">
        <f t="shared" ref="I159:I169" si="23">D$260</f>
        <v>0.105</v>
      </c>
      <c r="J159" s="1341">
        <f t="shared" ref="J159:J169" si="24">E$260</f>
        <v>0.14199999999999999</v>
      </c>
      <c r="K159" s="1341">
        <f t="shared" ref="K159:K169" si="25">F$260</f>
        <v>9.7000000000000003E-2</v>
      </c>
      <c r="L159" s="1341">
        <f t="shared" ref="L159:L169" si="26">G$260</f>
        <v>9.5000000000000001E-2</v>
      </c>
      <c r="O159" s="1355"/>
      <c r="P159" s="1317"/>
      <c r="Q159" s="1317"/>
      <c r="R159" s="1317"/>
      <c r="S159" s="1317"/>
      <c r="T159" s="1317"/>
      <c r="U159" s="1317"/>
    </row>
    <row r="160" spans="1:21">
      <c r="A160" s="1318">
        <v>7</v>
      </c>
      <c r="B160" s="158" t="s">
        <v>106</v>
      </c>
      <c r="C160" s="1340">
        <f t="shared" si="21"/>
        <v>0.29299999999999998</v>
      </c>
      <c r="D160" s="1340">
        <f t="shared" si="19"/>
        <v>0.255</v>
      </c>
      <c r="E160" s="1340">
        <f t="shared" si="19"/>
        <v>4.2000000000000003E-2</v>
      </c>
      <c r="F160" s="1340">
        <f t="shared" si="19"/>
        <v>0.29699999999999999</v>
      </c>
      <c r="G160" s="1340">
        <f t="shared" si="19"/>
        <v>0.245</v>
      </c>
      <c r="H160" s="1341">
        <f t="shared" si="22"/>
        <v>9.2999999999999999E-2</v>
      </c>
      <c r="I160" s="1341">
        <f t="shared" si="23"/>
        <v>0.105</v>
      </c>
      <c r="J160" s="1341">
        <f t="shared" si="24"/>
        <v>0.14199999999999999</v>
      </c>
      <c r="K160" s="1341">
        <f t="shared" si="25"/>
        <v>9.7000000000000003E-2</v>
      </c>
      <c r="L160" s="1341">
        <f t="shared" si="26"/>
        <v>9.5000000000000001E-2</v>
      </c>
      <c r="O160" s="1355"/>
      <c r="P160" s="1317"/>
      <c r="Q160" s="1317"/>
      <c r="R160" s="1317"/>
      <c r="S160" s="1317"/>
      <c r="T160" s="1317"/>
      <c r="U160" s="1317"/>
    </row>
    <row r="161" spans="1:21">
      <c r="A161" s="1318">
        <v>8</v>
      </c>
      <c r="B161" s="158" t="s">
        <v>107</v>
      </c>
      <c r="C161" s="1340">
        <f t="shared" si="21"/>
        <v>0.29299999999999998</v>
      </c>
      <c r="D161" s="1340">
        <f t="shared" si="19"/>
        <v>0.255</v>
      </c>
      <c r="E161" s="1340">
        <f t="shared" si="19"/>
        <v>4.2000000000000003E-2</v>
      </c>
      <c r="F161" s="1340">
        <f t="shared" si="19"/>
        <v>0.29699999999999999</v>
      </c>
      <c r="G161" s="1340">
        <f t="shared" si="19"/>
        <v>0.245</v>
      </c>
      <c r="H161" s="1341">
        <f t="shared" si="22"/>
        <v>9.2999999999999999E-2</v>
      </c>
      <c r="I161" s="1341">
        <f t="shared" si="23"/>
        <v>0.105</v>
      </c>
      <c r="J161" s="1341">
        <f t="shared" si="24"/>
        <v>0.14199999999999999</v>
      </c>
      <c r="K161" s="1341">
        <f t="shared" si="25"/>
        <v>9.7000000000000003E-2</v>
      </c>
      <c r="L161" s="1341">
        <f t="shared" si="26"/>
        <v>9.5000000000000001E-2</v>
      </c>
      <c r="O161" s="1355"/>
      <c r="P161" s="1317"/>
      <c r="Q161" s="1317"/>
      <c r="R161" s="1317"/>
      <c r="S161" s="1317"/>
      <c r="T161" s="1317"/>
      <c r="U161" s="1317"/>
    </row>
    <row r="162" spans="1:21">
      <c r="A162" s="1318">
        <v>9</v>
      </c>
      <c r="B162" s="158" t="s">
        <v>108</v>
      </c>
      <c r="C162" s="1340">
        <f t="shared" si="21"/>
        <v>0.29299999999999998</v>
      </c>
      <c r="D162" s="1340">
        <f t="shared" si="19"/>
        <v>0.255</v>
      </c>
      <c r="E162" s="1340">
        <f t="shared" si="19"/>
        <v>4.2000000000000003E-2</v>
      </c>
      <c r="F162" s="1340">
        <f t="shared" si="19"/>
        <v>0.29699999999999999</v>
      </c>
      <c r="G162" s="1340">
        <f t="shared" si="19"/>
        <v>0.245</v>
      </c>
      <c r="H162" s="1341">
        <f t="shared" si="22"/>
        <v>9.2999999999999999E-2</v>
      </c>
      <c r="I162" s="1341">
        <f t="shared" si="23"/>
        <v>0.105</v>
      </c>
      <c r="J162" s="1341">
        <f t="shared" si="24"/>
        <v>0.14199999999999999</v>
      </c>
      <c r="K162" s="1341">
        <f t="shared" si="25"/>
        <v>9.7000000000000003E-2</v>
      </c>
      <c r="L162" s="1341">
        <f t="shared" si="26"/>
        <v>9.5000000000000001E-2</v>
      </c>
      <c r="O162" s="1355"/>
      <c r="P162" s="1317"/>
      <c r="Q162" s="1317"/>
      <c r="R162" s="1317"/>
      <c r="S162" s="1317"/>
      <c r="T162" s="1317"/>
      <c r="U162" s="1317"/>
    </row>
    <row r="163" spans="1:21">
      <c r="A163" s="1318">
        <v>10</v>
      </c>
      <c r="B163" s="158" t="s">
        <v>109</v>
      </c>
      <c r="C163" s="1340">
        <f t="shared" si="21"/>
        <v>0.29299999999999998</v>
      </c>
      <c r="D163" s="1340">
        <f t="shared" si="19"/>
        <v>0.255</v>
      </c>
      <c r="E163" s="1340">
        <f t="shared" si="19"/>
        <v>4.2000000000000003E-2</v>
      </c>
      <c r="F163" s="1340">
        <f t="shared" si="19"/>
        <v>0.29699999999999999</v>
      </c>
      <c r="G163" s="1340">
        <f t="shared" si="19"/>
        <v>0.245</v>
      </c>
      <c r="H163" s="1341">
        <f t="shared" si="22"/>
        <v>9.2999999999999999E-2</v>
      </c>
      <c r="I163" s="1341">
        <f t="shared" si="23"/>
        <v>0.105</v>
      </c>
      <c r="J163" s="1341">
        <f t="shared" si="24"/>
        <v>0.14199999999999999</v>
      </c>
      <c r="K163" s="1341">
        <f t="shared" si="25"/>
        <v>9.7000000000000003E-2</v>
      </c>
      <c r="L163" s="1341">
        <f t="shared" si="26"/>
        <v>9.5000000000000001E-2</v>
      </c>
      <c r="O163" s="1355"/>
      <c r="P163" s="1317"/>
      <c r="Q163" s="1317"/>
      <c r="R163" s="1317"/>
      <c r="S163" s="1317"/>
      <c r="T163" s="1317"/>
      <c r="U163" s="1317"/>
    </row>
    <row r="164" spans="1:21">
      <c r="A164" s="1318">
        <v>11</v>
      </c>
      <c r="B164" s="111" t="s">
        <v>110</v>
      </c>
      <c r="C164" s="1340">
        <f t="shared" si="21"/>
        <v>0.29299999999999998</v>
      </c>
      <c r="D164" s="1340">
        <f t="shared" si="19"/>
        <v>0.255</v>
      </c>
      <c r="E164" s="1340">
        <f t="shared" si="19"/>
        <v>4.2000000000000003E-2</v>
      </c>
      <c r="F164" s="1340">
        <f t="shared" si="19"/>
        <v>0.29699999999999999</v>
      </c>
      <c r="G164" s="1340">
        <f t="shared" si="19"/>
        <v>0.245</v>
      </c>
      <c r="H164" s="1341">
        <f t="shared" si="22"/>
        <v>9.2999999999999999E-2</v>
      </c>
      <c r="I164" s="1341">
        <f t="shared" si="23"/>
        <v>0.105</v>
      </c>
      <c r="J164" s="1341">
        <f t="shared" si="24"/>
        <v>0.14199999999999999</v>
      </c>
      <c r="K164" s="1341">
        <f t="shared" si="25"/>
        <v>9.7000000000000003E-2</v>
      </c>
      <c r="L164" s="1341">
        <f t="shared" si="26"/>
        <v>9.5000000000000001E-2</v>
      </c>
      <c r="O164" s="1355"/>
      <c r="P164" s="1317"/>
      <c r="Q164" s="1317"/>
      <c r="R164" s="1317"/>
      <c r="S164" s="1317"/>
      <c r="T164" s="1317"/>
      <c r="U164" s="1317"/>
    </row>
    <row r="165" spans="1:21">
      <c r="A165" s="1318">
        <v>12</v>
      </c>
      <c r="B165" s="111" t="s">
        <v>111</v>
      </c>
      <c r="C165" s="1340">
        <f t="shared" si="21"/>
        <v>0.29299999999999998</v>
      </c>
      <c r="D165" s="1340">
        <f t="shared" si="19"/>
        <v>0.255</v>
      </c>
      <c r="E165" s="1340">
        <f t="shared" si="19"/>
        <v>4.2000000000000003E-2</v>
      </c>
      <c r="F165" s="1340">
        <f t="shared" si="19"/>
        <v>0.29699999999999999</v>
      </c>
      <c r="G165" s="1340">
        <f t="shared" si="19"/>
        <v>0.245</v>
      </c>
      <c r="H165" s="1341">
        <f t="shared" si="22"/>
        <v>9.2999999999999999E-2</v>
      </c>
      <c r="I165" s="1341">
        <f t="shared" si="23"/>
        <v>0.105</v>
      </c>
      <c r="J165" s="1341">
        <f t="shared" si="24"/>
        <v>0.14199999999999999</v>
      </c>
      <c r="K165" s="1341">
        <f t="shared" si="25"/>
        <v>9.7000000000000003E-2</v>
      </c>
      <c r="L165" s="1341">
        <f t="shared" si="26"/>
        <v>9.5000000000000001E-2</v>
      </c>
      <c r="O165" s="1355"/>
      <c r="P165" s="1317"/>
      <c r="Q165" s="1317"/>
      <c r="R165" s="1317"/>
      <c r="S165" s="1317"/>
      <c r="T165" s="1317"/>
      <c r="U165" s="1317"/>
    </row>
    <row r="166" spans="1:21">
      <c r="A166" s="1318">
        <v>13</v>
      </c>
      <c r="B166" s="111" t="s">
        <v>112</v>
      </c>
      <c r="C166" s="1340">
        <f t="shared" si="21"/>
        <v>0.29299999999999998</v>
      </c>
      <c r="D166" s="1340">
        <f t="shared" si="19"/>
        <v>0.255</v>
      </c>
      <c r="E166" s="1340">
        <f t="shared" si="19"/>
        <v>4.2000000000000003E-2</v>
      </c>
      <c r="F166" s="1340">
        <f t="shared" si="19"/>
        <v>0.29699999999999999</v>
      </c>
      <c r="G166" s="1340">
        <f t="shared" si="19"/>
        <v>0.245</v>
      </c>
      <c r="H166" s="1341">
        <f t="shared" si="22"/>
        <v>9.2999999999999999E-2</v>
      </c>
      <c r="I166" s="1341">
        <f t="shared" si="23"/>
        <v>0.105</v>
      </c>
      <c r="J166" s="1341">
        <f t="shared" si="24"/>
        <v>0.14199999999999999</v>
      </c>
      <c r="K166" s="1341">
        <f t="shared" si="25"/>
        <v>9.7000000000000003E-2</v>
      </c>
      <c r="L166" s="1341">
        <f t="shared" si="26"/>
        <v>9.5000000000000001E-2</v>
      </c>
      <c r="O166" s="1355"/>
      <c r="P166" s="1317"/>
      <c r="Q166" s="1317"/>
      <c r="R166" s="1317"/>
      <c r="S166" s="1317"/>
      <c r="T166" s="1317"/>
      <c r="U166" s="1317"/>
    </row>
    <row r="167" spans="1:21">
      <c r="A167" s="1318">
        <v>14</v>
      </c>
      <c r="B167" s="158" t="s">
        <v>113</v>
      </c>
      <c r="C167" s="1340">
        <f t="shared" si="21"/>
        <v>0.29299999999999998</v>
      </c>
      <c r="D167" s="1340">
        <f t="shared" si="19"/>
        <v>0.255</v>
      </c>
      <c r="E167" s="1340">
        <f t="shared" si="19"/>
        <v>4.2000000000000003E-2</v>
      </c>
      <c r="F167" s="1340">
        <f t="shared" si="19"/>
        <v>0.29699999999999999</v>
      </c>
      <c r="G167" s="1340">
        <f t="shared" si="19"/>
        <v>0.245</v>
      </c>
      <c r="H167" s="1341">
        <f t="shared" si="22"/>
        <v>9.2999999999999999E-2</v>
      </c>
      <c r="I167" s="1341">
        <f t="shared" si="23"/>
        <v>0.105</v>
      </c>
      <c r="J167" s="1341">
        <f t="shared" si="24"/>
        <v>0.14199999999999999</v>
      </c>
      <c r="K167" s="1341">
        <f t="shared" si="25"/>
        <v>9.7000000000000003E-2</v>
      </c>
      <c r="L167" s="1341">
        <f t="shared" si="26"/>
        <v>9.5000000000000001E-2</v>
      </c>
      <c r="O167" s="1355"/>
      <c r="P167" s="1317"/>
      <c r="Q167" s="1317"/>
      <c r="R167" s="1317"/>
      <c r="S167" s="1317"/>
      <c r="T167" s="1317"/>
      <c r="U167" s="1317"/>
    </row>
    <row r="168" spans="1:21">
      <c r="A168" s="1318">
        <v>15</v>
      </c>
      <c r="B168" s="158" t="s">
        <v>114</v>
      </c>
      <c r="C168" s="1340">
        <f t="shared" si="21"/>
        <v>0.29299999999999998</v>
      </c>
      <c r="D168" s="1340">
        <f t="shared" si="19"/>
        <v>0.255</v>
      </c>
      <c r="E168" s="1340">
        <f t="shared" si="19"/>
        <v>4.2000000000000003E-2</v>
      </c>
      <c r="F168" s="1340">
        <f t="shared" si="19"/>
        <v>0.29699999999999999</v>
      </c>
      <c r="G168" s="1340">
        <f t="shared" si="19"/>
        <v>0.245</v>
      </c>
      <c r="H168" s="1341">
        <f t="shared" si="22"/>
        <v>9.2999999999999999E-2</v>
      </c>
      <c r="I168" s="1341">
        <f t="shared" si="23"/>
        <v>0.105</v>
      </c>
      <c r="J168" s="1341">
        <f t="shared" si="24"/>
        <v>0.14199999999999999</v>
      </c>
      <c r="K168" s="1341">
        <f t="shared" si="25"/>
        <v>9.7000000000000003E-2</v>
      </c>
      <c r="L168" s="1341">
        <f t="shared" si="26"/>
        <v>9.5000000000000001E-2</v>
      </c>
      <c r="O168" s="1355"/>
      <c r="P168" s="1317"/>
      <c r="Q168" s="1317"/>
      <c r="R168" s="1317"/>
      <c r="S168" s="1317"/>
      <c r="T168" s="1317"/>
      <c r="U168" s="1317"/>
    </row>
    <row r="169" spans="1:21">
      <c r="A169" s="1318">
        <v>16</v>
      </c>
      <c r="B169" s="158" t="s">
        <v>115</v>
      </c>
      <c r="C169" s="1340">
        <f t="shared" si="21"/>
        <v>0.29299999999999998</v>
      </c>
      <c r="D169" s="1340">
        <f t="shared" si="19"/>
        <v>0.255</v>
      </c>
      <c r="E169" s="1340">
        <f t="shared" si="19"/>
        <v>4.2000000000000003E-2</v>
      </c>
      <c r="F169" s="1340">
        <f t="shared" si="19"/>
        <v>0.29699999999999999</v>
      </c>
      <c r="G169" s="1340">
        <f t="shared" si="19"/>
        <v>0.245</v>
      </c>
      <c r="H169" s="1341">
        <f t="shared" si="22"/>
        <v>9.2999999999999999E-2</v>
      </c>
      <c r="I169" s="1341">
        <f t="shared" si="23"/>
        <v>0.105</v>
      </c>
      <c r="J169" s="1341">
        <f t="shared" si="24"/>
        <v>0.14199999999999999</v>
      </c>
      <c r="K169" s="1341">
        <f t="shared" si="25"/>
        <v>9.7000000000000003E-2</v>
      </c>
      <c r="L169" s="1341">
        <f t="shared" si="26"/>
        <v>9.5000000000000001E-2</v>
      </c>
      <c r="O169" s="1355"/>
      <c r="P169" s="1317"/>
      <c r="Q169" s="1317"/>
      <c r="R169" s="1317"/>
      <c r="S169" s="1317"/>
      <c r="T169" s="1317"/>
      <c r="U169" s="1317"/>
    </row>
    <row r="170" spans="1:21">
      <c r="A170" s="1318">
        <v>17</v>
      </c>
      <c r="B170" s="158" t="s">
        <v>116</v>
      </c>
      <c r="C170" s="1342">
        <v>0</v>
      </c>
      <c r="D170" s="1342">
        <v>0</v>
      </c>
      <c r="E170" s="1342">
        <v>0</v>
      </c>
      <c r="F170" s="1342">
        <v>0</v>
      </c>
      <c r="G170" s="1342">
        <v>0</v>
      </c>
      <c r="H170" s="1342">
        <v>0</v>
      </c>
      <c r="I170" s="1342">
        <v>0</v>
      </c>
      <c r="J170" s="1342">
        <v>0</v>
      </c>
      <c r="K170" s="1342">
        <v>0</v>
      </c>
      <c r="L170" s="1342">
        <v>0</v>
      </c>
      <c r="O170" s="1355"/>
      <c r="P170" s="1317"/>
      <c r="Q170" s="1317"/>
      <c r="R170" s="1317"/>
      <c r="S170" s="1317"/>
      <c r="T170" s="1317"/>
      <c r="U170" s="1317"/>
    </row>
    <row r="171" spans="1:21">
      <c r="A171" s="1318">
        <v>18</v>
      </c>
      <c r="B171" s="158" t="s">
        <v>117</v>
      </c>
      <c r="C171" s="1342">
        <v>0</v>
      </c>
      <c r="D171" s="1342">
        <v>0</v>
      </c>
      <c r="E171" s="1342">
        <v>0</v>
      </c>
      <c r="F171" s="1342">
        <v>0</v>
      </c>
      <c r="G171" s="1342">
        <v>0</v>
      </c>
      <c r="H171" s="1342">
        <v>0</v>
      </c>
      <c r="I171" s="1342">
        <v>0</v>
      </c>
      <c r="J171" s="1342">
        <v>0</v>
      </c>
      <c r="K171" s="1342">
        <v>0</v>
      </c>
      <c r="L171" s="1342">
        <v>0</v>
      </c>
      <c r="O171" s="1355"/>
      <c r="P171" s="1317"/>
      <c r="Q171" s="1317"/>
      <c r="R171" s="1317"/>
      <c r="S171" s="1317"/>
      <c r="T171" s="1317"/>
      <c r="U171" s="1317"/>
    </row>
    <row r="172" spans="1:21">
      <c r="A172" s="1318">
        <v>19</v>
      </c>
      <c r="B172" s="158" t="s">
        <v>118</v>
      </c>
      <c r="C172" s="1338">
        <f t="shared" ref="C172:G173" si="27">$O$151*$O172</f>
        <v>9.5000000000000001E-2</v>
      </c>
      <c r="D172" s="1338">
        <f t="shared" si="27"/>
        <v>9.5000000000000001E-2</v>
      </c>
      <c r="E172" s="1338">
        <f t="shared" si="27"/>
        <v>9.5000000000000001E-2</v>
      </c>
      <c r="F172" s="1338">
        <f t="shared" si="27"/>
        <v>9.5000000000000001E-2</v>
      </c>
      <c r="G172" s="1338">
        <f t="shared" si="27"/>
        <v>9.5000000000000001E-2</v>
      </c>
      <c r="H172" s="1339">
        <f t="shared" ref="H172:L173" si="28">$Q$151*$O172*Q172</f>
        <v>7.6000000000000012E-2</v>
      </c>
      <c r="I172" s="1339">
        <f t="shared" si="28"/>
        <v>7.6000000000000012E-2</v>
      </c>
      <c r="J172" s="1339">
        <f t="shared" si="28"/>
        <v>7.6000000000000012E-2</v>
      </c>
      <c r="K172" s="1339">
        <f t="shared" si="28"/>
        <v>7.6000000000000012E-2</v>
      </c>
      <c r="L172" s="1339">
        <f t="shared" si="28"/>
        <v>7.6000000000000012E-2</v>
      </c>
      <c r="O172" s="1354">
        <v>0.38</v>
      </c>
      <c r="P172" s="1317"/>
      <c r="Q172" s="1337">
        <v>1</v>
      </c>
      <c r="R172" s="1337">
        <v>1</v>
      </c>
      <c r="S172" s="1337">
        <v>1</v>
      </c>
      <c r="T172" s="1337">
        <v>1</v>
      </c>
      <c r="U172" s="1337">
        <v>1</v>
      </c>
    </row>
    <row r="173" spans="1:21">
      <c r="A173" s="1318">
        <v>20</v>
      </c>
      <c r="B173" s="158" t="s">
        <v>119</v>
      </c>
      <c r="C173" s="1338">
        <f t="shared" si="27"/>
        <v>9.5000000000000001E-2</v>
      </c>
      <c r="D173" s="1338">
        <f t="shared" si="27"/>
        <v>9.5000000000000001E-2</v>
      </c>
      <c r="E173" s="1338">
        <f t="shared" si="27"/>
        <v>9.5000000000000001E-2</v>
      </c>
      <c r="F173" s="1338">
        <f t="shared" si="27"/>
        <v>9.5000000000000001E-2</v>
      </c>
      <c r="G173" s="1338">
        <f t="shared" si="27"/>
        <v>9.5000000000000001E-2</v>
      </c>
      <c r="H173" s="1339">
        <f t="shared" si="28"/>
        <v>7.6000000000000012E-2</v>
      </c>
      <c r="I173" s="1339">
        <f t="shared" si="28"/>
        <v>7.6000000000000012E-2</v>
      </c>
      <c r="J173" s="1339">
        <f t="shared" si="28"/>
        <v>7.6000000000000012E-2</v>
      </c>
      <c r="K173" s="1339">
        <f t="shared" si="28"/>
        <v>7.6000000000000012E-2</v>
      </c>
      <c r="L173" s="1339">
        <f t="shared" si="28"/>
        <v>7.6000000000000012E-2</v>
      </c>
      <c r="O173" s="1354">
        <v>0.38</v>
      </c>
      <c r="P173" s="1317"/>
      <c r="Q173" s="1337">
        <v>1</v>
      </c>
      <c r="R173" s="1337">
        <v>1</v>
      </c>
      <c r="S173" s="1337">
        <v>1</v>
      </c>
      <c r="T173" s="1337">
        <v>1</v>
      </c>
      <c r="U173" s="1337">
        <v>1</v>
      </c>
    </row>
    <row r="174" spans="1:21">
      <c r="O174" s="64"/>
    </row>
    <row r="175" spans="1:21">
      <c r="O175" s="64"/>
    </row>
    <row r="176" spans="1:21">
      <c r="A176" s="786" t="s">
        <v>1287</v>
      </c>
      <c r="B176" s="109"/>
      <c r="O176" s="64"/>
    </row>
    <row r="177" spans="1:21">
      <c r="A177" s="263"/>
      <c r="B177" s="261"/>
      <c r="C177" s="261"/>
      <c r="D177" s="261"/>
      <c r="E177" s="261"/>
      <c r="F177" s="261"/>
      <c r="G177" s="261"/>
      <c r="H177" s="261"/>
      <c r="I177" s="261"/>
      <c r="J177" s="261"/>
      <c r="K177" s="261"/>
      <c r="L177" s="484" t="s">
        <v>1281</v>
      </c>
      <c r="O177" s="64"/>
    </row>
    <row r="178" spans="1:21">
      <c r="A178" s="138">
        <v>1</v>
      </c>
      <c r="B178" s="138">
        <v>2</v>
      </c>
      <c r="C178" s="138">
        <v>3</v>
      </c>
      <c r="D178" s="138">
        <v>4</v>
      </c>
      <c r="E178" s="138">
        <v>5</v>
      </c>
      <c r="F178" s="138">
        <v>6</v>
      </c>
      <c r="G178" s="138">
        <v>7</v>
      </c>
      <c r="H178" s="138">
        <v>8</v>
      </c>
      <c r="I178" s="138">
        <v>9</v>
      </c>
      <c r="J178" s="138">
        <v>10</v>
      </c>
      <c r="K178" s="138">
        <v>11</v>
      </c>
      <c r="L178" s="138">
        <v>12</v>
      </c>
      <c r="O178" s="1356" t="s">
        <v>1094</v>
      </c>
      <c r="P178" s="1352"/>
      <c r="Q178" s="1352"/>
      <c r="R178" s="1352"/>
      <c r="S178" s="1352"/>
      <c r="T178" s="1352"/>
      <c r="U178" s="1353"/>
    </row>
    <row r="179" spans="1:21">
      <c r="B179" s="99" t="s">
        <v>207</v>
      </c>
      <c r="C179" s="138">
        <v>1</v>
      </c>
      <c r="D179" s="138">
        <v>2</v>
      </c>
      <c r="E179" s="138">
        <v>3</v>
      </c>
      <c r="F179" s="138">
        <v>4</v>
      </c>
      <c r="G179" s="138">
        <v>5</v>
      </c>
      <c r="H179" s="138">
        <v>1</v>
      </c>
      <c r="I179" s="138">
        <v>2</v>
      </c>
      <c r="J179" s="138">
        <v>3</v>
      </c>
      <c r="K179" s="138">
        <v>4</v>
      </c>
      <c r="L179" s="138">
        <v>5</v>
      </c>
      <c r="O179" s="404" t="s">
        <v>1289</v>
      </c>
      <c r="Q179" s="404" t="s">
        <v>1289</v>
      </c>
    </row>
    <row r="180" spans="1:21">
      <c r="C180" s="1459" t="s">
        <v>1094</v>
      </c>
      <c r="D180" s="1460"/>
      <c r="E180" s="1460"/>
      <c r="F180" s="1460"/>
      <c r="G180" s="1460"/>
      <c r="H180" s="1460"/>
      <c r="I180" s="1460"/>
      <c r="J180" s="1460"/>
      <c r="K180" s="1460"/>
      <c r="L180" s="1461"/>
      <c r="O180" s="1354">
        <v>0.65</v>
      </c>
      <c r="P180" s="1317"/>
      <c r="Q180" s="1336">
        <v>0.7</v>
      </c>
    </row>
    <row r="181" spans="1:21">
      <c r="C181" s="1459" t="s">
        <v>1273</v>
      </c>
      <c r="D181" s="1460"/>
      <c r="E181" s="1460"/>
      <c r="F181" s="1460"/>
      <c r="G181" s="1461"/>
      <c r="H181" s="1459" t="s">
        <v>1274</v>
      </c>
      <c r="I181" s="1460"/>
      <c r="J181" s="1460"/>
      <c r="K181" s="1460"/>
      <c r="L181" s="1461"/>
      <c r="O181" s="64"/>
    </row>
    <row r="182" spans="1:21">
      <c r="A182" s="1344" t="s">
        <v>1251</v>
      </c>
      <c r="B182" s="121" t="s">
        <v>168</v>
      </c>
      <c r="C182" s="816" t="s">
        <v>150</v>
      </c>
      <c r="D182" s="816" t="s">
        <v>271</v>
      </c>
      <c r="E182" s="816" t="s">
        <v>152</v>
      </c>
      <c r="F182" s="816" t="s">
        <v>203</v>
      </c>
      <c r="G182" s="816" t="s">
        <v>289</v>
      </c>
      <c r="H182" s="817" t="s">
        <v>150</v>
      </c>
      <c r="I182" s="817" t="s">
        <v>271</v>
      </c>
      <c r="J182" s="817" t="s">
        <v>152</v>
      </c>
      <c r="K182" s="817" t="s">
        <v>203</v>
      </c>
      <c r="L182" s="817" t="s">
        <v>289</v>
      </c>
      <c r="O182" s="404" t="s">
        <v>1288</v>
      </c>
      <c r="Q182" s="1346" t="s">
        <v>1290</v>
      </c>
      <c r="R182" s="1331"/>
      <c r="S182" s="1331"/>
      <c r="T182" s="1331"/>
      <c r="U182" s="1331"/>
    </row>
    <row r="183" spans="1:21">
      <c r="A183" s="1318">
        <v>1</v>
      </c>
      <c r="B183" s="158" t="s">
        <v>100</v>
      </c>
      <c r="C183" s="1338">
        <f t="shared" ref="C183:G186" si="29">$O$180*$O183</f>
        <v>0.55249999999999999</v>
      </c>
      <c r="D183" s="1338">
        <f t="shared" si="29"/>
        <v>0.55249999999999999</v>
      </c>
      <c r="E183" s="1338">
        <f t="shared" si="29"/>
        <v>0.55249999999999999</v>
      </c>
      <c r="F183" s="1338">
        <f t="shared" si="29"/>
        <v>0.55249999999999999</v>
      </c>
      <c r="G183" s="1338">
        <f t="shared" si="29"/>
        <v>0.55249999999999999</v>
      </c>
      <c r="H183" s="1339">
        <f t="shared" ref="H183:L186" si="30">$Q$180*$O183*Q183</f>
        <v>0.51880367169433284</v>
      </c>
      <c r="I183" s="1339">
        <f t="shared" si="30"/>
        <v>0.22599095993047016</v>
      </c>
      <c r="J183" s="1339">
        <f t="shared" si="30"/>
        <v>7.5335052117124629E-2</v>
      </c>
      <c r="K183" s="1339">
        <f t="shared" si="30"/>
        <v>0</v>
      </c>
      <c r="L183" s="1339">
        <f t="shared" si="30"/>
        <v>0.39212439773458757</v>
      </c>
      <c r="O183" s="1354">
        <v>0.85</v>
      </c>
      <c r="P183" s="1317"/>
      <c r="Q183" s="1337">
        <v>0.87193894402408878</v>
      </c>
      <c r="R183" s="1337">
        <v>0.37981673937894145</v>
      </c>
      <c r="S183" s="1337">
        <v>0.12661353296995737</v>
      </c>
      <c r="T183" s="1337">
        <v>0</v>
      </c>
      <c r="U183" s="1337">
        <v>0.65903260123460095</v>
      </c>
    </row>
    <row r="184" spans="1:21">
      <c r="A184" s="1318">
        <v>2</v>
      </c>
      <c r="B184" s="158" t="s">
        <v>101</v>
      </c>
      <c r="C184" s="1338">
        <f t="shared" si="29"/>
        <v>0.44200000000000006</v>
      </c>
      <c r="D184" s="1338">
        <f t="shared" si="29"/>
        <v>0.44200000000000006</v>
      </c>
      <c r="E184" s="1338">
        <f t="shared" si="29"/>
        <v>0.44200000000000006</v>
      </c>
      <c r="F184" s="1338">
        <f t="shared" si="29"/>
        <v>0.44200000000000006</v>
      </c>
      <c r="G184" s="1338">
        <f t="shared" si="29"/>
        <v>0.44200000000000006</v>
      </c>
      <c r="H184" s="1339">
        <f t="shared" si="30"/>
        <v>0.26776655843793146</v>
      </c>
      <c r="I184" s="1339">
        <f t="shared" si="30"/>
        <v>0.13919822636623508</v>
      </c>
      <c r="J184" s="1339">
        <f t="shared" si="30"/>
        <v>0.14579250708093724</v>
      </c>
      <c r="K184" s="1339">
        <f t="shared" si="30"/>
        <v>0.24036878244243659</v>
      </c>
      <c r="L184" s="1339">
        <f t="shared" si="30"/>
        <v>0.4534765277370017</v>
      </c>
      <c r="O184" s="1354">
        <v>0.68</v>
      </c>
      <c r="P184" s="1317"/>
      <c r="Q184" s="1337">
        <v>0.56253478663430978</v>
      </c>
      <c r="R184" s="1337">
        <v>0.29243324866856113</v>
      </c>
      <c r="S184" s="1337">
        <v>0.30628677958180095</v>
      </c>
      <c r="T184" s="1337">
        <v>0.50497643370259793</v>
      </c>
      <c r="U184" s="1337">
        <v>0.9526817809600876</v>
      </c>
    </row>
    <row r="185" spans="1:21">
      <c r="A185" s="1318">
        <v>3</v>
      </c>
      <c r="B185" s="158" t="s">
        <v>102</v>
      </c>
      <c r="C185" s="1338">
        <f t="shared" si="29"/>
        <v>0.22749999999999998</v>
      </c>
      <c r="D185" s="1338">
        <f t="shared" si="29"/>
        <v>0.22749999999999998</v>
      </c>
      <c r="E185" s="1338">
        <f t="shared" si="29"/>
        <v>0.22749999999999998</v>
      </c>
      <c r="F185" s="1338">
        <f t="shared" si="29"/>
        <v>0.22749999999999998</v>
      </c>
      <c r="G185" s="1338">
        <f t="shared" si="29"/>
        <v>0.22749999999999998</v>
      </c>
      <c r="H185" s="1339">
        <f t="shared" si="30"/>
        <v>5.7525422728603906E-2</v>
      </c>
      <c r="I185" s="1339">
        <f t="shared" si="30"/>
        <v>0</v>
      </c>
      <c r="J185" s="1339">
        <f t="shared" si="30"/>
        <v>0</v>
      </c>
      <c r="K185" s="1339">
        <f t="shared" si="30"/>
        <v>6.4205659834342867E-3</v>
      </c>
      <c r="L185" s="1339">
        <f t="shared" si="30"/>
        <v>0.15760687056251399</v>
      </c>
      <c r="O185" s="1354">
        <v>0.35</v>
      </c>
      <c r="P185" s="1317"/>
      <c r="Q185" s="1337">
        <v>0.23479764379022006</v>
      </c>
      <c r="R185" s="1337">
        <v>0</v>
      </c>
      <c r="S185" s="1337">
        <v>0</v>
      </c>
      <c r="T185" s="1337">
        <v>2.6206391769119541E-2</v>
      </c>
      <c r="U185" s="1337">
        <v>0.64329334923475101</v>
      </c>
    </row>
    <row r="186" spans="1:21">
      <c r="A186" s="1318">
        <v>4</v>
      </c>
      <c r="B186" s="158" t="s">
        <v>103</v>
      </c>
      <c r="C186" s="1338">
        <f t="shared" si="29"/>
        <v>0.13</v>
      </c>
      <c r="D186" s="1338">
        <f t="shared" si="29"/>
        <v>0.13</v>
      </c>
      <c r="E186" s="1338">
        <f t="shared" si="29"/>
        <v>0.13</v>
      </c>
      <c r="F186" s="1338">
        <f t="shared" si="29"/>
        <v>0.13</v>
      </c>
      <c r="G186" s="1338">
        <f t="shared" si="29"/>
        <v>0.13</v>
      </c>
      <c r="H186" s="1339">
        <f t="shared" si="30"/>
        <v>0.10197686060351466</v>
      </c>
      <c r="I186" s="1339">
        <f t="shared" si="30"/>
        <v>0.10193379374441666</v>
      </c>
      <c r="J186" s="1339">
        <f t="shared" si="30"/>
        <v>8.6208959041403729E-2</v>
      </c>
      <c r="K186" s="1339">
        <f t="shared" si="30"/>
        <v>6.8677286524298303E-2</v>
      </c>
      <c r="L186" s="1339">
        <f t="shared" si="30"/>
        <v>0.10806885085489797</v>
      </c>
      <c r="O186" s="1354">
        <v>0.2</v>
      </c>
      <c r="P186" s="1317"/>
      <c r="Q186" s="1337">
        <v>0.72840614716796193</v>
      </c>
      <c r="R186" s="1337">
        <v>0.72809852674583342</v>
      </c>
      <c r="S186" s="1337">
        <v>0.61577827886716952</v>
      </c>
      <c r="T186" s="1337">
        <v>0.49055204660213081</v>
      </c>
      <c r="U186" s="1337">
        <v>0.77192036324927127</v>
      </c>
    </row>
    <row r="187" spans="1:21">
      <c r="A187" s="1318">
        <v>5</v>
      </c>
      <c r="B187" s="158" t="s">
        <v>104</v>
      </c>
      <c r="C187" s="1340">
        <f>C$250</f>
        <v>0.7</v>
      </c>
      <c r="D187" s="1340">
        <f t="shared" ref="D187:G198" si="31">D$250</f>
        <v>0.2</v>
      </c>
      <c r="E187" s="1340">
        <f t="shared" si="31"/>
        <v>0.2</v>
      </c>
      <c r="F187" s="1340">
        <f t="shared" si="31"/>
        <v>0.7</v>
      </c>
      <c r="G187" s="1340">
        <f t="shared" si="31"/>
        <v>0.2</v>
      </c>
      <c r="H187" s="1341">
        <f>C$261</f>
        <v>0</v>
      </c>
      <c r="I187" s="1341">
        <f t="shared" ref="I187:L187" si="32">D$261</f>
        <v>0</v>
      </c>
      <c r="J187" s="1341">
        <f t="shared" si="32"/>
        <v>0</v>
      </c>
      <c r="K187" s="1341">
        <f t="shared" si="32"/>
        <v>0</v>
      </c>
      <c r="L187" s="1341">
        <f t="shared" si="32"/>
        <v>0</v>
      </c>
      <c r="O187" s="1355"/>
      <c r="P187" s="1317"/>
      <c r="Q187" s="1317"/>
      <c r="R187" s="1317"/>
      <c r="S187" s="1317"/>
      <c r="T187" s="1317"/>
      <c r="U187" s="1317"/>
    </row>
    <row r="188" spans="1:21">
      <c r="A188" s="1318">
        <v>6</v>
      </c>
      <c r="B188" s="158" t="s">
        <v>105</v>
      </c>
      <c r="C188" s="1340">
        <f t="shared" ref="C188:C198" si="33">C$250</f>
        <v>0.7</v>
      </c>
      <c r="D188" s="1340">
        <f t="shared" si="31"/>
        <v>0.2</v>
      </c>
      <c r="E188" s="1340">
        <f t="shared" si="31"/>
        <v>0.2</v>
      </c>
      <c r="F188" s="1340">
        <f t="shared" si="31"/>
        <v>0.7</v>
      </c>
      <c r="G188" s="1340">
        <f t="shared" si="31"/>
        <v>0.2</v>
      </c>
      <c r="H188" s="1341">
        <f t="shared" ref="H188:H198" si="34">C$261</f>
        <v>0</v>
      </c>
      <c r="I188" s="1341">
        <f t="shared" ref="I188:I198" si="35">D$261</f>
        <v>0</v>
      </c>
      <c r="J188" s="1341">
        <f t="shared" ref="J188:J198" si="36">E$261</f>
        <v>0</v>
      </c>
      <c r="K188" s="1341">
        <f t="shared" ref="K188:K198" si="37">F$261</f>
        <v>0</v>
      </c>
      <c r="L188" s="1341">
        <f t="shared" ref="L188:L198" si="38">G$261</f>
        <v>0</v>
      </c>
      <c r="O188" s="1355"/>
      <c r="P188" s="1317"/>
      <c r="Q188" s="1317"/>
      <c r="R188" s="1317"/>
      <c r="S188" s="1317"/>
      <c r="T188" s="1317"/>
      <c r="U188" s="1317"/>
    </row>
    <row r="189" spans="1:21">
      <c r="A189" s="1318">
        <v>7</v>
      </c>
      <c r="B189" s="158" t="s">
        <v>106</v>
      </c>
      <c r="C189" s="1340">
        <f t="shared" si="33"/>
        <v>0.7</v>
      </c>
      <c r="D189" s="1340">
        <f t="shared" si="31"/>
        <v>0.2</v>
      </c>
      <c r="E189" s="1340">
        <f t="shared" si="31"/>
        <v>0.2</v>
      </c>
      <c r="F189" s="1340">
        <f t="shared" si="31"/>
        <v>0.7</v>
      </c>
      <c r="G189" s="1340">
        <f t="shared" si="31"/>
        <v>0.2</v>
      </c>
      <c r="H189" s="1341">
        <f t="shared" si="34"/>
        <v>0</v>
      </c>
      <c r="I189" s="1341">
        <f t="shared" si="35"/>
        <v>0</v>
      </c>
      <c r="J189" s="1341">
        <f t="shared" si="36"/>
        <v>0</v>
      </c>
      <c r="K189" s="1341">
        <f t="shared" si="37"/>
        <v>0</v>
      </c>
      <c r="L189" s="1341">
        <f t="shared" si="38"/>
        <v>0</v>
      </c>
      <c r="O189" s="1355"/>
      <c r="P189" s="1317"/>
      <c r="Q189" s="1317"/>
      <c r="R189" s="1317"/>
      <c r="S189" s="1317"/>
      <c r="T189" s="1317"/>
      <c r="U189" s="1317"/>
    </row>
    <row r="190" spans="1:21">
      <c r="A190" s="1318">
        <v>8</v>
      </c>
      <c r="B190" s="158" t="s">
        <v>107</v>
      </c>
      <c r="C190" s="1340">
        <f t="shared" si="33"/>
        <v>0.7</v>
      </c>
      <c r="D190" s="1340">
        <f t="shared" si="31"/>
        <v>0.2</v>
      </c>
      <c r="E190" s="1340">
        <f t="shared" si="31"/>
        <v>0.2</v>
      </c>
      <c r="F190" s="1340">
        <f t="shared" si="31"/>
        <v>0.7</v>
      </c>
      <c r="G190" s="1340">
        <f t="shared" si="31"/>
        <v>0.2</v>
      </c>
      <c r="H190" s="1341">
        <f t="shared" si="34"/>
        <v>0</v>
      </c>
      <c r="I190" s="1341">
        <f t="shared" si="35"/>
        <v>0</v>
      </c>
      <c r="J190" s="1341">
        <f t="shared" si="36"/>
        <v>0</v>
      </c>
      <c r="K190" s="1341">
        <f t="shared" si="37"/>
        <v>0</v>
      </c>
      <c r="L190" s="1341">
        <f t="shared" si="38"/>
        <v>0</v>
      </c>
      <c r="O190" s="1355"/>
      <c r="P190" s="1317"/>
      <c r="Q190" s="1317"/>
      <c r="R190" s="1317"/>
      <c r="S190" s="1317"/>
      <c r="T190" s="1317"/>
      <c r="U190" s="1317"/>
    </row>
    <row r="191" spans="1:21">
      <c r="A191" s="1318">
        <v>9</v>
      </c>
      <c r="B191" s="158" t="s">
        <v>108</v>
      </c>
      <c r="C191" s="1340">
        <f t="shared" si="33"/>
        <v>0.7</v>
      </c>
      <c r="D191" s="1340">
        <f t="shared" si="31"/>
        <v>0.2</v>
      </c>
      <c r="E191" s="1340">
        <f t="shared" si="31"/>
        <v>0.2</v>
      </c>
      <c r="F191" s="1340">
        <f t="shared" si="31"/>
        <v>0.7</v>
      </c>
      <c r="G191" s="1340">
        <f t="shared" si="31"/>
        <v>0.2</v>
      </c>
      <c r="H191" s="1341">
        <f t="shared" si="34"/>
        <v>0</v>
      </c>
      <c r="I191" s="1341">
        <f t="shared" si="35"/>
        <v>0</v>
      </c>
      <c r="J191" s="1341">
        <f t="shared" si="36"/>
        <v>0</v>
      </c>
      <c r="K191" s="1341">
        <f t="shared" si="37"/>
        <v>0</v>
      </c>
      <c r="L191" s="1341">
        <f t="shared" si="38"/>
        <v>0</v>
      </c>
      <c r="O191" s="1355"/>
      <c r="P191" s="1317"/>
      <c r="Q191" s="1317"/>
      <c r="R191" s="1317"/>
      <c r="S191" s="1317"/>
      <c r="T191" s="1317"/>
      <c r="U191" s="1317"/>
    </row>
    <row r="192" spans="1:21">
      <c r="A192" s="1318">
        <v>10</v>
      </c>
      <c r="B192" s="158" t="s">
        <v>109</v>
      </c>
      <c r="C192" s="1340">
        <f t="shared" si="33"/>
        <v>0.7</v>
      </c>
      <c r="D192" s="1340">
        <f t="shared" si="31"/>
        <v>0.2</v>
      </c>
      <c r="E192" s="1340">
        <f t="shared" si="31"/>
        <v>0.2</v>
      </c>
      <c r="F192" s="1340">
        <f t="shared" si="31"/>
        <v>0.7</v>
      </c>
      <c r="G192" s="1340">
        <f t="shared" si="31"/>
        <v>0.2</v>
      </c>
      <c r="H192" s="1341">
        <f t="shared" si="34"/>
        <v>0</v>
      </c>
      <c r="I192" s="1341">
        <f t="shared" si="35"/>
        <v>0</v>
      </c>
      <c r="J192" s="1341">
        <f t="shared" si="36"/>
        <v>0</v>
      </c>
      <c r="K192" s="1341">
        <f t="shared" si="37"/>
        <v>0</v>
      </c>
      <c r="L192" s="1341">
        <f t="shared" si="38"/>
        <v>0</v>
      </c>
      <c r="O192" s="1355"/>
      <c r="P192" s="1317"/>
      <c r="Q192" s="1317"/>
      <c r="R192" s="1317"/>
      <c r="S192" s="1317"/>
      <c r="T192" s="1317"/>
      <c r="U192" s="1317"/>
    </row>
    <row r="193" spans="1:21">
      <c r="A193" s="1318">
        <v>11</v>
      </c>
      <c r="B193" s="111" t="s">
        <v>110</v>
      </c>
      <c r="C193" s="1340">
        <f t="shared" si="33"/>
        <v>0.7</v>
      </c>
      <c r="D193" s="1340">
        <f t="shared" si="31"/>
        <v>0.2</v>
      </c>
      <c r="E193" s="1340">
        <f t="shared" si="31"/>
        <v>0.2</v>
      </c>
      <c r="F193" s="1340">
        <f t="shared" si="31"/>
        <v>0.7</v>
      </c>
      <c r="G193" s="1340">
        <f t="shared" si="31"/>
        <v>0.2</v>
      </c>
      <c r="H193" s="1341">
        <f t="shared" si="34"/>
        <v>0</v>
      </c>
      <c r="I193" s="1341">
        <f t="shared" si="35"/>
        <v>0</v>
      </c>
      <c r="J193" s="1341">
        <f t="shared" si="36"/>
        <v>0</v>
      </c>
      <c r="K193" s="1341">
        <f t="shared" si="37"/>
        <v>0</v>
      </c>
      <c r="L193" s="1341">
        <f t="shared" si="38"/>
        <v>0</v>
      </c>
      <c r="O193" s="1355"/>
      <c r="P193" s="1317"/>
      <c r="Q193" s="1317"/>
      <c r="R193" s="1317"/>
      <c r="S193" s="1317"/>
      <c r="T193" s="1317"/>
      <c r="U193" s="1317"/>
    </row>
    <row r="194" spans="1:21">
      <c r="A194" s="1318">
        <v>12</v>
      </c>
      <c r="B194" s="111" t="s">
        <v>111</v>
      </c>
      <c r="C194" s="1340">
        <f t="shared" si="33"/>
        <v>0.7</v>
      </c>
      <c r="D194" s="1340">
        <f t="shared" si="31"/>
        <v>0.2</v>
      </c>
      <c r="E194" s="1340">
        <f t="shared" si="31"/>
        <v>0.2</v>
      </c>
      <c r="F194" s="1340">
        <f t="shared" si="31"/>
        <v>0.7</v>
      </c>
      <c r="G194" s="1340">
        <f t="shared" si="31"/>
        <v>0.2</v>
      </c>
      <c r="H194" s="1341">
        <f t="shared" si="34"/>
        <v>0</v>
      </c>
      <c r="I194" s="1341">
        <f t="shared" si="35"/>
        <v>0</v>
      </c>
      <c r="J194" s="1341">
        <f t="shared" si="36"/>
        <v>0</v>
      </c>
      <c r="K194" s="1341">
        <f t="shared" si="37"/>
        <v>0</v>
      </c>
      <c r="L194" s="1341">
        <f t="shared" si="38"/>
        <v>0</v>
      </c>
      <c r="O194" s="1355"/>
      <c r="P194" s="1317"/>
      <c r="Q194" s="1317"/>
      <c r="R194" s="1317"/>
      <c r="S194" s="1317"/>
      <c r="T194" s="1317"/>
      <c r="U194" s="1317"/>
    </row>
    <row r="195" spans="1:21">
      <c r="A195" s="1318">
        <v>13</v>
      </c>
      <c r="B195" s="111" t="s">
        <v>112</v>
      </c>
      <c r="C195" s="1340">
        <f t="shared" si="33"/>
        <v>0.7</v>
      </c>
      <c r="D195" s="1340">
        <f t="shared" si="31"/>
        <v>0.2</v>
      </c>
      <c r="E195" s="1340">
        <f t="shared" si="31"/>
        <v>0.2</v>
      </c>
      <c r="F195" s="1340">
        <f t="shared" si="31"/>
        <v>0.7</v>
      </c>
      <c r="G195" s="1340">
        <f t="shared" si="31"/>
        <v>0.2</v>
      </c>
      <c r="H195" s="1341">
        <f t="shared" si="34"/>
        <v>0</v>
      </c>
      <c r="I195" s="1341">
        <f t="shared" si="35"/>
        <v>0</v>
      </c>
      <c r="J195" s="1341">
        <f t="shared" si="36"/>
        <v>0</v>
      </c>
      <c r="K195" s="1341">
        <f t="shared" si="37"/>
        <v>0</v>
      </c>
      <c r="L195" s="1341">
        <f t="shared" si="38"/>
        <v>0</v>
      </c>
      <c r="O195" s="1355"/>
      <c r="P195" s="1317"/>
      <c r="Q195" s="1317"/>
      <c r="R195" s="1317"/>
      <c r="S195" s="1317"/>
      <c r="T195" s="1317"/>
      <c r="U195" s="1317"/>
    </row>
    <row r="196" spans="1:21">
      <c r="A196" s="1318">
        <v>14</v>
      </c>
      <c r="B196" s="158" t="s">
        <v>113</v>
      </c>
      <c r="C196" s="1340">
        <f t="shared" si="33"/>
        <v>0.7</v>
      </c>
      <c r="D196" s="1340">
        <f t="shared" si="31"/>
        <v>0.2</v>
      </c>
      <c r="E196" s="1340">
        <f t="shared" si="31"/>
        <v>0.2</v>
      </c>
      <c r="F196" s="1340">
        <f t="shared" si="31"/>
        <v>0.7</v>
      </c>
      <c r="G196" s="1340">
        <f t="shared" si="31"/>
        <v>0.2</v>
      </c>
      <c r="H196" s="1341">
        <f t="shared" si="34"/>
        <v>0</v>
      </c>
      <c r="I196" s="1341">
        <f t="shared" si="35"/>
        <v>0</v>
      </c>
      <c r="J196" s="1341">
        <f t="shared" si="36"/>
        <v>0</v>
      </c>
      <c r="K196" s="1341">
        <f t="shared" si="37"/>
        <v>0</v>
      </c>
      <c r="L196" s="1341">
        <f t="shared" si="38"/>
        <v>0</v>
      </c>
      <c r="O196" s="1355"/>
      <c r="P196" s="1317"/>
      <c r="Q196" s="1317"/>
      <c r="R196" s="1317"/>
      <c r="S196" s="1317"/>
      <c r="T196" s="1317"/>
      <c r="U196" s="1317"/>
    </row>
    <row r="197" spans="1:21">
      <c r="A197" s="1318">
        <v>15</v>
      </c>
      <c r="B197" s="158" t="s">
        <v>114</v>
      </c>
      <c r="C197" s="1340">
        <f t="shared" si="33"/>
        <v>0.7</v>
      </c>
      <c r="D197" s="1340">
        <f t="shared" si="31"/>
        <v>0.2</v>
      </c>
      <c r="E197" s="1340">
        <f t="shared" si="31"/>
        <v>0.2</v>
      </c>
      <c r="F197" s="1340">
        <f t="shared" si="31"/>
        <v>0.7</v>
      </c>
      <c r="G197" s="1340">
        <f t="shared" si="31"/>
        <v>0.2</v>
      </c>
      <c r="H197" s="1341">
        <f t="shared" si="34"/>
        <v>0</v>
      </c>
      <c r="I197" s="1341">
        <f t="shared" si="35"/>
        <v>0</v>
      </c>
      <c r="J197" s="1341">
        <f t="shared" si="36"/>
        <v>0</v>
      </c>
      <c r="K197" s="1341">
        <f t="shared" si="37"/>
        <v>0</v>
      </c>
      <c r="L197" s="1341">
        <f t="shared" si="38"/>
        <v>0</v>
      </c>
      <c r="O197" s="1355"/>
      <c r="P197" s="1317"/>
      <c r="Q197" s="1317"/>
      <c r="R197" s="1317"/>
      <c r="S197" s="1317"/>
      <c r="T197" s="1317"/>
      <c r="U197" s="1317"/>
    </row>
    <row r="198" spans="1:21">
      <c r="A198" s="1318">
        <v>16</v>
      </c>
      <c r="B198" s="158" t="s">
        <v>115</v>
      </c>
      <c r="C198" s="1340">
        <f t="shared" si="33"/>
        <v>0.7</v>
      </c>
      <c r="D198" s="1340">
        <f t="shared" si="31"/>
        <v>0.2</v>
      </c>
      <c r="E198" s="1340">
        <f t="shared" si="31"/>
        <v>0.2</v>
      </c>
      <c r="F198" s="1340">
        <f t="shared" si="31"/>
        <v>0.7</v>
      </c>
      <c r="G198" s="1340">
        <f t="shared" si="31"/>
        <v>0.2</v>
      </c>
      <c r="H198" s="1341">
        <f t="shared" si="34"/>
        <v>0</v>
      </c>
      <c r="I198" s="1341">
        <f t="shared" si="35"/>
        <v>0</v>
      </c>
      <c r="J198" s="1341">
        <f t="shared" si="36"/>
        <v>0</v>
      </c>
      <c r="K198" s="1341">
        <f t="shared" si="37"/>
        <v>0</v>
      </c>
      <c r="L198" s="1341">
        <f t="shared" si="38"/>
        <v>0</v>
      </c>
      <c r="O198" s="1355"/>
      <c r="P198" s="1317"/>
      <c r="Q198" s="1317"/>
      <c r="R198" s="1317"/>
      <c r="S198" s="1317"/>
      <c r="T198" s="1317"/>
      <c r="U198" s="1317"/>
    </row>
    <row r="199" spans="1:21">
      <c r="A199" s="1318">
        <v>17</v>
      </c>
      <c r="B199" s="158" t="s">
        <v>116</v>
      </c>
      <c r="C199" s="1342">
        <v>0</v>
      </c>
      <c r="D199" s="1342">
        <v>0</v>
      </c>
      <c r="E199" s="1342">
        <v>0</v>
      </c>
      <c r="F199" s="1342">
        <v>0</v>
      </c>
      <c r="G199" s="1342">
        <v>0</v>
      </c>
      <c r="H199" s="1342">
        <v>0</v>
      </c>
      <c r="I199" s="1342">
        <v>0</v>
      </c>
      <c r="J199" s="1342">
        <v>0</v>
      </c>
      <c r="K199" s="1342">
        <v>0</v>
      </c>
      <c r="L199" s="1342">
        <v>0</v>
      </c>
      <c r="O199" s="1355"/>
      <c r="P199" s="1317"/>
      <c r="Q199" s="1317"/>
      <c r="R199" s="1317"/>
      <c r="S199" s="1317"/>
      <c r="T199" s="1317"/>
      <c r="U199" s="1317"/>
    </row>
    <row r="200" spans="1:21">
      <c r="A200" s="1318">
        <v>18</v>
      </c>
      <c r="B200" s="158" t="s">
        <v>117</v>
      </c>
      <c r="C200" s="1342">
        <v>0</v>
      </c>
      <c r="D200" s="1342">
        <v>0</v>
      </c>
      <c r="E200" s="1342">
        <v>0</v>
      </c>
      <c r="F200" s="1342">
        <v>0</v>
      </c>
      <c r="G200" s="1342">
        <v>0</v>
      </c>
      <c r="H200" s="1342">
        <v>0</v>
      </c>
      <c r="I200" s="1342">
        <v>0</v>
      </c>
      <c r="J200" s="1342">
        <v>0</v>
      </c>
      <c r="K200" s="1342">
        <v>0</v>
      </c>
      <c r="L200" s="1342">
        <v>0</v>
      </c>
      <c r="O200" s="1355"/>
      <c r="P200" s="1317"/>
      <c r="Q200" s="1317"/>
      <c r="R200" s="1317"/>
      <c r="S200" s="1317"/>
      <c r="T200" s="1317"/>
      <c r="U200" s="1317"/>
    </row>
    <row r="201" spans="1:21">
      <c r="A201" s="1318">
        <v>19</v>
      </c>
      <c r="B201" s="158" t="s">
        <v>118</v>
      </c>
      <c r="C201" s="1338">
        <f t="shared" ref="C201:G202" si="39">$O$180*$O201</f>
        <v>0.24700000000000003</v>
      </c>
      <c r="D201" s="1338">
        <f t="shared" si="39"/>
        <v>0.24700000000000003</v>
      </c>
      <c r="E201" s="1338">
        <f t="shared" si="39"/>
        <v>0.24700000000000003</v>
      </c>
      <c r="F201" s="1338">
        <f t="shared" si="39"/>
        <v>0.24700000000000003</v>
      </c>
      <c r="G201" s="1338">
        <f t="shared" si="39"/>
        <v>0.24700000000000003</v>
      </c>
      <c r="H201" s="1339">
        <f t="shared" ref="H201:L202" si="40">$Q$180*$O201*Q201</f>
        <v>0.26599999999999996</v>
      </c>
      <c r="I201" s="1339">
        <f t="shared" si="40"/>
        <v>0.26599999999999996</v>
      </c>
      <c r="J201" s="1339">
        <f t="shared" si="40"/>
        <v>0.26599999999999996</v>
      </c>
      <c r="K201" s="1339">
        <f t="shared" si="40"/>
        <v>0.26599999999999996</v>
      </c>
      <c r="L201" s="1339">
        <f t="shared" si="40"/>
        <v>0.26599999999999996</v>
      </c>
      <c r="O201" s="1354">
        <v>0.38</v>
      </c>
      <c r="P201" s="1317"/>
      <c r="Q201" s="1337">
        <v>1</v>
      </c>
      <c r="R201" s="1337">
        <v>1</v>
      </c>
      <c r="S201" s="1337">
        <v>1</v>
      </c>
      <c r="T201" s="1337">
        <v>1</v>
      </c>
      <c r="U201" s="1337">
        <v>1</v>
      </c>
    </row>
    <row r="202" spans="1:21">
      <c r="A202" s="1318">
        <v>20</v>
      </c>
      <c r="B202" s="158" t="s">
        <v>119</v>
      </c>
      <c r="C202" s="1338">
        <f t="shared" si="39"/>
        <v>0.24700000000000003</v>
      </c>
      <c r="D202" s="1338">
        <f t="shared" si="39"/>
        <v>0.24700000000000003</v>
      </c>
      <c r="E202" s="1338">
        <f t="shared" si="39"/>
        <v>0.24700000000000003</v>
      </c>
      <c r="F202" s="1338">
        <f t="shared" si="39"/>
        <v>0.24700000000000003</v>
      </c>
      <c r="G202" s="1338">
        <f t="shared" si="39"/>
        <v>0.24700000000000003</v>
      </c>
      <c r="H202" s="1339">
        <f t="shared" si="40"/>
        <v>0.26599999999999996</v>
      </c>
      <c r="I202" s="1339">
        <f t="shared" si="40"/>
        <v>0.26599999999999996</v>
      </c>
      <c r="J202" s="1339">
        <f t="shared" si="40"/>
        <v>0.26599999999999996</v>
      </c>
      <c r="K202" s="1339">
        <f t="shared" si="40"/>
        <v>0.26599999999999996</v>
      </c>
      <c r="L202" s="1339">
        <f t="shared" si="40"/>
        <v>0.26599999999999996</v>
      </c>
      <c r="O202" s="1354">
        <v>0.38</v>
      </c>
      <c r="P202" s="1317"/>
      <c r="Q202" s="1337">
        <v>1</v>
      </c>
      <c r="R202" s="1337">
        <v>1</v>
      </c>
      <c r="S202" s="1337">
        <v>1</v>
      </c>
      <c r="T202" s="1337">
        <v>1</v>
      </c>
      <c r="U202" s="1337">
        <v>1</v>
      </c>
    </row>
    <row r="205" spans="1:21">
      <c r="A205" s="786" t="s">
        <v>1307</v>
      </c>
      <c r="B205" s="1345"/>
      <c r="C205" s="1345"/>
      <c r="D205" s="1345"/>
      <c r="E205" s="1345"/>
      <c r="F205" s="1345"/>
      <c r="G205" s="109"/>
    </row>
    <row r="207" spans="1:21">
      <c r="A207" s="1350" t="s">
        <v>1301</v>
      </c>
      <c r="B207" s="1351"/>
      <c r="C207" s="1351"/>
      <c r="D207" s="1351"/>
      <c r="E207" s="1351"/>
      <c r="F207" s="1351"/>
      <c r="G207" s="1351"/>
    </row>
    <row r="208" spans="1:21">
      <c r="A208" s="61" t="s">
        <v>1302</v>
      </c>
    </row>
    <row r="210" spans="1:14">
      <c r="C210" s="1436" t="s">
        <v>1284</v>
      </c>
      <c r="D210" s="1446"/>
      <c r="E210" s="1436" t="s">
        <v>1261</v>
      </c>
      <c r="F210" s="1446"/>
    </row>
    <row r="211" spans="1:14">
      <c r="B211" s="1357" t="s">
        <v>1305</v>
      </c>
      <c r="C211" s="974" t="s">
        <v>1275</v>
      </c>
      <c r="D211" s="974" t="s">
        <v>1274</v>
      </c>
      <c r="E211" s="974" t="s">
        <v>1275</v>
      </c>
      <c r="F211" s="974" t="s">
        <v>1274</v>
      </c>
      <c r="N211" s="1330"/>
    </row>
    <row r="212" spans="1:14">
      <c r="B212" t="s">
        <v>681</v>
      </c>
      <c r="C212" s="1335">
        <v>0.1</v>
      </c>
      <c r="D212" s="1336">
        <v>0.1</v>
      </c>
      <c r="E212" s="1317">
        <f>C212</f>
        <v>0.1</v>
      </c>
      <c r="F212" s="1317">
        <f>D212</f>
        <v>0.1</v>
      </c>
      <c r="N212" s="1330"/>
    </row>
    <row r="213" spans="1:14">
      <c r="B213" t="s">
        <v>425</v>
      </c>
      <c r="C213" s="1335">
        <v>0.25</v>
      </c>
      <c r="D213" s="1336">
        <v>0.2</v>
      </c>
      <c r="E213" s="1317">
        <f>C212+C213</f>
        <v>0.35</v>
      </c>
      <c r="F213" s="1317">
        <f>D212+D213</f>
        <v>0.30000000000000004</v>
      </c>
    </row>
    <row r="214" spans="1:14">
      <c r="B214" t="s">
        <v>1094</v>
      </c>
      <c r="C214" s="1335">
        <v>0.65</v>
      </c>
      <c r="D214" s="1336">
        <v>0.7</v>
      </c>
      <c r="E214" s="1317">
        <f>C212+C213+C214</f>
        <v>1</v>
      </c>
      <c r="F214" s="1317">
        <f>D212+D213+D214</f>
        <v>1</v>
      </c>
    </row>
    <row r="216" spans="1:14">
      <c r="A216" s="1350" t="s">
        <v>1295</v>
      </c>
      <c r="B216" s="1351"/>
      <c r="C216" s="1351"/>
      <c r="D216" s="1351"/>
      <c r="E216" s="1351"/>
      <c r="F216" s="1351"/>
      <c r="G216" s="1351"/>
    </row>
    <row r="217" spans="1:14">
      <c r="A217" s="61" t="s">
        <v>1296</v>
      </c>
    </row>
    <row r="218" spans="1:14">
      <c r="A218" s="61" t="s">
        <v>1297</v>
      </c>
    </row>
    <row r="220" spans="1:14">
      <c r="B220" s="1357" t="s">
        <v>1306</v>
      </c>
      <c r="C220" s="974" t="s">
        <v>1276</v>
      </c>
    </row>
    <row r="221" spans="1:14">
      <c r="A221" s="1318">
        <v>1</v>
      </c>
      <c r="B221" s="158" t="s">
        <v>100</v>
      </c>
      <c r="C221" s="1335">
        <v>0.85</v>
      </c>
    </row>
    <row r="222" spans="1:14">
      <c r="A222" s="1318">
        <v>2</v>
      </c>
      <c r="B222" s="158" t="s">
        <v>101</v>
      </c>
      <c r="C222" s="1335">
        <v>0.68</v>
      </c>
    </row>
    <row r="223" spans="1:14">
      <c r="A223" s="1318">
        <v>3</v>
      </c>
      <c r="B223" s="158" t="s">
        <v>102</v>
      </c>
      <c r="C223" s="1335">
        <v>0.35</v>
      </c>
    </row>
    <row r="224" spans="1:14">
      <c r="A224" s="1318">
        <v>4</v>
      </c>
      <c r="B224" s="158" t="s">
        <v>103</v>
      </c>
      <c r="C224" s="1335">
        <v>0.2</v>
      </c>
    </row>
    <row r="225" spans="1:7">
      <c r="A225" s="1318">
        <v>19</v>
      </c>
      <c r="B225" s="158" t="s">
        <v>118</v>
      </c>
      <c r="C225" s="1335">
        <v>0.38</v>
      </c>
    </row>
    <row r="226" spans="1:7">
      <c r="A226" s="1318">
        <v>20</v>
      </c>
      <c r="B226" s="158" t="s">
        <v>119</v>
      </c>
      <c r="C226" s="1335">
        <v>0.38</v>
      </c>
    </row>
    <row r="228" spans="1:7">
      <c r="A228" s="1350" t="s">
        <v>1292</v>
      </c>
      <c r="B228" s="1351"/>
      <c r="C228" s="1351"/>
      <c r="D228" s="1351"/>
      <c r="E228" s="1351"/>
      <c r="F228" s="1351"/>
      <c r="G228" s="1351"/>
    </row>
    <row r="229" spans="1:7">
      <c r="A229" s="98" t="s">
        <v>1293</v>
      </c>
    </row>
    <row r="230" spans="1:7">
      <c r="A230" s="98" t="s">
        <v>1294</v>
      </c>
    </row>
    <row r="231" spans="1:7">
      <c r="A231" s="98" t="s">
        <v>1333</v>
      </c>
    </row>
    <row r="232" spans="1:7">
      <c r="A232" s="45"/>
    </row>
    <row r="233" spans="1:7">
      <c r="B233" s="1357" t="s">
        <v>1306</v>
      </c>
      <c r="C233" s="1358" t="s">
        <v>150</v>
      </c>
      <c r="D233" s="1358" t="s">
        <v>271</v>
      </c>
      <c r="E233" s="1358" t="s">
        <v>152</v>
      </c>
      <c r="F233" s="1358" t="s">
        <v>203</v>
      </c>
      <c r="G233" s="1358" t="s">
        <v>289</v>
      </c>
    </row>
    <row r="234" spans="1:7">
      <c r="A234" s="1318">
        <v>1</v>
      </c>
      <c r="B234" s="158" t="s">
        <v>100</v>
      </c>
      <c r="C234" s="1327">
        <v>0.87193894402408878</v>
      </c>
      <c r="D234" s="1328">
        <v>0.37981673937894145</v>
      </c>
      <c r="E234" s="1328">
        <v>0.12661353296995737</v>
      </c>
      <c r="F234" s="1328">
        <v>0</v>
      </c>
      <c r="G234" s="1329">
        <v>0.65903260123460095</v>
      </c>
    </row>
    <row r="235" spans="1:7">
      <c r="A235" s="1318">
        <v>2</v>
      </c>
      <c r="B235" s="158" t="s">
        <v>101</v>
      </c>
      <c r="C235" s="1321">
        <v>0.56253478663430978</v>
      </c>
      <c r="D235" s="1322">
        <v>0.29243324866856113</v>
      </c>
      <c r="E235" s="1322">
        <v>0.30628677958180095</v>
      </c>
      <c r="F235" s="1322">
        <v>0.50497643370259793</v>
      </c>
      <c r="G235" s="1323">
        <v>0.9526817809600876</v>
      </c>
    </row>
    <row r="236" spans="1:7">
      <c r="A236" s="1318">
        <v>3</v>
      </c>
      <c r="B236" s="158" t="s">
        <v>102</v>
      </c>
      <c r="C236" s="1321">
        <v>0.23479764379022006</v>
      </c>
      <c r="D236" s="1322">
        <v>0</v>
      </c>
      <c r="E236" s="1322">
        <v>0</v>
      </c>
      <c r="F236" s="1322">
        <v>2.6206391769119541E-2</v>
      </c>
      <c r="G236" s="1323">
        <v>0.64329334923475101</v>
      </c>
    </row>
    <row r="237" spans="1:7">
      <c r="A237" s="1318">
        <v>4</v>
      </c>
      <c r="B237" s="158" t="s">
        <v>103</v>
      </c>
      <c r="C237" s="1321">
        <v>0.72840614716796193</v>
      </c>
      <c r="D237" s="1322">
        <v>0.72809852674583342</v>
      </c>
      <c r="E237" s="1322">
        <v>0.61577827886716952</v>
      </c>
      <c r="F237" s="1322">
        <v>0.49055204660213081</v>
      </c>
      <c r="G237" s="1323">
        <v>0.77192036324927127</v>
      </c>
    </row>
    <row r="238" spans="1:7">
      <c r="A238" s="1318">
        <v>19</v>
      </c>
      <c r="B238" s="158" t="s">
        <v>118</v>
      </c>
      <c r="C238" s="1321">
        <v>1</v>
      </c>
      <c r="D238" s="1322">
        <v>1</v>
      </c>
      <c r="E238" s="1322">
        <v>1</v>
      </c>
      <c r="F238" s="1322">
        <v>1</v>
      </c>
      <c r="G238" s="1323">
        <v>1</v>
      </c>
    </row>
    <row r="239" spans="1:7">
      <c r="A239" s="1318">
        <v>20</v>
      </c>
      <c r="B239" s="158" t="s">
        <v>119</v>
      </c>
      <c r="C239" s="1324">
        <v>1</v>
      </c>
      <c r="D239" s="1325">
        <v>1</v>
      </c>
      <c r="E239" s="1325">
        <v>1</v>
      </c>
      <c r="F239" s="1325">
        <v>1</v>
      </c>
      <c r="G239" s="1326">
        <v>1</v>
      </c>
    </row>
    <row r="241" spans="1:12">
      <c r="A241" s="1350" t="s">
        <v>1308</v>
      </c>
      <c r="B241" s="1351"/>
      <c r="C241" s="1351"/>
      <c r="D241" s="1351"/>
      <c r="E241" s="1351"/>
      <c r="F241" s="1351"/>
      <c r="G241" s="1351"/>
    </row>
    <row r="242" spans="1:12">
      <c r="A242" s="61" t="s">
        <v>1442</v>
      </c>
    </row>
    <row r="243" spans="1:12">
      <c r="A243" s="61" t="s">
        <v>1309</v>
      </c>
    </row>
    <row r="244" spans="1:12">
      <c r="A244" s="61" t="s">
        <v>1310</v>
      </c>
    </row>
    <row r="246" spans="1:12">
      <c r="C246" s="1436" t="s">
        <v>1284</v>
      </c>
      <c r="D246" s="1446"/>
      <c r="E246" s="1446"/>
      <c r="F246" s="1446"/>
      <c r="G246" s="1446"/>
      <c r="H246" s="1436" t="s">
        <v>1261</v>
      </c>
      <c r="I246" s="1446"/>
      <c r="J246" s="1446"/>
      <c r="K246" s="1446"/>
      <c r="L246" s="1446"/>
    </row>
    <row r="247" spans="1:12">
      <c r="B247" s="38" t="s">
        <v>1277</v>
      </c>
      <c r="C247" s="1358" t="s">
        <v>150</v>
      </c>
      <c r="D247" s="1358" t="s">
        <v>271</v>
      </c>
      <c r="E247" s="1358" t="s">
        <v>152</v>
      </c>
      <c r="F247" s="1358" t="s">
        <v>203</v>
      </c>
      <c r="G247" s="1358" t="s">
        <v>289</v>
      </c>
      <c r="H247" s="1358" t="s">
        <v>150</v>
      </c>
      <c r="I247" s="1358" t="s">
        <v>271</v>
      </c>
      <c r="J247" s="1358" t="s">
        <v>152</v>
      </c>
      <c r="K247" s="1358" t="s">
        <v>203</v>
      </c>
      <c r="L247" s="1358" t="s">
        <v>289</v>
      </c>
    </row>
    <row r="248" spans="1:12">
      <c r="B248" t="s">
        <v>681</v>
      </c>
      <c r="C248" s="1340">
        <v>7.0000000000000001E-3</v>
      </c>
      <c r="D248" s="1340">
        <v>0.54500000000000004</v>
      </c>
      <c r="E248" s="1340">
        <v>0.75800000000000001</v>
      </c>
      <c r="F248" s="1340">
        <v>3.0000000000000001E-3</v>
      </c>
      <c r="G248" s="1340">
        <v>0.55500000000000005</v>
      </c>
      <c r="H248" s="1343">
        <f>C248</f>
        <v>7.0000000000000001E-3</v>
      </c>
      <c r="I248" s="1343">
        <f t="shared" ref="I248:L248" si="41">D248</f>
        <v>0.54500000000000004</v>
      </c>
      <c r="J248" s="1343">
        <f t="shared" si="41"/>
        <v>0.75800000000000001</v>
      </c>
      <c r="K248" s="1343">
        <f t="shared" si="41"/>
        <v>3.0000000000000001E-3</v>
      </c>
      <c r="L248" s="1343">
        <f t="shared" si="41"/>
        <v>0.55500000000000005</v>
      </c>
    </row>
    <row r="249" spans="1:12">
      <c r="B249" t="s">
        <v>425</v>
      </c>
      <c r="C249" s="1340">
        <v>0.29299999999999998</v>
      </c>
      <c r="D249" s="1340">
        <v>0.255</v>
      </c>
      <c r="E249" s="1340">
        <v>4.2000000000000003E-2</v>
      </c>
      <c r="F249" s="1340">
        <v>0.29699999999999999</v>
      </c>
      <c r="G249" s="1340">
        <v>0.245</v>
      </c>
      <c r="H249" s="1343">
        <f>C248+C249</f>
        <v>0.3</v>
      </c>
      <c r="I249" s="1343">
        <f t="shared" ref="I249:L249" si="42">D248+D249</f>
        <v>0.8</v>
      </c>
      <c r="J249" s="1343">
        <f t="shared" si="42"/>
        <v>0.8</v>
      </c>
      <c r="K249" s="1343">
        <f t="shared" si="42"/>
        <v>0.3</v>
      </c>
      <c r="L249" s="1343">
        <f t="shared" si="42"/>
        <v>0.8</v>
      </c>
    </row>
    <row r="250" spans="1:12">
      <c r="B250" t="s">
        <v>1094</v>
      </c>
      <c r="C250" s="1340">
        <v>0.7</v>
      </c>
      <c r="D250" s="1340">
        <v>0.2</v>
      </c>
      <c r="E250" s="1340">
        <v>0.2</v>
      </c>
      <c r="F250" s="1340">
        <v>0.7</v>
      </c>
      <c r="G250" s="1340">
        <v>0.2</v>
      </c>
      <c r="H250" s="1343">
        <f>C248+C249+C250</f>
        <v>1</v>
      </c>
      <c r="I250" s="1343">
        <f t="shared" ref="I250:L250" si="43">D248+D249+D250</f>
        <v>1</v>
      </c>
      <c r="J250" s="1343">
        <f t="shared" si="43"/>
        <v>1</v>
      </c>
      <c r="K250" s="1343">
        <f t="shared" si="43"/>
        <v>1</v>
      </c>
      <c r="L250" s="1343">
        <f t="shared" si="43"/>
        <v>1</v>
      </c>
    </row>
    <row r="251" spans="1:12">
      <c r="C251" s="1320"/>
      <c r="D251" s="1320"/>
      <c r="E251" s="1320"/>
      <c r="F251" s="1320"/>
      <c r="G251" s="1320"/>
    </row>
    <row r="252" spans="1:12">
      <c r="A252" s="1350" t="s">
        <v>1443</v>
      </c>
      <c r="B252" s="1351"/>
      <c r="C252" s="1351"/>
      <c r="D252" s="1351"/>
      <c r="E252" s="1351"/>
      <c r="F252" s="1351"/>
      <c r="G252" s="1351"/>
    </row>
    <row r="253" spans="1:12">
      <c r="A253" s="61" t="s">
        <v>1445</v>
      </c>
      <c r="C253" s="1320"/>
      <c r="D253" s="1320"/>
      <c r="E253" s="1320"/>
      <c r="F253" s="1320"/>
      <c r="G253" s="1320"/>
    </row>
    <row r="254" spans="1:12">
      <c r="A254" s="61" t="s">
        <v>1444</v>
      </c>
      <c r="C254" s="1320"/>
      <c r="D254" s="1320"/>
      <c r="E254" s="1320"/>
      <c r="F254" s="1320"/>
      <c r="G254" s="1320"/>
    </row>
    <row r="255" spans="1:12">
      <c r="A255" s="61" t="s">
        <v>1446</v>
      </c>
      <c r="C255" s="1320"/>
      <c r="D255" s="1320"/>
      <c r="E255" s="1320"/>
      <c r="F255" s="1320"/>
      <c r="G255" s="1320"/>
    </row>
    <row r="256" spans="1:12">
      <c r="A256" s="221"/>
      <c r="C256" s="1320"/>
      <c r="D256" s="1320"/>
      <c r="E256" s="1320"/>
      <c r="F256" s="1320"/>
      <c r="G256" s="1320"/>
    </row>
    <row r="257" spans="1:21">
      <c r="C257" s="1436" t="s">
        <v>1284</v>
      </c>
      <c r="D257" s="1446"/>
      <c r="E257" s="1446"/>
      <c r="F257" s="1446"/>
      <c r="G257" s="1446"/>
      <c r="H257" s="1443" t="s">
        <v>1261</v>
      </c>
      <c r="I257" s="1444"/>
      <c r="J257" s="1444"/>
      <c r="K257" s="1444"/>
      <c r="L257" s="1445"/>
    </row>
    <row r="258" spans="1:21">
      <c r="B258" s="38" t="s">
        <v>1447</v>
      </c>
      <c r="C258" s="1358" t="s">
        <v>150</v>
      </c>
      <c r="D258" s="1358" t="s">
        <v>271</v>
      </c>
      <c r="E258" s="1358" t="s">
        <v>152</v>
      </c>
      <c r="F258" s="1358" t="s">
        <v>203</v>
      </c>
      <c r="G258" s="1358" t="s">
        <v>289</v>
      </c>
      <c r="H258" s="1358" t="s">
        <v>150</v>
      </c>
      <c r="I258" s="1358" t="s">
        <v>271</v>
      </c>
      <c r="J258" s="1358" t="s">
        <v>152</v>
      </c>
      <c r="K258" s="1358" t="s">
        <v>203</v>
      </c>
      <c r="L258" s="1358" t="s">
        <v>289</v>
      </c>
    </row>
    <row r="259" spans="1:21">
      <c r="B259" t="s">
        <v>681</v>
      </c>
      <c r="C259" s="1341">
        <v>7.0000000000000001E-3</v>
      </c>
      <c r="D259" s="1341">
        <v>0.54500000000000004</v>
      </c>
      <c r="E259" s="1341">
        <v>0.75800000000000001</v>
      </c>
      <c r="F259" s="1341">
        <v>3.0000000000000001E-3</v>
      </c>
      <c r="G259" s="1341">
        <v>0.55500000000000005</v>
      </c>
      <c r="H259" s="1343">
        <f>C259</f>
        <v>7.0000000000000001E-3</v>
      </c>
      <c r="I259" s="1343">
        <f t="shared" ref="I259" si="44">D259</f>
        <v>0.54500000000000004</v>
      </c>
      <c r="J259" s="1343">
        <f t="shared" ref="J259" si="45">E259</f>
        <v>0.75800000000000001</v>
      </c>
      <c r="K259" s="1343">
        <f t="shared" ref="K259" si="46">F259</f>
        <v>3.0000000000000001E-3</v>
      </c>
      <c r="L259" s="1343">
        <f t="shared" ref="L259" si="47">G259</f>
        <v>0.55500000000000005</v>
      </c>
    </row>
    <row r="260" spans="1:21">
      <c r="B260" t="s">
        <v>425</v>
      </c>
      <c r="C260" s="1341">
        <v>9.2999999999999999E-2</v>
      </c>
      <c r="D260" s="1341">
        <v>0.105</v>
      </c>
      <c r="E260" s="1341">
        <v>0.14199999999999999</v>
      </c>
      <c r="F260" s="1341">
        <v>9.7000000000000003E-2</v>
      </c>
      <c r="G260" s="1341">
        <v>9.5000000000000001E-2</v>
      </c>
      <c r="H260" s="1343">
        <f>C259+C260</f>
        <v>0.1</v>
      </c>
      <c r="I260" s="1343">
        <f t="shared" ref="I260" si="48">D259+D260</f>
        <v>0.65</v>
      </c>
      <c r="J260" s="1343">
        <f t="shared" ref="J260" si="49">E259+E260</f>
        <v>0.9</v>
      </c>
      <c r="K260" s="1343">
        <f t="shared" ref="K260" si="50">F259+F260</f>
        <v>0.1</v>
      </c>
      <c r="L260" s="1343">
        <f t="shared" ref="L260" si="51">G259+G260</f>
        <v>0.65</v>
      </c>
    </row>
    <row r="261" spans="1:21">
      <c r="B261" t="s">
        <v>1094</v>
      </c>
      <c r="C261" s="1341">
        <v>0</v>
      </c>
      <c r="D261" s="1341">
        <v>0</v>
      </c>
      <c r="E261" s="1341">
        <v>0</v>
      </c>
      <c r="F261" s="1341">
        <v>0</v>
      </c>
      <c r="G261" s="1341">
        <v>0</v>
      </c>
      <c r="H261" s="1343">
        <f>C259+C260+C261</f>
        <v>0.1</v>
      </c>
      <c r="I261" s="1343">
        <f t="shared" ref="I261" si="52">D259+D260+D261</f>
        <v>0.65</v>
      </c>
      <c r="J261" s="1343">
        <f t="shared" ref="J261" si="53">E259+E260+E261</f>
        <v>0.9</v>
      </c>
      <c r="K261" s="1343">
        <f t="shared" ref="K261" si="54">F259+F260+F261</f>
        <v>0.1</v>
      </c>
      <c r="L261" s="1343">
        <f t="shared" ref="L261" si="55">G259+G260+G261</f>
        <v>0.65</v>
      </c>
    </row>
    <row r="262" spans="1:21">
      <c r="B262" s="45"/>
      <c r="C262" s="1395"/>
      <c r="D262" s="1395"/>
      <c r="E262" s="1395"/>
      <c r="F262" s="1395"/>
      <c r="G262" s="1395"/>
    </row>
    <row r="264" spans="1:21">
      <c r="A264" s="34" t="s">
        <v>1303</v>
      </c>
      <c r="B264" s="1347"/>
      <c r="C264" s="1347"/>
      <c r="D264" s="1347"/>
      <c r="E264" s="1347"/>
      <c r="F264" s="1347"/>
      <c r="G264" s="1347"/>
      <c r="H264" s="1347"/>
      <c r="I264" s="1347"/>
      <c r="J264" s="1347"/>
      <c r="K264" s="1347"/>
      <c r="L264" s="1348" t="s">
        <v>1304</v>
      </c>
      <c r="N264" s="56"/>
      <c r="O264" s="234"/>
      <c r="P264" s="207"/>
      <c r="Q264" s="207"/>
      <c r="R264" s="207"/>
      <c r="S264" s="207"/>
      <c r="T264" s="207"/>
      <c r="U264" s="207"/>
    </row>
    <row r="265" spans="1:21">
      <c r="A265" s="786" t="s">
        <v>926</v>
      </c>
      <c r="B265" s="109"/>
      <c r="C265" s="106"/>
      <c r="D265" s="106"/>
      <c r="E265" s="106"/>
      <c r="F265" s="106"/>
      <c r="G265" s="1364"/>
      <c r="H265" s="1372"/>
      <c r="I265" s="1364"/>
      <c r="J265" s="1364"/>
      <c r="K265" s="1364"/>
      <c r="L265" s="1373" t="s">
        <v>933</v>
      </c>
    </row>
    <row r="266" spans="1:21">
      <c r="A266" s="61" t="s">
        <v>930</v>
      </c>
    </row>
    <row r="267" spans="1:21">
      <c r="A267" s="61" t="s">
        <v>989</v>
      </c>
      <c r="L267" s="404" t="s">
        <v>1199</v>
      </c>
    </row>
    <row r="268" spans="1:21">
      <c r="A268" s="61" t="s">
        <v>1271</v>
      </c>
    </row>
    <row r="269" spans="1:21">
      <c r="B269" s="573"/>
    </row>
    <row r="270" spans="1:21">
      <c r="A270" s="263"/>
      <c r="B270" s="261"/>
      <c r="C270" s="261"/>
      <c r="D270" s="261"/>
      <c r="E270" s="261"/>
      <c r="F270" s="261"/>
      <c r="G270" s="261"/>
      <c r="H270" s="261"/>
      <c r="I270" s="261"/>
      <c r="J270" s="261"/>
      <c r="K270" s="261"/>
      <c r="L270" s="484" t="s">
        <v>755</v>
      </c>
      <c r="M270" s="798"/>
    </row>
    <row r="271" spans="1:21">
      <c r="A271" s="138">
        <v>1</v>
      </c>
      <c r="B271" s="138">
        <v>2</v>
      </c>
      <c r="C271" s="138">
        <v>3</v>
      </c>
      <c r="D271" s="138">
        <v>4</v>
      </c>
      <c r="E271" s="138">
        <v>5</v>
      </c>
      <c r="F271" s="138">
        <v>6</v>
      </c>
      <c r="G271" s="138">
        <v>7</v>
      </c>
      <c r="H271" s="138">
        <v>8</v>
      </c>
      <c r="I271" s="138">
        <v>9</v>
      </c>
      <c r="J271" s="138">
        <v>10</v>
      </c>
      <c r="K271" s="138">
        <v>11</v>
      </c>
      <c r="L271" s="138">
        <v>12</v>
      </c>
      <c r="M271" s="799"/>
    </row>
    <row r="272" spans="1:21">
      <c r="A272" s="138"/>
      <c r="B272" s="138"/>
      <c r="C272" s="1454" t="s">
        <v>632</v>
      </c>
      <c r="D272" s="1454"/>
      <c r="E272" s="1454"/>
      <c r="F272" s="1454"/>
      <c r="G272" s="1454"/>
      <c r="H272" s="1455" t="s">
        <v>631</v>
      </c>
      <c r="I272" s="1455"/>
      <c r="J272" s="1455"/>
      <c r="K272" s="1455"/>
      <c r="L272" s="1455"/>
      <c r="M272" s="800"/>
    </row>
    <row r="273" spans="1:13" s="153" customFormat="1" ht="45">
      <c r="A273" s="648" t="s">
        <v>656</v>
      </c>
      <c r="B273" s="522" t="s">
        <v>168</v>
      </c>
      <c r="C273" s="803" t="s">
        <v>681</v>
      </c>
      <c r="D273" s="803" t="s">
        <v>425</v>
      </c>
      <c r="E273" s="803" t="s">
        <v>1094</v>
      </c>
      <c r="F273" s="803" t="s">
        <v>929</v>
      </c>
      <c r="G273" s="1109" t="s">
        <v>1108</v>
      </c>
      <c r="H273" s="804" t="s">
        <v>681</v>
      </c>
      <c r="I273" s="804" t="s">
        <v>425</v>
      </c>
      <c r="J273" s="804" t="s">
        <v>1094</v>
      </c>
      <c r="K273" s="804" t="s">
        <v>929</v>
      </c>
      <c r="L273" s="1110" t="s">
        <v>1108</v>
      </c>
      <c r="M273" s="801"/>
    </row>
    <row r="274" spans="1:13">
      <c r="A274" s="161">
        <v>1</v>
      </c>
      <c r="B274" s="156" t="s">
        <v>100</v>
      </c>
      <c r="C274" s="805">
        <v>0.1</v>
      </c>
      <c r="D274" s="806">
        <v>0.2</v>
      </c>
      <c r="E274" s="806">
        <v>0.5</v>
      </c>
      <c r="F274" s="789">
        <f>D274-C274</f>
        <v>0.1</v>
      </c>
      <c r="G274" s="789">
        <f>E274-D274</f>
        <v>0.3</v>
      </c>
      <c r="H274" s="805">
        <v>0.1</v>
      </c>
      <c r="I274" s="806">
        <v>0.2</v>
      </c>
      <c r="J274" s="806">
        <v>0.5</v>
      </c>
      <c r="K274" s="789">
        <f>I274-H274</f>
        <v>0.1</v>
      </c>
      <c r="L274" s="790">
        <f>J274-I274</f>
        <v>0.3</v>
      </c>
      <c r="M274" s="802"/>
    </row>
    <row r="275" spans="1:13">
      <c r="A275" s="163">
        <v>2</v>
      </c>
      <c r="B275" s="158" t="s">
        <v>101</v>
      </c>
      <c r="C275" s="807">
        <v>0.1</v>
      </c>
      <c r="D275" s="808">
        <v>0.2</v>
      </c>
      <c r="E275" s="808">
        <v>0.5</v>
      </c>
      <c r="F275" s="788">
        <f t="shared" ref="F275:F293" si="56">D275-C275</f>
        <v>0.1</v>
      </c>
      <c r="G275" s="788">
        <f t="shared" ref="G275:G293" si="57">E275-D275</f>
        <v>0.3</v>
      </c>
      <c r="H275" s="807">
        <v>0.1</v>
      </c>
      <c r="I275" s="808">
        <v>0.2</v>
      </c>
      <c r="J275" s="808">
        <v>0.5</v>
      </c>
      <c r="K275" s="788">
        <f t="shared" ref="K275:K293" si="58">I275-H275</f>
        <v>0.1</v>
      </c>
      <c r="L275" s="791">
        <f t="shared" ref="L275:L293" si="59">J275-I275</f>
        <v>0.3</v>
      </c>
      <c r="M275" s="802"/>
    </row>
    <row r="276" spans="1:13">
      <c r="A276" s="163">
        <v>3</v>
      </c>
      <c r="B276" s="158" t="s">
        <v>102</v>
      </c>
      <c r="C276" s="807">
        <v>0.1</v>
      </c>
      <c r="D276" s="808">
        <v>0.2</v>
      </c>
      <c r="E276" s="808">
        <v>0.5</v>
      </c>
      <c r="F276" s="788">
        <f t="shared" si="56"/>
        <v>0.1</v>
      </c>
      <c r="G276" s="788">
        <f t="shared" si="57"/>
        <v>0.3</v>
      </c>
      <c r="H276" s="807">
        <v>0.1</v>
      </c>
      <c r="I276" s="808">
        <v>0.2</v>
      </c>
      <c r="J276" s="808">
        <v>0.5</v>
      </c>
      <c r="K276" s="788">
        <f t="shared" si="58"/>
        <v>0.1</v>
      </c>
      <c r="L276" s="791">
        <f t="shared" si="59"/>
        <v>0.3</v>
      </c>
      <c r="M276" s="802"/>
    </row>
    <row r="277" spans="1:13">
      <c r="A277" s="163">
        <v>4</v>
      </c>
      <c r="B277" s="158" t="s">
        <v>103</v>
      </c>
      <c r="C277" s="807">
        <v>0.1</v>
      </c>
      <c r="D277" s="808">
        <v>0.2</v>
      </c>
      <c r="E277" s="808">
        <v>0.5</v>
      </c>
      <c r="F277" s="788">
        <f t="shared" si="56"/>
        <v>0.1</v>
      </c>
      <c r="G277" s="788">
        <f t="shared" si="57"/>
        <v>0.3</v>
      </c>
      <c r="H277" s="807">
        <v>0.1</v>
      </c>
      <c r="I277" s="808">
        <v>0.2</v>
      </c>
      <c r="J277" s="808">
        <v>0.5</v>
      </c>
      <c r="K277" s="788">
        <f t="shared" si="58"/>
        <v>0.1</v>
      </c>
      <c r="L277" s="791">
        <f t="shared" si="59"/>
        <v>0.3</v>
      </c>
      <c r="M277" s="802"/>
    </row>
    <row r="278" spans="1:13">
      <c r="A278" s="163">
        <v>5</v>
      </c>
      <c r="B278" s="158" t="s">
        <v>104</v>
      </c>
      <c r="C278" s="809">
        <v>0.43890000000000001</v>
      </c>
      <c r="D278" s="810">
        <v>0.8</v>
      </c>
      <c r="E278" s="810">
        <v>1</v>
      </c>
      <c r="F278" s="794">
        <f t="shared" si="56"/>
        <v>0.36110000000000003</v>
      </c>
      <c r="G278" s="794">
        <f t="shared" si="57"/>
        <v>0.19999999999999996</v>
      </c>
      <c r="H278" s="809">
        <v>0.1</v>
      </c>
      <c r="I278" s="810">
        <v>0.1</v>
      </c>
      <c r="J278" s="810">
        <v>0.1</v>
      </c>
      <c r="K278" s="794">
        <f t="shared" si="58"/>
        <v>0</v>
      </c>
      <c r="L278" s="795">
        <f t="shared" si="59"/>
        <v>0</v>
      </c>
      <c r="M278" s="802"/>
    </row>
    <row r="279" spans="1:13">
      <c r="A279" s="163">
        <v>6</v>
      </c>
      <c r="B279" s="158" t="s">
        <v>105</v>
      </c>
      <c r="C279" s="809">
        <v>0.43890000000000001</v>
      </c>
      <c r="D279" s="810">
        <v>0.8</v>
      </c>
      <c r="E279" s="810">
        <v>1</v>
      </c>
      <c r="F279" s="794">
        <f t="shared" si="56"/>
        <v>0.36110000000000003</v>
      </c>
      <c r="G279" s="794">
        <f t="shared" si="57"/>
        <v>0.19999999999999996</v>
      </c>
      <c r="H279" s="809">
        <v>0.1</v>
      </c>
      <c r="I279" s="810">
        <v>0.1</v>
      </c>
      <c r="J279" s="810">
        <v>0.1</v>
      </c>
      <c r="K279" s="794">
        <f t="shared" si="58"/>
        <v>0</v>
      </c>
      <c r="L279" s="795">
        <f t="shared" si="59"/>
        <v>0</v>
      </c>
      <c r="M279" s="802"/>
    </row>
    <row r="280" spans="1:13">
      <c r="A280" s="163">
        <v>7</v>
      </c>
      <c r="B280" s="158" t="s">
        <v>106</v>
      </c>
      <c r="C280" s="809">
        <v>0.43890000000000001</v>
      </c>
      <c r="D280" s="810">
        <v>0.8</v>
      </c>
      <c r="E280" s="810">
        <v>1</v>
      </c>
      <c r="F280" s="794">
        <f t="shared" si="56"/>
        <v>0.36110000000000003</v>
      </c>
      <c r="G280" s="794">
        <f t="shared" si="57"/>
        <v>0.19999999999999996</v>
      </c>
      <c r="H280" s="809">
        <v>0.1</v>
      </c>
      <c r="I280" s="810">
        <v>0.1</v>
      </c>
      <c r="J280" s="810">
        <v>0.1</v>
      </c>
      <c r="K280" s="794">
        <f t="shared" si="58"/>
        <v>0</v>
      </c>
      <c r="L280" s="795">
        <f t="shared" si="59"/>
        <v>0</v>
      </c>
      <c r="M280" s="802"/>
    </row>
    <row r="281" spans="1:13">
      <c r="A281" s="163">
        <v>8</v>
      </c>
      <c r="B281" s="158" t="s">
        <v>107</v>
      </c>
      <c r="C281" s="809">
        <v>0.43890000000000001</v>
      </c>
      <c r="D281" s="810">
        <v>0.8</v>
      </c>
      <c r="E281" s="810">
        <v>1</v>
      </c>
      <c r="F281" s="794">
        <f t="shared" si="56"/>
        <v>0.36110000000000003</v>
      </c>
      <c r="G281" s="794">
        <f t="shared" si="57"/>
        <v>0.19999999999999996</v>
      </c>
      <c r="H281" s="809">
        <v>0.1</v>
      </c>
      <c r="I281" s="810">
        <v>0.1</v>
      </c>
      <c r="J281" s="810">
        <v>0.1</v>
      </c>
      <c r="K281" s="794">
        <f t="shared" si="58"/>
        <v>0</v>
      </c>
      <c r="L281" s="795">
        <f t="shared" si="59"/>
        <v>0</v>
      </c>
      <c r="M281" s="802"/>
    </row>
    <row r="282" spans="1:13">
      <c r="A282" s="163">
        <v>9</v>
      </c>
      <c r="B282" s="158" t="s">
        <v>108</v>
      </c>
      <c r="C282" s="809">
        <v>0.43890000000000001</v>
      </c>
      <c r="D282" s="810">
        <v>0.8</v>
      </c>
      <c r="E282" s="810">
        <v>1</v>
      </c>
      <c r="F282" s="794">
        <f t="shared" si="56"/>
        <v>0.36110000000000003</v>
      </c>
      <c r="G282" s="794">
        <f t="shared" si="57"/>
        <v>0.19999999999999996</v>
      </c>
      <c r="H282" s="809">
        <v>0.1</v>
      </c>
      <c r="I282" s="810">
        <v>0.1</v>
      </c>
      <c r="J282" s="810">
        <v>0.1</v>
      </c>
      <c r="K282" s="794">
        <f t="shared" si="58"/>
        <v>0</v>
      </c>
      <c r="L282" s="795">
        <f t="shared" si="59"/>
        <v>0</v>
      </c>
      <c r="M282" s="802"/>
    </row>
    <row r="283" spans="1:13">
      <c r="A283" s="163">
        <v>10</v>
      </c>
      <c r="B283" s="158" t="s">
        <v>109</v>
      </c>
      <c r="C283" s="809">
        <v>0.43890000000000001</v>
      </c>
      <c r="D283" s="810">
        <v>0.8</v>
      </c>
      <c r="E283" s="810">
        <v>1</v>
      </c>
      <c r="F283" s="794">
        <f t="shared" si="56"/>
        <v>0.36110000000000003</v>
      </c>
      <c r="G283" s="794">
        <f t="shared" si="57"/>
        <v>0.19999999999999996</v>
      </c>
      <c r="H283" s="809">
        <v>0.1</v>
      </c>
      <c r="I283" s="810">
        <v>0.1</v>
      </c>
      <c r="J283" s="810">
        <v>0.1</v>
      </c>
      <c r="K283" s="794">
        <f t="shared" si="58"/>
        <v>0</v>
      </c>
      <c r="L283" s="795">
        <f t="shared" si="59"/>
        <v>0</v>
      </c>
      <c r="M283" s="802"/>
    </row>
    <row r="284" spans="1:13">
      <c r="A284" s="163">
        <v>11</v>
      </c>
      <c r="B284" s="111" t="s">
        <v>110</v>
      </c>
      <c r="C284" s="809">
        <v>0.43890000000000001</v>
      </c>
      <c r="D284" s="810">
        <v>0.8</v>
      </c>
      <c r="E284" s="810">
        <v>1</v>
      </c>
      <c r="F284" s="794">
        <f t="shared" si="56"/>
        <v>0.36110000000000003</v>
      </c>
      <c r="G284" s="794">
        <f t="shared" si="57"/>
        <v>0.19999999999999996</v>
      </c>
      <c r="H284" s="809">
        <v>0.1</v>
      </c>
      <c r="I284" s="810">
        <v>0.1</v>
      </c>
      <c r="J284" s="810">
        <v>0.1</v>
      </c>
      <c r="K284" s="794">
        <f t="shared" si="58"/>
        <v>0</v>
      </c>
      <c r="L284" s="795">
        <f t="shared" si="59"/>
        <v>0</v>
      </c>
      <c r="M284" s="802"/>
    </row>
    <row r="285" spans="1:13">
      <c r="A285" s="163">
        <v>12</v>
      </c>
      <c r="B285" s="111" t="s">
        <v>111</v>
      </c>
      <c r="C285" s="809">
        <v>0.43890000000000001</v>
      </c>
      <c r="D285" s="810">
        <v>0.8</v>
      </c>
      <c r="E285" s="810">
        <v>1</v>
      </c>
      <c r="F285" s="794">
        <f t="shared" si="56"/>
        <v>0.36110000000000003</v>
      </c>
      <c r="G285" s="794">
        <f t="shared" si="57"/>
        <v>0.19999999999999996</v>
      </c>
      <c r="H285" s="809">
        <v>0.1</v>
      </c>
      <c r="I285" s="810">
        <v>0.1</v>
      </c>
      <c r="J285" s="810">
        <v>0.1</v>
      </c>
      <c r="K285" s="794">
        <f t="shared" si="58"/>
        <v>0</v>
      </c>
      <c r="L285" s="795">
        <f t="shared" si="59"/>
        <v>0</v>
      </c>
      <c r="M285" s="802"/>
    </row>
    <row r="286" spans="1:13">
      <c r="A286" s="163">
        <v>13</v>
      </c>
      <c r="B286" s="111" t="s">
        <v>112</v>
      </c>
      <c r="C286" s="809">
        <v>0.43890000000000001</v>
      </c>
      <c r="D286" s="810">
        <v>0.8</v>
      </c>
      <c r="E286" s="810">
        <v>1</v>
      </c>
      <c r="F286" s="794">
        <f t="shared" si="56"/>
        <v>0.36110000000000003</v>
      </c>
      <c r="G286" s="794">
        <f t="shared" si="57"/>
        <v>0.19999999999999996</v>
      </c>
      <c r="H286" s="809">
        <v>0.1</v>
      </c>
      <c r="I286" s="810">
        <v>0.1</v>
      </c>
      <c r="J286" s="810">
        <v>0.1</v>
      </c>
      <c r="K286" s="794">
        <f t="shared" si="58"/>
        <v>0</v>
      </c>
      <c r="L286" s="795">
        <f t="shared" si="59"/>
        <v>0</v>
      </c>
      <c r="M286" s="802"/>
    </row>
    <row r="287" spans="1:13">
      <c r="A287" s="163">
        <v>14</v>
      </c>
      <c r="B287" s="158" t="s">
        <v>113</v>
      </c>
      <c r="C287" s="809">
        <v>0.43890000000000001</v>
      </c>
      <c r="D287" s="810">
        <v>0.8</v>
      </c>
      <c r="E287" s="810">
        <v>1</v>
      </c>
      <c r="F287" s="794">
        <f t="shared" si="56"/>
        <v>0.36110000000000003</v>
      </c>
      <c r="G287" s="794">
        <f t="shared" si="57"/>
        <v>0.19999999999999996</v>
      </c>
      <c r="H287" s="809">
        <v>0.1</v>
      </c>
      <c r="I287" s="810">
        <v>0.1</v>
      </c>
      <c r="J287" s="810">
        <v>0.1</v>
      </c>
      <c r="K287" s="794">
        <f t="shared" si="58"/>
        <v>0</v>
      </c>
      <c r="L287" s="795">
        <f t="shared" si="59"/>
        <v>0</v>
      </c>
      <c r="M287" s="802"/>
    </row>
    <row r="288" spans="1:13">
      <c r="A288" s="163">
        <v>15</v>
      </c>
      <c r="B288" s="158" t="s">
        <v>114</v>
      </c>
      <c r="C288" s="809">
        <v>0.43890000000000001</v>
      </c>
      <c r="D288" s="810">
        <v>0.8</v>
      </c>
      <c r="E288" s="810">
        <v>1</v>
      </c>
      <c r="F288" s="794">
        <f t="shared" si="56"/>
        <v>0.36110000000000003</v>
      </c>
      <c r="G288" s="794">
        <f t="shared" si="57"/>
        <v>0.19999999999999996</v>
      </c>
      <c r="H288" s="809">
        <v>0.1</v>
      </c>
      <c r="I288" s="810">
        <v>0.1</v>
      </c>
      <c r="J288" s="810">
        <v>0.1</v>
      </c>
      <c r="K288" s="794">
        <f t="shared" si="58"/>
        <v>0</v>
      </c>
      <c r="L288" s="795">
        <f t="shared" si="59"/>
        <v>0</v>
      </c>
      <c r="M288" s="802"/>
    </row>
    <row r="289" spans="1:13">
      <c r="A289" s="163">
        <v>16</v>
      </c>
      <c r="B289" s="158" t="s">
        <v>115</v>
      </c>
      <c r="C289" s="809">
        <v>0.43890000000000001</v>
      </c>
      <c r="D289" s="810">
        <v>0.8</v>
      </c>
      <c r="E289" s="810">
        <v>1</v>
      </c>
      <c r="F289" s="794">
        <f t="shared" si="56"/>
        <v>0.36110000000000003</v>
      </c>
      <c r="G289" s="794">
        <f t="shared" si="57"/>
        <v>0.19999999999999996</v>
      </c>
      <c r="H289" s="809">
        <v>0.1</v>
      </c>
      <c r="I289" s="810">
        <v>0.1</v>
      </c>
      <c r="J289" s="810">
        <v>0.1</v>
      </c>
      <c r="K289" s="794">
        <f t="shared" si="58"/>
        <v>0</v>
      </c>
      <c r="L289" s="795">
        <f t="shared" si="59"/>
        <v>0</v>
      </c>
      <c r="M289" s="802"/>
    </row>
    <row r="290" spans="1:13">
      <c r="A290" s="163">
        <v>17</v>
      </c>
      <c r="B290" s="158" t="s">
        <v>116</v>
      </c>
      <c r="C290" s="811">
        <v>0</v>
      </c>
      <c r="D290" s="812">
        <f t="shared" ref="D290:D291" si="60">E290-C290</f>
        <v>0</v>
      </c>
      <c r="E290" s="812">
        <v>0</v>
      </c>
      <c r="F290" s="796">
        <f t="shared" si="56"/>
        <v>0</v>
      </c>
      <c r="G290" s="796">
        <f t="shared" si="57"/>
        <v>0</v>
      </c>
      <c r="H290" s="811">
        <v>0</v>
      </c>
      <c r="I290" s="812">
        <v>0</v>
      </c>
      <c r="J290" s="812">
        <v>0</v>
      </c>
      <c r="K290" s="796">
        <f t="shared" si="58"/>
        <v>0</v>
      </c>
      <c r="L290" s="797">
        <f t="shared" si="59"/>
        <v>0</v>
      </c>
      <c r="M290" s="802"/>
    </row>
    <row r="291" spans="1:13">
      <c r="A291" s="163">
        <v>18</v>
      </c>
      <c r="B291" s="158" t="s">
        <v>117</v>
      </c>
      <c r="C291" s="811">
        <v>0</v>
      </c>
      <c r="D291" s="812">
        <f t="shared" si="60"/>
        <v>0</v>
      </c>
      <c r="E291" s="812">
        <v>0</v>
      </c>
      <c r="F291" s="796">
        <f t="shared" si="56"/>
        <v>0</v>
      </c>
      <c r="G291" s="796">
        <f t="shared" si="57"/>
        <v>0</v>
      </c>
      <c r="H291" s="811">
        <v>0</v>
      </c>
      <c r="I291" s="812">
        <v>0</v>
      </c>
      <c r="J291" s="812">
        <v>0</v>
      </c>
      <c r="K291" s="796">
        <f t="shared" si="58"/>
        <v>0</v>
      </c>
      <c r="L291" s="797">
        <f t="shared" si="59"/>
        <v>0</v>
      </c>
      <c r="M291" s="802"/>
    </row>
    <row r="292" spans="1:13">
      <c r="A292" s="163">
        <v>19</v>
      </c>
      <c r="B292" s="158" t="s">
        <v>118</v>
      </c>
      <c r="C292" s="807">
        <v>0.1</v>
      </c>
      <c r="D292" s="808">
        <v>0.2</v>
      </c>
      <c r="E292" s="808">
        <v>0.4</v>
      </c>
      <c r="F292" s="788">
        <f t="shared" si="56"/>
        <v>0.1</v>
      </c>
      <c r="G292" s="788">
        <f t="shared" si="57"/>
        <v>0.2</v>
      </c>
      <c r="H292" s="807">
        <v>0.1</v>
      </c>
      <c r="I292" s="808">
        <v>0.2</v>
      </c>
      <c r="J292" s="808">
        <v>0.4</v>
      </c>
      <c r="K292" s="788">
        <f t="shared" si="58"/>
        <v>0.1</v>
      </c>
      <c r="L292" s="791">
        <f t="shared" si="59"/>
        <v>0.2</v>
      </c>
      <c r="M292" s="802"/>
    </row>
    <row r="293" spans="1:13">
      <c r="A293" s="165">
        <v>20</v>
      </c>
      <c r="B293" s="160" t="s">
        <v>119</v>
      </c>
      <c r="C293" s="813">
        <v>0.1</v>
      </c>
      <c r="D293" s="814">
        <v>0.2</v>
      </c>
      <c r="E293" s="814">
        <v>0.4</v>
      </c>
      <c r="F293" s="792">
        <f t="shared" si="56"/>
        <v>0.1</v>
      </c>
      <c r="G293" s="792">
        <f t="shared" si="57"/>
        <v>0.2</v>
      </c>
      <c r="H293" s="813">
        <v>0.1</v>
      </c>
      <c r="I293" s="814">
        <v>0.2</v>
      </c>
      <c r="J293" s="814">
        <v>0.4</v>
      </c>
      <c r="K293" s="792">
        <f t="shared" si="58"/>
        <v>0.1</v>
      </c>
      <c r="L293" s="793">
        <f t="shared" si="59"/>
        <v>0.2</v>
      </c>
      <c r="M293" s="788"/>
    </row>
    <row r="294" spans="1:13">
      <c r="C294"/>
      <c r="D294"/>
      <c r="E294"/>
      <c r="F294"/>
      <c r="G294"/>
      <c r="H294"/>
    </row>
    <row r="295" spans="1:13">
      <c r="C295"/>
      <c r="D295"/>
      <c r="E295"/>
      <c r="F295"/>
      <c r="G295"/>
      <c r="H295"/>
    </row>
    <row r="296" spans="1:13">
      <c r="A296" s="34" t="s">
        <v>1291</v>
      </c>
      <c r="B296" s="1347"/>
      <c r="C296" s="1347"/>
      <c r="D296" s="1347"/>
      <c r="E296" s="1347"/>
      <c r="F296" s="1347"/>
      <c r="G296" s="1347"/>
      <c r="H296" s="1347"/>
      <c r="I296" s="1347"/>
      <c r="J296" s="1347"/>
      <c r="K296" s="1347"/>
      <c r="L296" s="1349"/>
    </row>
    <row r="297" spans="1:13">
      <c r="A297" s="107" t="s">
        <v>927</v>
      </c>
    </row>
    <row r="298" spans="1:13">
      <c r="A298" s="107" t="s">
        <v>641</v>
      </c>
    </row>
    <row r="299" spans="1:13">
      <c r="A299" s="107" t="s">
        <v>655</v>
      </c>
    </row>
    <row r="301" spans="1:13">
      <c r="C301" s="1447" t="s">
        <v>632</v>
      </c>
      <c r="D301" s="1447"/>
      <c r="E301" s="1447"/>
      <c r="F301" s="1447"/>
      <c r="G301" s="1447"/>
      <c r="H301" s="1456" t="s">
        <v>631</v>
      </c>
      <c r="I301" s="1457"/>
      <c r="J301" s="1457"/>
      <c r="K301" s="1457"/>
      <c r="L301" s="1457"/>
      <c r="M301" s="1458"/>
    </row>
    <row r="302" spans="1:13">
      <c r="A302" s="648" t="s">
        <v>656</v>
      </c>
      <c r="B302" s="522" t="s">
        <v>168</v>
      </c>
      <c r="C302" s="816" t="s">
        <v>150</v>
      </c>
      <c r="D302" s="816" t="s">
        <v>271</v>
      </c>
      <c r="E302" s="816" t="s">
        <v>152</v>
      </c>
      <c r="F302" s="816" t="s">
        <v>203</v>
      </c>
      <c r="G302" s="816" t="s">
        <v>289</v>
      </c>
      <c r="H302" s="817" t="s">
        <v>150</v>
      </c>
      <c r="I302" s="817" t="s">
        <v>271</v>
      </c>
      <c r="J302" s="817" t="s">
        <v>152</v>
      </c>
      <c r="K302" s="817" t="s">
        <v>203</v>
      </c>
      <c r="L302" s="817" t="s">
        <v>289</v>
      </c>
      <c r="M302" s="817" t="s">
        <v>156</v>
      </c>
    </row>
    <row r="303" spans="1:13">
      <c r="A303" s="161">
        <v>1</v>
      </c>
      <c r="B303" s="156" t="s">
        <v>100</v>
      </c>
      <c r="C303" s="818">
        <v>0.85</v>
      </c>
      <c r="D303" s="818">
        <v>0.85</v>
      </c>
      <c r="E303" s="818">
        <v>0.85</v>
      </c>
      <c r="F303" s="818">
        <v>0.85</v>
      </c>
      <c r="G303" s="818">
        <v>0.85</v>
      </c>
      <c r="H303" s="534">
        <v>0.12806105597591128</v>
      </c>
      <c r="I303" s="535">
        <v>0.62018326062105855</v>
      </c>
      <c r="J303" s="535">
        <v>0.87338646703004263</v>
      </c>
      <c r="K303" s="535">
        <v>1</v>
      </c>
      <c r="L303" s="536">
        <v>0.34096739876539905</v>
      </c>
      <c r="M303" s="703">
        <v>0.77314170599929488</v>
      </c>
    </row>
    <row r="304" spans="1:13">
      <c r="A304" s="163">
        <v>2</v>
      </c>
      <c r="B304" s="158" t="s">
        <v>101</v>
      </c>
      <c r="C304" s="809">
        <v>0.67999999999999994</v>
      </c>
      <c r="D304" s="809">
        <v>0.67999999999999994</v>
      </c>
      <c r="E304" s="809">
        <v>0.67999999999999994</v>
      </c>
      <c r="F304" s="809">
        <v>0.67999999999999994</v>
      </c>
      <c r="G304" s="809">
        <v>0.67999999999999994</v>
      </c>
      <c r="H304" s="537">
        <v>0.43746521336569028</v>
      </c>
      <c r="I304" s="538">
        <v>0.70756675133143887</v>
      </c>
      <c r="J304" s="538">
        <v>0.69371322041819905</v>
      </c>
      <c r="K304" s="538">
        <v>0.49502356629740202</v>
      </c>
      <c r="L304" s="539">
        <v>4.7318219039912346E-2</v>
      </c>
      <c r="M304" s="703">
        <v>0.47748474553150005</v>
      </c>
    </row>
    <row r="305" spans="1:13">
      <c r="A305" s="163">
        <v>3</v>
      </c>
      <c r="B305" s="158" t="s">
        <v>102</v>
      </c>
      <c r="C305" s="809">
        <v>0.35</v>
      </c>
      <c r="D305" s="809">
        <v>0.35</v>
      </c>
      <c r="E305" s="809">
        <v>0.35</v>
      </c>
      <c r="F305" s="809">
        <v>0.35</v>
      </c>
      <c r="G305" s="809">
        <v>0.35</v>
      </c>
      <c r="H305" s="537">
        <v>0.76520235620977994</v>
      </c>
      <c r="I305" s="538">
        <v>1</v>
      </c>
      <c r="J305" s="538">
        <v>1</v>
      </c>
      <c r="K305" s="538">
        <v>0.97379360823088046</v>
      </c>
      <c r="L305" s="539">
        <v>0.35670665076524893</v>
      </c>
      <c r="M305" s="703">
        <v>0.89223890184282839</v>
      </c>
    </row>
    <row r="306" spans="1:13">
      <c r="A306" s="163">
        <v>4</v>
      </c>
      <c r="B306" s="158" t="s">
        <v>103</v>
      </c>
      <c r="C306" s="809">
        <v>0.19999999999999996</v>
      </c>
      <c r="D306" s="809">
        <v>0.19999999999999996</v>
      </c>
      <c r="E306" s="809">
        <v>0.19999999999999996</v>
      </c>
      <c r="F306" s="809">
        <v>0.19999999999999996</v>
      </c>
      <c r="G306" s="809">
        <v>0.19999999999999996</v>
      </c>
      <c r="H306" s="537">
        <v>0.27159385283203807</v>
      </c>
      <c r="I306" s="538">
        <v>0.27190147325416658</v>
      </c>
      <c r="J306" s="538">
        <v>0.38422172113283048</v>
      </c>
      <c r="K306" s="538">
        <v>0.50944795339786919</v>
      </c>
      <c r="L306" s="539">
        <v>0.22807963675072868</v>
      </c>
      <c r="M306" s="703">
        <v>0.43452594001957739</v>
      </c>
    </row>
    <row r="307" spans="1:13">
      <c r="A307" s="163">
        <v>5</v>
      </c>
      <c r="B307" s="158" t="s">
        <v>104</v>
      </c>
      <c r="C307" s="807">
        <v>1</v>
      </c>
      <c r="D307" s="807">
        <v>1</v>
      </c>
      <c r="E307" s="807">
        <v>1</v>
      </c>
      <c r="F307" s="807">
        <v>1</v>
      </c>
      <c r="G307" s="807">
        <v>1</v>
      </c>
      <c r="H307" s="526">
        <v>1</v>
      </c>
      <c r="I307" s="523">
        <v>1</v>
      </c>
      <c r="J307" s="523">
        <v>1</v>
      </c>
      <c r="K307" s="523">
        <v>1</v>
      </c>
      <c r="L307" s="527">
        <v>1</v>
      </c>
    </row>
    <row r="308" spans="1:13">
      <c r="A308" s="163">
        <v>6</v>
      </c>
      <c r="B308" s="158" t="s">
        <v>105</v>
      </c>
      <c r="C308" s="807">
        <v>1</v>
      </c>
      <c r="D308" s="807">
        <v>1</v>
      </c>
      <c r="E308" s="807">
        <v>1</v>
      </c>
      <c r="F308" s="807">
        <v>1</v>
      </c>
      <c r="G308" s="807">
        <v>1</v>
      </c>
      <c r="H308" s="526">
        <v>1</v>
      </c>
      <c r="I308" s="523">
        <v>1</v>
      </c>
      <c r="J308" s="523">
        <v>1</v>
      </c>
      <c r="K308" s="523">
        <v>1</v>
      </c>
      <c r="L308" s="527">
        <v>1</v>
      </c>
    </row>
    <row r="309" spans="1:13">
      <c r="A309" s="163">
        <v>7</v>
      </c>
      <c r="B309" s="158" t="s">
        <v>106</v>
      </c>
      <c r="C309" s="807">
        <v>1</v>
      </c>
      <c r="D309" s="807">
        <v>1</v>
      </c>
      <c r="E309" s="807">
        <v>1</v>
      </c>
      <c r="F309" s="807">
        <v>1</v>
      </c>
      <c r="G309" s="807">
        <v>1</v>
      </c>
      <c r="H309" s="526">
        <v>1</v>
      </c>
      <c r="I309" s="523">
        <v>1</v>
      </c>
      <c r="J309" s="523">
        <v>1</v>
      </c>
      <c r="K309" s="523">
        <v>1</v>
      </c>
      <c r="L309" s="527">
        <v>1</v>
      </c>
    </row>
    <row r="310" spans="1:13">
      <c r="A310" s="163">
        <v>8</v>
      </c>
      <c r="B310" s="158" t="s">
        <v>107</v>
      </c>
      <c r="C310" s="819">
        <v>0.7</v>
      </c>
      <c r="D310" s="819">
        <v>0.7</v>
      </c>
      <c r="E310" s="819">
        <v>0.7</v>
      </c>
      <c r="F310" s="819">
        <v>0.7</v>
      </c>
      <c r="G310" s="819">
        <v>0.7</v>
      </c>
      <c r="H310" s="531">
        <v>0.7</v>
      </c>
      <c r="I310" s="532">
        <v>0.7</v>
      </c>
      <c r="J310" s="532">
        <v>0.7</v>
      </c>
      <c r="K310" s="532">
        <v>0.7</v>
      </c>
      <c r="L310" s="533">
        <v>0.7</v>
      </c>
    </row>
    <row r="311" spans="1:13">
      <c r="A311" s="163">
        <v>9</v>
      </c>
      <c r="B311" s="158" t="s">
        <v>108</v>
      </c>
      <c r="C311" s="819">
        <v>0.7</v>
      </c>
      <c r="D311" s="819">
        <v>0.7</v>
      </c>
      <c r="E311" s="819">
        <v>0.7</v>
      </c>
      <c r="F311" s="819">
        <v>0.7</v>
      </c>
      <c r="G311" s="819">
        <v>0.7</v>
      </c>
      <c r="H311" s="531">
        <v>0.7</v>
      </c>
      <c r="I311" s="532">
        <v>0.7</v>
      </c>
      <c r="J311" s="532">
        <v>0.7</v>
      </c>
      <c r="K311" s="532">
        <v>0.7</v>
      </c>
      <c r="L311" s="533">
        <v>0.7</v>
      </c>
    </row>
    <row r="312" spans="1:13">
      <c r="A312" s="163">
        <v>10</v>
      </c>
      <c r="B312" s="158" t="s">
        <v>109</v>
      </c>
      <c r="C312" s="540">
        <v>0.38993623511910486</v>
      </c>
      <c r="D312" s="541">
        <v>0.20511415799575819</v>
      </c>
      <c r="E312" s="541">
        <v>0</v>
      </c>
      <c r="F312" s="541">
        <v>8.4101622722939889E-2</v>
      </c>
      <c r="G312" s="542">
        <v>0.47928121296544313</v>
      </c>
      <c r="H312" s="540">
        <v>0.38993623511910486</v>
      </c>
      <c r="I312" s="541">
        <v>0.20511415799575819</v>
      </c>
      <c r="J312" s="541">
        <v>0</v>
      </c>
      <c r="K312" s="541">
        <v>8.4101622722939889E-2</v>
      </c>
      <c r="L312" s="542">
        <v>0.47928121296544313</v>
      </c>
      <c r="M312" s="815">
        <v>0.4</v>
      </c>
    </row>
    <row r="313" spans="1:13">
      <c r="A313" s="163">
        <v>11</v>
      </c>
      <c r="B313" s="111" t="s">
        <v>110</v>
      </c>
      <c r="C313" s="807">
        <v>1</v>
      </c>
      <c r="D313" s="807">
        <v>1</v>
      </c>
      <c r="E313" s="807">
        <v>1</v>
      </c>
      <c r="F313" s="807">
        <v>1</v>
      </c>
      <c r="G313" s="807">
        <v>1</v>
      </c>
      <c r="H313" s="526">
        <v>1</v>
      </c>
      <c r="I313" s="523">
        <v>1</v>
      </c>
      <c r="J313" s="523">
        <v>1</v>
      </c>
      <c r="K313" s="523">
        <v>1</v>
      </c>
      <c r="L313" s="527">
        <v>1</v>
      </c>
    </row>
    <row r="314" spans="1:13">
      <c r="A314" s="163">
        <v>12</v>
      </c>
      <c r="B314" s="111" t="s">
        <v>111</v>
      </c>
      <c r="C314" s="819">
        <v>0.5</v>
      </c>
      <c r="D314" s="819">
        <v>0.5</v>
      </c>
      <c r="E314" s="819">
        <v>0.5</v>
      </c>
      <c r="F314" s="819">
        <v>0.5</v>
      </c>
      <c r="G314" s="819">
        <v>0.5</v>
      </c>
      <c r="H314" s="531">
        <v>0.5</v>
      </c>
      <c r="I314" s="532">
        <v>0.5</v>
      </c>
      <c r="J314" s="532">
        <v>0.5</v>
      </c>
      <c r="K314" s="532">
        <v>0.5</v>
      </c>
      <c r="L314" s="533">
        <v>0.5</v>
      </c>
    </row>
    <row r="315" spans="1:13">
      <c r="A315" s="163">
        <v>13</v>
      </c>
      <c r="B315" s="111" t="s">
        <v>112</v>
      </c>
      <c r="C315" s="807">
        <v>1</v>
      </c>
      <c r="D315" s="807">
        <v>1</v>
      </c>
      <c r="E315" s="807">
        <v>1</v>
      </c>
      <c r="F315" s="807">
        <v>1</v>
      </c>
      <c r="G315" s="807">
        <v>1</v>
      </c>
      <c r="H315" s="526">
        <v>1</v>
      </c>
      <c r="I315" s="523">
        <v>1</v>
      </c>
      <c r="J315" s="523">
        <v>1</v>
      </c>
      <c r="K315" s="523">
        <v>1</v>
      </c>
      <c r="L315" s="527">
        <v>1</v>
      </c>
    </row>
    <row r="316" spans="1:13">
      <c r="A316" s="163">
        <v>14</v>
      </c>
      <c r="B316" s="158" t="s">
        <v>113</v>
      </c>
      <c r="C316" s="807">
        <v>1</v>
      </c>
      <c r="D316" s="807">
        <v>1</v>
      </c>
      <c r="E316" s="807">
        <v>1</v>
      </c>
      <c r="F316" s="807">
        <v>1</v>
      </c>
      <c r="G316" s="807">
        <v>1</v>
      </c>
      <c r="H316" s="526">
        <v>1</v>
      </c>
      <c r="I316" s="523">
        <v>1</v>
      </c>
      <c r="J316" s="523">
        <v>1</v>
      </c>
      <c r="K316" s="523">
        <v>1</v>
      </c>
      <c r="L316" s="527">
        <v>1</v>
      </c>
    </row>
    <row r="317" spans="1:13">
      <c r="A317" s="163">
        <v>15</v>
      </c>
      <c r="B317" s="158" t="s">
        <v>114</v>
      </c>
      <c r="C317" s="807">
        <v>1</v>
      </c>
      <c r="D317" s="807">
        <v>1</v>
      </c>
      <c r="E317" s="807">
        <v>1</v>
      </c>
      <c r="F317" s="807">
        <v>1</v>
      </c>
      <c r="G317" s="807">
        <v>1</v>
      </c>
      <c r="H317" s="526">
        <v>1</v>
      </c>
      <c r="I317" s="523">
        <v>1</v>
      </c>
      <c r="J317" s="523">
        <v>1</v>
      </c>
      <c r="K317" s="523">
        <v>1</v>
      </c>
      <c r="L317" s="527">
        <v>1</v>
      </c>
    </row>
    <row r="318" spans="1:13">
      <c r="A318" s="163">
        <v>16</v>
      </c>
      <c r="B318" s="158" t="s">
        <v>115</v>
      </c>
      <c r="C318" s="807">
        <v>1</v>
      </c>
      <c r="D318" s="807">
        <v>1</v>
      </c>
      <c r="E318" s="807">
        <v>1</v>
      </c>
      <c r="F318" s="807">
        <v>1</v>
      </c>
      <c r="G318" s="807">
        <v>1</v>
      </c>
      <c r="H318" s="526">
        <v>1</v>
      </c>
      <c r="I318" s="523">
        <v>1</v>
      </c>
      <c r="J318" s="523">
        <v>1</v>
      </c>
      <c r="K318" s="523">
        <v>1</v>
      </c>
      <c r="L318" s="527">
        <v>1</v>
      </c>
    </row>
    <row r="319" spans="1:13">
      <c r="A319" s="163">
        <v>17</v>
      </c>
      <c r="B319" s="158" t="s">
        <v>116</v>
      </c>
      <c r="C319" s="807">
        <v>1</v>
      </c>
      <c r="D319" s="807">
        <v>1</v>
      </c>
      <c r="E319" s="807">
        <v>1</v>
      </c>
      <c r="F319" s="807">
        <v>1</v>
      </c>
      <c r="G319" s="807">
        <v>1</v>
      </c>
      <c r="H319" s="526">
        <v>1</v>
      </c>
      <c r="I319" s="523">
        <v>1</v>
      </c>
      <c r="J319" s="523">
        <v>1</v>
      </c>
      <c r="K319" s="523">
        <v>1</v>
      </c>
      <c r="L319" s="527">
        <v>1</v>
      </c>
    </row>
    <row r="320" spans="1:13">
      <c r="A320" s="163">
        <v>18</v>
      </c>
      <c r="B320" s="158" t="s">
        <v>117</v>
      </c>
      <c r="C320" s="807">
        <v>1</v>
      </c>
      <c r="D320" s="807">
        <v>1</v>
      </c>
      <c r="E320" s="807">
        <v>1</v>
      </c>
      <c r="F320" s="807">
        <v>1</v>
      </c>
      <c r="G320" s="807">
        <v>1</v>
      </c>
      <c r="H320" s="526">
        <v>1</v>
      </c>
      <c r="I320" s="523">
        <v>1</v>
      </c>
      <c r="J320" s="523">
        <v>1</v>
      </c>
      <c r="K320" s="523">
        <v>1</v>
      </c>
      <c r="L320" s="527">
        <v>1</v>
      </c>
    </row>
    <row r="321" spans="1:12">
      <c r="A321" s="163">
        <v>19</v>
      </c>
      <c r="B321" s="158" t="s">
        <v>118</v>
      </c>
      <c r="C321" s="809">
        <v>0.38</v>
      </c>
      <c r="D321" s="809">
        <v>0.38</v>
      </c>
      <c r="E321" s="809">
        <v>0.38</v>
      </c>
      <c r="F321" s="809">
        <v>0.38</v>
      </c>
      <c r="G321" s="809">
        <v>0.38</v>
      </c>
      <c r="H321" s="526">
        <v>1</v>
      </c>
      <c r="I321" s="523">
        <v>1</v>
      </c>
      <c r="J321" s="523">
        <v>1</v>
      </c>
      <c r="K321" s="523">
        <v>1</v>
      </c>
      <c r="L321" s="527">
        <v>1</v>
      </c>
    </row>
    <row r="322" spans="1:12">
      <c r="A322" s="165">
        <v>20</v>
      </c>
      <c r="B322" s="160" t="s">
        <v>119</v>
      </c>
      <c r="C322" s="820">
        <v>0.38</v>
      </c>
      <c r="D322" s="820">
        <v>0.38</v>
      </c>
      <c r="E322" s="820">
        <v>0.38</v>
      </c>
      <c r="F322" s="820">
        <v>0.38</v>
      </c>
      <c r="G322" s="820">
        <v>0.38</v>
      </c>
      <c r="H322" s="528">
        <v>1</v>
      </c>
      <c r="I322" s="529">
        <v>1</v>
      </c>
      <c r="J322" s="529">
        <v>1</v>
      </c>
      <c r="K322" s="529">
        <v>1</v>
      </c>
      <c r="L322" s="530">
        <v>1</v>
      </c>
    </row>
    <row r="324" spans="1:12">
      <c r="A324" s="107" t="s">
        <v>654</v>
      </c>
    </row>
    <row r="325" spans="1:12">
      <c r="A325" s="107" t="s">
        <v>653</v>
      </c>
    </row>
    <row r="326" spans="1:12">
      <c r="A326" s="821" t="s">
        <v>657</v>
      </c>
    </row>
    <row r="327" spans="1:12">
      <c r="A327" s="822" t="s">
        <v>642</v>
      </c>
    </row>
    <row r="328" spans="1:12">
      <c r="A328" s="822" t="s">
        <v>643</v>
      </c>
    </row>
    <row r="329" spans="1:12">
      <c r="A329" s="823" t="s">
        <v>644</v>
      </c>
    </row>
    <row r="330" spans="1:12">
      <c r="A330" s="823" t="s">
        <v>645</v>
      </c>
    </row>
    <row r="331" spans="1:12">
      <c r="A331" s="823" t="s">
        <v>651</v>
      </c>
    </row>
    <row r="332" spans="1:12">
      <c r="A332" s="824" t="s">
        <v>652</v>
      </c>
    </row>
    <row r="333" spans="1:12">
      <c r="A333" s="823" t="s">
        <v>646</v>
      </c>
    </row>
    <row r="334" spans="1:12">
      <c r="A334" s="822" t="s">
        <v>658</v>
      </c>
    </row>
    <row r="335" spans="1:12">
      <c r="A335" s="825" t="s">
        <v>647</v>
      </c>
    </row>
    <row r="336" spans="1:12">
      <c r="A336" s="826" t="s">
        <v>648</v>
      </c>
    </row>
    <row r="337" spans="1:1">
      <c r="A337" s="827" t="s">
        <v>649</v>
      </c>
    </row>
    <row r="338" spans="1:1">
      <c r="A338" s="828" t="s">
        <v>650</v>
      </c>
    </row>
  </sheetData>
  <mergeCells count="23">
    <mergeCell ref="C180:L180"/>
    <mergeCell ref="C181:G181"/>
    <mergeCell ref="H181:L181"/>
    <mergeCell ref="H246:L246"/>
    <mergeCell ref="C246:G246"/>
    <mergeCell ref="C210:D210"/>
    <mergeCell ref="E210:F210"/>
    <mergeCell ref="H257:L257"/>
    <mergeCell ref="C257:G257"/>
    <mergeCell ref="C301:G301"/>
    <mergeCell ref="C19:E19"/>
    <mergeCell ref="C20:E20"/>
    <mergeCell ref="F19:H19"/>
    <mergeCell ref="F20:H20"/>
    <mergeCell ref="C272:G272"/>
    <mergeCell ref="H272:L272"/>
    <mergeCell ref="H301:M301"/>
    <mergeCell ref="C122:L122"/>
    <mergeCell ref="C123:G123"/>
    <mergeCell ref="H123:L123"/>
    <mergeCell ref="C151:L151"/>
    <mergeCell ref="C152:G152"/>
    <mergeCell ref="H152:L152"/>
  </mergeCells>
  <printOptions gridLines="1"/>
  <pageMargins left="0.5" right="0.5" top="0.75" bottom="0.75" header="0.3" footer="0.3"/>
  <pageSetup scale="43" fitToHeight="6" orientation="landscape" r:id="rId1"/>
  <headerFooter>
    <oddFooter>&amp;L&amp;"-,Italic"&amp;9&amp;F, &amp;A&amp;R&amp;"-,Italic"&amp;9&amp;P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dimension ref="A1:U196"/>
  <sheetViews>
    <sheetView zoomScale="90" zoomScaleNormal="90" workbookViewId="0">
      <pane ySplit="17" topLeftCell="A18" activePane="bottomLeft" state="frozen"/>
      <selection pane="bottomLeft" activeCell="A12" sqref="A12"/>
    </sheetView>
  </sheetViews>
  <sheetFormatPr defaultRowHeight="12.75"/>
  <cols>
    <col min="1" max="1" width="8" style="443" customWidth="1"/>
    <col min="2" max="2" width="15.5703125" style="441" customWidth="1"/>
    <col min="3" max="3" width="65.7109375" style="443" customWidth="1"/>
    <col min="4" max="4" width="10.7109375" style="443" customWidth="1"/>
    <col min="5" max="5" width="12.5703125" style="443" customWidth="1"/>
    <col min="6" max="6" width="10.5703125" style="441" customWidth="1"/>
    <col min="7" max="7" width="9.85546875" style="441" customWidth="1"/>
    <col min="8" max="8" width="9.140625" style="441" customWidth="1"/>
    <col min="9" max="9" width="10" style="441" customWidth="1"/>
    <col min="10" max="11" width="9.140625" style="441" customWidth="1"/>
    <col min="12" max="12" width="9.28515625" style="441" customWidth="1"/>
    <col min="13" max="13" width="11.5703125" style="441" customWidth="1"/>
    <col min="14" max="14" width="16.140625" style="441" customWidth="1"/>
    <col min="15" max="15" width="9.42578125" style="450" customWidth="1"/>
    <col min="16" max="16" width="9.7109375" style="443" customWidth="1"/>
    <col min="17" max="17" width="11.5703125" style="443" bestFit="1" customWidth="1"/>
    <col min="18" max="19" width="10.5703125" style="443" customWidth="1"/>
    <col min="20" max="20" width="9.140625" style="443"/>
    <col min="21" max="21" width="17.140625" style="441" customWidth="1"/>
    <col min="22" max="16384" width="9.140625" style="443"/>
  </cols>
  <sheetData>
    <row r="1" spans="1:20">
      <c r="A1" s="1240" t="s">
        <v>368</v>
      </c>
      <c r="B1" s="1241"/>
      <c r="C1" s="1241"/>
      <c r="F1" s="479"/>
      <c r="G1" s="520"/>
      <c r="H1" s="761" t="s">
        <v>852</v>
      </c>
      <c r="J1" s="479"/>
      <c r="K1" s="479"/>
      <c r="L1" s="479"/>
      <c r="M1" s="345" t="s">
        <v>1452</v>
      </c>
    </row>
    <row r="2" spans="1:20">
      <c r="A2" s="444" t="s">
        <v>365</v>
      </c>
      <c r="B2" s="443"/>
      <c r="E2" s="441"/>
      <c r="M2" s="1124" t="s">
        <v>1204</v>
      </c>
    </row>
    <row r="3" spans="1:20">
      <c r="A3" s="970" t="s">
        <v>1018</v>
      </c>
      <c r="B3" s="443"/>
      <c r="E3" s="441"/>
      <c r="G3" s="1121"/>
      <c r="H3" s="1122"/>
      <c r="J3" s="1122"/>
      <c r="M3" s="1311" t="s">
        <v>1266</v>
      </c>
    </row>
    <row r="4" spans="1:20">
      <c r="A4" s="758" t="s">
        <v>847</v>
      </c>
      <c r="B4" s="443"/>
      <c r="E4" s="441"/>
    </row>
    <row r="5" spans="1:20">
      <c r="A5" s="759" t="s">
        <v>848</v>
      </c>
      <c r="B5" s="443"/>
      <c r="E5" s="441"/>
      <c r="O5" s="441"/>
      <c r="P5" s="441"/>
      <c r="R5" s="1105"/>
      <c r="S5" s="1105"/>
    </row>
    <row r="6" spans="1:20">
      <c r="A6" s="758" t="s">
        <v>849</v>
      </c>
      <c r="B6" s="443"/>
      <c r="E6" s="441"/>
      <c r="O6" s="441"/>
      <c r="P6" s="441"/>
      <c r="R6" s="1105"/>
      <c r="S6" s="1105"/>
    </row>
    <row r="7" spans="1:20">
      <c r="A7" s="758" t="s">
        <v>1096</v>
      </c>
      <c r="B7" s="443"/>
      <c r="E7" s="441"/>
      <c r="R7" s="1105"/>
      <c r="S7" s="1105"/>
    </row>
    <row r="8" spans="1:20">
      <c r="A8" s="760" t="s">
        <v>1201</v>
      </c>
      <c r="B8" s="443"/>
      <c r="E8" s="441"/>
      <c r="S8" s="1105"/>
    </row>
    <row r="9" spans="1:20">
      <c r="A9" s="758" t="s">
        <v>850</v>
      </c>
      <c r="B9" s="443"/>
      <c r="E9" s="441"/>
      <c r="S9" s="1105"/>
    </row>
    <row r="10" spans="1:20">
      <c r="A10" s="760" t="s">
        <v>851</v>
      </c>
      <c r="B10" s="443"/>
      <c r="E10" s="441"/>
    </row>
    <row r="11" spans="1:20">
      <c r="A11" s="760" t="s">
        <v>984</v>
      </c>
      <c r="B11" s="443"/>
      <c r="E11" s="441"/>
      <c r="R11" s="1105"/>
      <c r="S11" s="1105"/>
    </row>
    <row r="12" spans="1:20">
      <c r="B12" s="758"/>
    </row>
    <row r="13" spans="1:20">
      <c r="B13" s="758"/>
    </row>
    <row r="14" spans="1:20">
      <c r="A14" s="1245" t="s">
        <v>1252</v>
      </c>
      <c r="B14" s="1243"/>
      <c r="C14" s="663"/>
      <c r="D14" s="663"/>
      <c r="E14" s="663"/>
      <c r="F14" s="664"/>
      <c r="G14" s="664"/>
      <c r="H14" s="664"/>
      <c r="I14" s="664"/>
      <c r="J14" s="664"/>
      <c r="K14" s="664"/>
      <c r="L14" s="664"/>
      <c r="M14" s="664"/>
      <c r="N14" s="664"/>
      <c r="O14" s="1244"/>
      <c r="P14" s="663"/>
      <c r="Q14" s="663"/>
      <c r="R14" s="663"/>
      <c r="S14" s="663"/>
      <c r="T14" s="482" t="s">
        <v>1252</v>
      </c>
    </row>
    <row r="15" spans="1:20">
      <c r="A15" s="1242">
        <v>1</v>
      </c>
      <c r="B15" s="1242">
        <v>2</v>
      </c>
      <c r="C15" s="1242">
        <v>3</v>
      </c>
      <c r="D15" s="1242">
        <v>4</v>
      </c>
      <c r="E15" s="1242">
        <v>5</v>
      </c>
      <c r="F15" s="1242">
        <v>6</v>
      </c>
      <c r="G15" s="1242">
        <v>7</v>
      </c>
      <c r="H15" s="1242">
        <v>8</v>
      </c>
      <c r="I15" s="1242">
        <v>9</v>
      </c>
      <c r="J15" s="1242">
        <v>10</v>
      </c>
      <c r="K15" s="1242">
        <v>11</v>
      </c>
      <c r="L15" s="1242">
        <v>12</v>
      </c>
      <c r="M15" s="1242">
        <v>13</v>
      </c>
      <c r="N15" s="1242">
        <v>14</v>
      </c>
      <c r="O15" s="1242">
        <v>15</v>
      </c>
      <c r="P15" s="1242">
        <v>16</v>
      </c>
      <c r="Q15" s="1242">
        <v>17</v>
      </c>
      <c r="R15" s="1242">
        <v>18</v>
      </c>
      <c r="S15" s="1242">
        <v>19</v>
      </c>
      <c r="T15" s="1242">
        <v>20</v>
      </c>
    </row>
    <row r="16" spans="1:20">
      <c r="H16" s="1182" t="s">
        <v>1228</v>
      </c>
      <c r="I16" s="1183" t="s">
        <v>1229</v>
      </c>
      <c r="J16" s="455"/>
      <c r="K16" s="455"/>
    </row>
    <row r="17" spans="1:20" s="480" customFormat="1" ht="38.25">
      <c r="A17" s="1239" t="s">
        <v>1251</v>
      </c>
      <c r="B17" s="333" t="s">
        <v>259</v>
      </c>
      <c r="C17" s="333" t="s">
        <v>260</v>
      </c>
      <c r="D17" s="333" t="s">
        <v>261</v>
      </c>
      <c r="E17" s="333" t="s">
        <v>262</v>
      </c>
      <c r="F17" s="333" t="s">
        <v>263</v>
      </c>
      <c r="G17" s="333" t="s">
        <v>400</v>
      </c>
      <c r="H17" s="333" t="s">
        <v>265</v>
      </c>
      <c r="I17" s="333" t="s">
        <v>264</v>
      </c>
      <c r="J17" s="333" t="s">
        <v>366</v>
      </c>
      <c r="K17" s="333" t="s">
        <v>367</v>
      </c>
      <c r="L17" s="333" t="s">
        <v>267</v>
      </c>
      <c r="M17" s="333" t="s">
        <v>268</v>
      </c>
      <c r="N17" s="350" t="s">
        <v>401</v>
      </c>
      <c r="O17" s="346" t="s">
        <v>402</v>
      </c>
      <c r="P17" s="346" t="s">
        <v>403</v>
      </c>
      <c r="Q17" s="346" t="s">
        <v>404</v>
      </c>
      <c r="R17" s="346" t="s">
        <v>405</v>
      </c>
      <c r="S17" s="350" t="s">
        <v>1181</v>
      </c>
      <c r="T17" s="1111" t="s">
        <v>596</v>
      </c>
    </row>
    <row r="19" spans="1:20">
      <c r="B19" s="338" t="s">
        <v>393</v>
      </c>
      <c r="C19" s="445"/>
      <c r="D19" s="327"/>
      <c r="E19" s="327"/>
      <c r="F19" s="327"/>
      <c r="G19" s="327"/>
      <c r="H19" s="334"/>
      <c r="I19" s="334"/>
      <c r="J19" s="443"/>
      <c r="K19" s="446"/>
      <c r="L19" s="447"/>
      <c r="M19" s="329"/>
      <c r="N19" s="450"/>
      <c r="O19" s="443"/>
      <c r="T19" s="441"/>
    </row>
    <row r="20" spans="1:20">
      <c r="B20" s="336"/>
      <c r="C20" s="448"/>
      <c r="D20" s="327"/>
      <c r="E20" s="327"/>
      <c r="F20" s="327"/>
      <c r="G20" s="327"/>
      <c r="H20" s="334"/>
      <c r="I20" s="334"/>
      <c r="J20" s="443"/>
      <c r="K20" s="446"/>
      <c r="L20" s="447"/>
      <c r="M20" s="329"/>
      <c r="N20" s="450"/>
      <c r="O20" s="443"/>
      <c r="T20" s="441"/>
    </row>
    <row r="21" spans="1:20">
      <c r="A21" s="441">
        <v>1</v>
      </c>
      <c r="B21" s="340" t="s">
        <v>306</v>
      </c>
      <c r="C21" s="326" t="s">
        <v>307</v>
      </c>
      <c r="D21" s="327" t="s">
        <v>269</v>
      </c>
      <c r="E21" s="326"/>
      <c r="F21" s="327" t="s">
        <v>289</v>
      </c>
      <c r="G21" s="329" t="s">
        <v>282</v>
      </c>
      <c r="H21" s="328">
        <v>12780</v>
      </c>
      <c r="I21" s="328">
        <v>76680</v>
      </c>
      <c r="J21" s="443"/>
      <c r="K21" s="328"/>
      <c r="L21" s="447">
        <v>3</v>
      </c>
      <c r="M21" s="329" t="str">
        <f t="shared" ref="M21:M61" si="0">VLOOKUP(L21,projstatus,2,FALSE)</f>
        <v>Long-Term</v>
      </c>
      <c r="N21" s="450" t="s">
        <v>407</v>
      </c>
      <c r="O21" s="453">
        <v>515650.37</v>
      </c>
      <c r="P21" s="453">
        <v>880140.02800000005</v>
      </c>
      <c r="Q21" s="454">
        <v>26.754417660000001</v>
      </c>
      <c r="R21" s="454">
        <v>81.430605029999995</v>
      </c>
      <c r="S21" s="1112" t="s">
        <v>1182</v>
      </c>
      <c r="T21" s="441" t="str">
        <f t="shared" ref="T21:T61" si="1">TEXT(L21,"#") &amp; "_" &amp; LEFT($G21,1)</f>
        <v>3_L</v>
      </c>
    </row>
    <row r="22" spans="1:20">
      <c r="A22" s="441">
        <v>2</v>
      </c>
      <c r="B22" s="349" t="s">
        <v>934</v>
      </c>
      <c r="C22" s="347" t="s">
        <v>936</v>
      </c>
      <c r="D22" s="348" t="s">
        <v>269</v>
      </c>
      <c r="E22" s="348" t="s">
        <v>270</v>
      </c>
      <c r="F22" s="348" t="s">
        <v>203</v>
      </c>
      <c r="G22" s="348" t="s">
        <v>282</v>
      </c>
      <c r="H22" s="1313">
        <v>136</v>
      </c>
      <c r="I22" s="1312">
        <v>1357</v>
      </c>
      <c r="J22" s="1314">
        <v>-1000</v>
      </c>
      <c r="K22" s="331">
        <v>1000</v>
      </c>
      <c r="L22" s="459">
        <v>2</v>
      </c>
      <c r="M22" s="329" t="str">
        <f t="shared" si="0"/>
        <v>Near-Term</v>
      </c>
      <c r="N22" s="456" t="s">
        <v>412</v>
      </c>
      <c r="O22" s="457">
        <v>446537.3</v>
      </c>
      <c r="P22" s="457">
        <v>810107.2</v>
      </c>
      <c r="Q22" s="458">
        <v>26.560960000000001</v>
      </c>
      <c r="R22" s="458">
        <v>81.641310000000004</v>
      </c>
      <c r="S22" s="1112" t="s">
        <v>1182</v>
      </c>
      <c r="T22" s="441" t="str">
        <f t="shared" si="1"/>
        <v>2_L</v>
      </c>
    </row>
    <row r="23" spans="1:20">
      <c r="A23" s="441">
        <v>3</v>
      </c>
      <c r="B23" s="950" t="s">
        <v>935</v>
      </c>
      <c r="C23" s="347" t="s">
        <v>937</v>
      </c>
      <c r="D23" s="348" t="s">
        <v>269</v>
      </c>
      <c r="E23" s="348" t="s">
        <v>270</v>
      </c>
      <c r="F23" s="348" t="s">
        <v>203</v>
      </c>
      <c r="G23" s="348" t="s">
        <v>282</v>
      </c>
      <c r="H23" s="1313">
        <v>339</v>
      </c>
      <c r="I23" s="1312">
        <v>3393</v>
      </c>
      <c r="J23" s="1314">
        <v>-2500</v>
      </c>
      <c r="K23" s="331">
        <v>300</v>
      </c>
      <c r="L23" s="459">
        <v>3</v>
      </c>
      <c r="M23" s="329" t="str">
        <f t="shared" si="0"/>
        <v>Long-Term</v>
      </c>
      <c r="N23" s="456" t="s">
        <v>412</v>
      </c>
      <c r="O23" s="457">
        <v>444390.3</v>
      </c>
      <c r="P23" s="457">
        <v>806363</v>
      </c>
      <c r="Q23" s="458">
        <v>26.550630000000002</v>
      </c>
      <c r="R23" s="458">
        <v>81.647819999999996</v>
      </c>
      <c r="S23" s="1112" t="s">
        <v>1182</v>
      </c>
      <c r="T23" s="441" t="str">
        <f t="shared" si="1"/>
        <v>3_L</v>
      </c>
    </row>
    <row r="24" spans="1:20">
      <c r="A24" s="441">
        <v>4</v>
      </c>
      <c r="B24" s="340" t="s">
        <v>308</v>
      </c>
      <c r="C24" s="326" t="s">
        <v>309</v>
      </c>
      <c r="D24" s="327" t="s">
        <v>269</v>
      </c>
      <c r="E24" s="326"/>
      <c r="F24" s="327" t="s">
        <v>203</v>
      </c>
      <c r="G24" s="327" t="s">
        <v>282</v>
      </c>
      <c r="H24" s="328">
        <v>720</v>
      </c>
      <c r="I24" s="328">
        <v>1800</v>
      </c>
      <c r="J24" s="443"/>
      <c r="K24" s="328"/>
      <c r="L24" s="459">
        <v>3</v>
      </c>
      <c r="M24" s="329" t="str">
        <f t="shared" si="0"/>
        <v>Long-Term</v>
      </c>
      <c r="N24" s="450" t="s">
        <v>411</v>
      </c>
      <c r="O24" s="453">
        <v>376562.38699999999</v>
      </c>
      <c r="P24" s="453">
        <v>830971.50800000003</v>
      </c>
      <c r="Q24" s="454">
        <v>26.617229999999999</v>
      </c>
      <c r="R24" s="454">
        <v>81.855789999999999</v>
      </c>
      <c r="S24" s="1112" t="s">
        <v>1182</v>
      </c>
      <c r="T24" s="441" t="str">
        <f t="shared" si="1"/>
        <v>3_L</v>
      </c>
    </row>
    <row r="25" spans="1:20">
      <c r="A25" s="441">
        <v>5</v>
      </c>
      <c r="B25" s="340" t="s">
        <v>310</v>
      </c>
      <c r="C25" s="326" t="s">
        <v>311</v>
      </c>
      <c r="D25" s="327" t="s">
        <v>269</v>
      </c>
      <c r="E25" s="326"/>
      <c r="F25" s="327" t="s">
        <v>203</v>
      </c>
      <c r="G25" s="327" t="s">
        <v>282</v>
      </c>
      <c r="H25" s="328">
        <v>296</v>
      </c>
      <c r="I25" s="328">
        <v>924</v>
      </c>
      <c r="J25" s="443"/>
      <c r="K25" s="328"/>
      <c r="L25" s="459">
        <v>3</v>
      </c>
      <c r="M25" s="329" t="str">
        <f t="shared" si="0"/>
        <v>Long-Term</v>
      </c>
      <c r="N25" s="450" t="s">
        <v>411</v>
      </c>
      <c r="O25" s="453">
        <v>369232.11700000003</v>
      </c>
      <c r="P25" s="453">
        <v>829367.14800000004</v>
      </c>
      <c r="Q25" s="454">
        <v>26.612680000000001</v>
      </c>
      <c r="R25" s="454">
        <v>81.878190000000004</v>
      </c>
      <c r="S25" s="1112" t="s">
        <v>1182</v>
      </c>
      <c r="T25" s="441" t="str">
        <f t="shared" si="1"/>
        <v>3_L</v>
      </c>
    </row>
    <row r="26" spans="1:20">
      <c r="A26" s="441">
        <v>6</v>
      </c>
      <c r="B26" s="340" t="s">
        <v>312</v>
      </c>
      <c r="C26" s="326" t="s">
        <v>313</v>
      </c>
      <c r="D26" s="327" t="s">
        <v>269</v>
      </c>
      <c r="E26" s="326"/>
      <c r="F26" s="327" t="s">
        <v>203</v>
      </c>
      <c r="G26" s="327" t="s">
        <v>282</v>
      </c>
      <c r="H26" s="328">
        <v>300</v>
      </c>
      <c r="I26" s="328">
        <v>1200</v>
      </c>
      <c r="J26" s="443"/>
      <c r="K26" s="328"/>
      <c r="L26" s="459">
        <v>3</v>
      </c>
      <c r="M26" s="329" t="str">
        <f t="shared" si="0"/>
        <v>Long-Term</v>
      </c>
      <c r="N26" s="450" t="s">
        <v>411</v>
      </c>
      <c r="O26" s="453">
        <v>383034.36800000002</v>
      </c>
      <c r="P26" s="453">
        <v>841314.63199999998</v>
      </c>
      <c r="Q26" s="454">
        <v>26.645800000000001</v>
      </c>
      <c r="R26" s="454">
        <v>81.836190000000002</v>
      </c>
      <c r="S26" s="1112" t="s">
        <v>1182</v>
      </c>
      <c r="T26" s="441" t="str">
        <f t="shared" si="1"/>
        <v>3_L</v>
      </c>
    </row>
    <row r="27" spans="1:20">
      <c r="A27" s="441">
        <v>7</v>
      </c>
      <c r="B27" s="340" t="s">
        <v>314</v>
      </c>
      <c r="C27" s="326" t="s">
        <v>315</v>
      </c>
      <c r="D27" s="327" t="s">
        <v>269</v>
      </c>
      <c r="E27" s="326"/>
      <c r="F27" s="327" t="s">
        <v>203</v>
      </c>
      <c r="G27" s="327" t="s">
        <v>282</v>
      </c>
      <c r="H27" s="328">
        <v>0</v>
      </c>
      <c r="I27" s="328">
        <v>0</v>
      </c>
      <c r="J27" s="443"/>
      <c r="K27" s="328"/>
      <c r="L27" s="459">
        <v>3</v>
      </c>
      <c r="M27" s="329" t="str">
        <f t="shared" si="0"/>
        <v>Long-Term</v>
      </c>
      <c r="N27" s="450" t="s">
        <v>409</v>
      </c>
      <c r="O27" s="453">
        <v>362979.78</v>
      </c>
      <c r="P27" s="453">
        <v>821729.15</v>
      </c>
      <c r="Q27" s="454">
        <v>26.591550000000002</v>
      </c>
      <c r="R27" s="454">
        <v>81.89716</v>
      </c>
      <c r="S27" s="1112" t="s">
        <v>1182</v>
      </c>
      <c r="T27" s="441" t="str">
        <f t="shared" si="1"/>
        <v>3_L</v>
      </c>
    </row>
    <row r="28" spans="1:20">
      <c r="A28" s="441">
        <v>8</v>
      </c>
      <c r="B28" s="341" t="s">
        <v>323</v>
      </c>
      <c r="C28" s="330" t="s">
        <v>732</v>
      </c>
      <c r="D28" s="327" t="s">
        <v>269</v>
      </c>
      <c r="E28" s="330"/>
      <c r="F28" s="329" t="s">
        <v>152</v>
      </c>
      <c r="G28" s="329" t="s">
        <v>282</v>
      </c>
      <c r="H28" s="331">
        <v>6.27</v>
      </c>
      <c r="I28" s="331">
        <v>10.9</v>
      </c>
      <c r="J28" s="443"/>
      <c r="K28" s="331"/>
      <c r="L28" s="459">
        <v>1</v>
      </c>
      <c r="M28" s="329" t="str">
        <f t="shared" si="0"/>
        <v>Completed</v>
      </c>
      <c r="N28" s="450" t="s">
        <v>412</v>
      </c>
      <c r="O28" s="453">
        <v>676686.24300000002</v>
      </c>
      <c r="P28" s="453">
        <v>880769.48100000003</v>
      </c>
      <c r="Q28" s="454">
        <v>26.756789999999999</v>
      </c>
      <c r="R28" s="454">
        <v>80.937119999999993</v>
      </c>
      <c r="S28" s="1112" t="s">
        <v>1182</v>
      </c>
      <c r="T28" s="441" t="str">
        <f t="shared" si="1"/>
        <v>1_L</v>
      </c>
    </row>
    <row r="29" spans="1:20">
      <c r="A29" s="441">
        <v>9</v>
      </c>
      <c r="B29" s="341" t="s">
        <v>324</v>
      </c>
      <c r="C29" s="330" t="s">
        <v>733</v>
      </c>
      <c r="D29" s="327" t="s">
        <v>269</v>
      </c>
      <c r="E29" s="330"/>
      <c r="F29" s="329" t="s">
        <v>152</v>
      </c>
      <c r="G29" s="329" t="s">
        <v>282</v>
      </c>
      <c r="H29" s="331">
        <v>3.58</v>
      </c>
      <c r="I29" s="331">
        <v>6.23</v>
      </c>
      <c r="J29" s="443"/>
      <c r="K29" s="331"/>
      <c r="L29" s="459">
        <v>1</v>
      </c>
      <c r="M29" s="329" t="str">
        <f t="shared" si="0"/>
        <v>Completed</v>
      </c>
      <c r="N29" s="450" t="s">
        <v>413</v>
      </c>
      <c r="O29" s="453">
        <v>677643.82799999998</v>
      </c>
      <c r="P29" s="453">
        <v>879173.13600000006</v>
      </c>
      <c r="Q29" s="454">
        <v>26.7523966569</v>
      </c>
      <c r="R29" s="454">
        <v>80.934188431400003</v>
      </c>
      <c r="S29" s="1112" t="s">
        <v>1182</v>
      </c>
      <c r="T29" s="441" t="str">
        <f t="shared" si="1"/>
        <v>1_L</v>
      </c>
    </row>
    <row r="30" spans="1:20">
      <c r="A30" s="441">
        <v>10</v>
      </c>
      <c r="B30" s="341" t="s">
        <v>325</v>
      </c>
      <c r="C30" s="330" t="s">
        <v>1272</v>
      </c>
      <c r="D30" s="327" t="s">
        <v>269</v>
      </c>
      <c r="E30" s="330"/>
      <c r="F30" s="329" t="s">
        <v>289</v>
      </c>
      <c r="G30" s="329" t="s">
        <v>282</v>
      </c>
      <c r="H30" s="1312">
        <v>113</v>
      </c>
      <c r="I30" s="1312">
        <v>451</v>
      </c>
      <c r="J30" s="443"/>
      <c r="K30" s="331"/>
      <c r="L30" s="459">
        <v>3</v>
      </c>
      <c r="M30" s="329" t="str">
        <f t="shared" si="0"/>
        <v>Long-Term</v>
      </c>
      <c r="N30" s="450" t="s">
        <v>413</v>
      </c>
      <c r="O30" s="453">
        <v>439601.47</v>
      </c>
      <c r="P30" s="453">
        <v>852064.76</v>
      </c>
      <c r="Q30" s="454">
        <v>26.6762862195</v>
      </c>
      <c r="R30" s="454">
        <v>81.663193100800001</v>
      </c>
      <c r="S30" s="1112" t="s">
        <v>1182</v>
      </c>
      <c r="T30" s="441" t="str">
        <f t="shared" si="1"/>
        <v>3_L</v>
      </c>
    </row>
    <row r="31" spans="1:20">
      <c r="A31" s="441">
        <v>11</v>
      </c>
      <c r="B31" s="341" t="s">
        <v>326</v>
      </c>
      <c r="C31" s="330" t="s">
        <v>327</v>
      </c>
      <c r="D31" s="327" t="s">
        <v>269</v>
      </c>
      <c r="E31" s="330"/>
      <c r="F31" s="329" t="s">
        <v>203</v>
      </c>
      <c r="G31" s="329" t="s">
        <v>282</v>
      </c>
      <c r="H31" s="331">
        <v>95.7</v>
      </c>
      <c r="I31" s="331">
        <v>748</v>
      </c>
      <c r="J31" s="443"/>
      <c r="K31" s="331"/>
      <c r="L31" s="459">
        <v>1</v>
      </c>
      <c r="M31" s="329" t="str">
        <f t="shared" si="0"/>
        <v>Completed</v>
      </c>
      <c r="N31" s="450" t="s">
        <v>413</v>
      </c>
      <c r="O31" s="453">
        <v>406727.26</v>
      </c>
      <c r="P31" s="453">
        <v>869270.53099999996</v>
      </c>
      <c r="Q31" s="454">
        <v>26.723110844800001</v>
      </c>
      <c r="R31" s="454">
        <v>81.7641732843</v>
      </c>
      <c r="S31" s="1112" t="s">
        <v>1182</v>
      </c>
      <c r="T31" s="441" t="str">
        <f t="shared" si="1"/>
        <v>1_L</v>
      </c>
    </row>
    <row r="32" spans="1:20">
      <c r="A32" s="441">
        <v>12</v>
      </c>
      <c r="B32" s="341" t="s">
        <v>328</v>
      </c>
      <c r="C32" s="330" t="s">
        <v>329</v>
      </c>
      <c r="D32" s="327" t="s">
        <v>269</v>
      </c>
      <c r="E32" s="330"/>
      <c r="F32" s="329" t="s">
        <v>289</v>
      </c>
      <c r="G32" s="329" t="s">
        <v>282</v>
      </c>
      <c r="H32" s="331">
        <v>12.6</v>
      </c>
      <c r="I32" s="331">
        <v>19.8</v>
      </c>
      <c r="J32" s="443"/>
      <c r="K32" s="331"/>
      <c r="L32" s="459">
        <v>2</v>
      </c>
      <c r="M32" s="329" t="str">
        <f t="shared" si="0"/>
        <v>Near-Term</v>
      </c>
      <c r="N32" s="450" t="s">
        <v>414</v>
      </c>
      <c r="O32" s="453">
        <v>506551.29200000002</v>
      </c>
      <c r="P32" s="453">
        <v>885412.84100000001</v>
      </c>
      <c r="Q32" s="454">
        <v>26.768836</v>
      </c>
      <c r="R32" s="454">
        <v>81.458545999999998</v>
      </c>
      <c r="S32" s="1112" t="s">
        <v>1182</v>
      </c>
      <c r="T32" s="441" t="str">
        <f t="shared" si="1"/>
        <v>2_L</v>
      </c>
    </row>
    <row r="33" spans="1:20">
      <c r="A33" s="441">
        <v>13</v>
      </c>
      <c r="B33" s="341" t="s">
        <v>330</v>
      </c>
      <c r="C33" s="330" t="s">
        <v>331</v>
      </c>
      <c r="D33" s="327" t="s">
        <v>269</v>
      </c>
      <c r="E33" s="330"/>
      <c r="F33" s="329" t="s">
        <v>203</v>
      </c>
      <c r="G33" s="329" t="s">
        <v>282</v>
      </c>
      <c r="H33" s="331">
        <v>456</v>
      </c>
      <c r="I33" s="331">
        <v>1191</v>
      </c>
      <c r="J33" s="443"/>
      <c r="K33" s="331"/>
      <c r="L33" s="459">
        <v>2</v>
      </c>
      <c r="M33" s="329" t="str">
        <f t="shared" si="0"/>
        <v>Near-Term</v>
      </c>
      <c r="N33" s="450" t="s">
        <v>413</v>
      </c>
      <c r="O33" s="453">
        <v>379683.22</v>
      </c>
      <c r="P33" s="453">
        <v>843801.05500000005</v>
      </c>
      <c r="Q33" s="454">
        <v>26.652578784900001</v>
      </c>
      <c r="R33" s="454">
        <v>81.846498509499995</v>
      </c>
      <c r="S33" s="1112" t="s">
        <v>1182</v>
      </c>
      <c r="T33" s="441" t="str">
        <f t="shared" si="1"/>
        <v>2_L</v>
      </c>
    </row>
    <row r="34" spans="1:20">
      <c r="A34" s="441">
        <v>14</v>
      </c>
      <c r="B34" s="341" t="s">
        <v>332</v>
      </c>
      <c r="C34" s="330" t="s">
        <v>731</v>
      </c>
      <c r="D34" s="327" t="s">
        <v>269</v>
      </c>
      <c r="E34" s="330"/>
      <c r="F34" s="329" t="s">
        <v>289</v>
      </c>
      <c r="G34" s="329" t="s">
        <v>282</v>
      </c>
      <c r="H34" s="331">
        <v>50</v>
      </c>
      <c r="I34" s="331">
        <v>199</v>
      </c>
      <c r="J34" s="443"/>
      <c r="K34" s="331"/>
      <c r="L34" s="459">
        <v>2</v>
      </c>
      <c r="M34" s="329" t="str">
        <f t="shared" si="0"/>
        <v>Near-Term</v>
      </c>
      <c r="N34" s="450" t="s">
        <v>415</v>
      </c>
      <c r="O34" s="453">
        <v>439931.4</v>
      </c>
      <c r="P34" s="453">
        <v>872010.6</v>
      </c>
      <c r="Q34" s="454">
        <v>26.731159999999999</v>
      </c>
      <c r="R34" s="454">
        <v>81.662499999999994</v>
      </c>
      <c r="S34" s="1112" t="s">
        <v>1182</v>
      </c>
      <c r="T34" s="441" t="str">
        <f t="shared" si="1"/>
        <v>2_L</v>
      </c>
    </row>
    <row r="35" spans="1:20">
      <c r="A35" s="441">
        <v>15</v>
      </c>
      <c r="B35" s="341" t="s">
        <v>333</v>
      </c>
      <c r="C35" s="330" t="s">
        <v>334</v>
      </c>
      <c r="D35" s="327" t="s">
        <v>269</v>
      </c>
      <c r="E35" s="327" t="s">
        <v>270</v>
      </c>
      <c r="F35" s="329" t="s">
        <v>203</v>
      </c>
      <c r="G35" s="329" t="s">
        <v>282</v>
      </c>
      <c r="H35" s="331">
        <v>167</v>
      </c>
      <c r="I35" s="331">
        <v>436</v>
      </c>
      <c r="J35" s="443"/>
      <c r="K35" s="331"/>
      <c r="L35" s="459">
        <v>3</v>
      </c>
      <c r="M35" s="329" t="str">
        <f t="shared" si="0"/>
        <v>Long-Term</v>
      </c>
      <c r="N35" s="450" t="s">
        <v>416</v>
      </c>
      <c r="O35" s="453">
        <v>368859.9</v>
      </c>
      <c r="P35" s="453">
        <v>826076.1</v>
      </c>
      <c r="Q35" s="454">
        <v>26.603619999999999</v>
      </c>
      <c r="R35" s="454">
        <v>81.879260000000002</v>
      </c>
      <c r="S35" s="1112" t="s">
        <v>1182</v>
      </c>
      <c r="T35" s="441" t="str">
        <f t="shared" si="1"/>
        <v>3_L</v>
      </c>
    </row>
    <row r="36" spans="1:20" s="460" customFormat="1">
      <c r="A36" s="441">
        <v>16</v>
      </c>
      <c r="B36" s="341" t="s">
        <v>335</v>
      </c>
      <c r="C36" s="330" t="s">
        <v>336</v>
      </c>
      <c r="D36" s="329" t="s">
        <v>269</v>
      </c>
      <c r="E36" s="330"/>
      <c r="F36" s="329" t="s">
        <v>203</v>
      </c>
      <c r="G36" s="329" t="s">
        <v>282</v>
      </c>
      <c r="H36" s="332" t="s">
        <v>454</v>
      </c>
      <c r="I36" s="332" t="s">
        <v>454</v>
      </c>
      <c r="J36" s="443"/>
      <c r="K36" s="331"/>
      <c r="L36" s="459">
        <v>3</v>
      </c>
      <c r="M36" s="329" t="str">
        <f t="shared" si="0"/>
        <v>Long-Term</v>
      </c>
      <c r="N36" s="450" t="s">
        <v>417</v>
      </c>
      <c r="O36" s="453">
        <v>426864.5</v>
      </c>
      <c r="P36" s="453">
        <v>842254</v>
      </c>
      <c r="Q36" s="454">
        <v>26.64911</v>
      </c>
      <c r="R36" s="454">
        <v>81.702029999999993</v>
      </c>
      <c r="S36" s="1112" t="s">
        <v>1182</v>
      </c>
      <c r="T36" s="441" t="str">
        <f t="shared" si="1"/>
        <v>3_L</v>
      </c>
    </row>
    <row r="37" spans="1:20" s="460" customFormat="1">
      <c r="A37" s="441">
        <v>17</v>
      </c>
      <c r="B37" s="341" t="s">
        <v>734</v>
      </c>
      <c r="C37" s="330" t="s">
        <v>739</v>
      </c>
      <c r="D37" s="327" t="s">
        <v>269</v>
      </c>
      <c r="E37" s="327" t="s">
        <v>270</v>
      </c>
      <c r="F37" s="329" t="s">
        <v>289</v>
      </c>
      <c r="G37" s="329" t="s">
        <v>282</v>
      </c>
      <c r="H37" s="331">
        <v>800</v>
      </c>
      <c r="I37" s="331">
        <v>3200</v>
      </c>
      <c r="K37" s="331">
        <v>500</v>
      </c>
      <c r="L37" s="459">
        <v>2</v>
      </c>
      <c r="M37" s="329" t="str">
        <f t="shared" ref="M37" si="2">VLOOKUP(L37,projstatus,2,FALSE)</f>
        <v>Near-Term</v>
      </c>
      <c r="N37" s="604" t="s">
        <v>412</v>
      </c>
      <c r="O37" s="601">
        <v>450970.3</v>
      </c>
      <c r="P37" s="601">
        <v>854069.8</v>
      </c>
      <c r="Q37" s="602">
        <v>26.68196</v>
      </c>
      <c r="R37" s="602">
        <v>81.628410000000002</v>
      </c>
      <c r="S37" s="1112" t="s">
        <v>1182</v>
      </c>
      <c r="T37" s="441" t="str">
        <f t="shared" si="1"/>
        <v>2_L</v>
      </c>
    </row>
    <row r="38" spans="1:20" s="460" customFormat="1">
      <c r="A38" s="441">
        <v>18</v>
      </c>
      <c r="B38" s="341" t="s">
        <v>735</v>
      </c>
      <c r="C38" s="330" t="s">
        <v>741</v>
      </c>
      <c r="D38" s="327" t="s">
        <v>269</v>
      </c>
      <c r="E38" s="327" t="s">
        <v>270</v>
      </c>
      <c r="F38" s="329" t="s">
        <v>289</v>
      </c>
      <c r="G38" s="329" t="s">
        <v>282</v>
      </c>
      <c r="H38" s="331">
        <v>900</v>
      </c>
      <c r="I38" s="331">
        <v>3600</v>
      </c>
      <c r="K38" s="331">
        <v>1200</v>
      </c>
      <c r="L38" s="459">
        <v>3</v>
      </c>
      <c r="M38" s="329" t="str">
        <f t="shared" ref="M38" si="3">VLOOKUP(L38,projstatus,2,FALSE)</f>
        <v>Long-Term</v>
      </c>
      <c r="N38" s="604" t="s">
        <v>412</v>
      </c>
      <c r="O38" s="601">
        <v>458259.3</v>
      </c>
      <c r="P38" s="601">
        <v>847956.6</v>
      </c>
      <c r="Q38" s="602">
        <v>26.665240000000001</v>
      </c>
      <c r="R38" s="602">
        <v>81.605999999999995</v>
      </c>
      <c r="S38" s="1112" t="s">
        <v>1182</v>
      </c>
      <c r="T38" s="441" t="str">
        <f t="shared" si="1"/>
        <v>3_L</v>
      </c>
    </row>
    <row r="39" spans="1:20" s="460" customFormat="1">
      <c r="A39" s="441">
        <v>19</v>
      </c>
      <c r="B39" s="341" t="s">
        <v>736</v>
      </c>
      <c r="C39" s="330" t="s">
        <v>742</v>
      </c>
      <c r="D39" s="329" t="s">
        <v>269</v>
      </c>
      <c r="E39" s="329" t="s">
        <v>270</v>
      </c>
      <c r="F39" s="329" t="s">
        <v>203</v>
      </c>
      <c r="G39" s="329" t="s">
        <v>282</v>
      </c>
      <c r="H39" s="331">
        <v>770</v>
      </c>
      <c r="I39" s="331">
        <v>3080</v>
      </c>
      <c r="K39" s="331">
        <v>17</v>
      </c>
      <c r="L39" s="459">
        <v>1</v>
      </c>
      <c r="M39" s="329" t="str">
        <f t="shared" si="0"/>
        <v>Completed</v>
      </c>
      <c r="N39" s="605" t="s">
        <v>743</v>
      </c>
      <c r="O39" s="601">
        <v>393170.8</v>
      </c>
      <c r="P39" s="601">
        <v>882637</v>
      </c>
      <c r="Q39" s="602">
        <v>26.759650000000001</v>
      </c>
      <c r="R39" s="602">
        <v>81.805959999999999</v>
      </c>
      <c r="S39" s="1112" t="s">
        <v>1182</v>
      </c>
      <c r="T39" s="441" t="str">
        <f t="shared" si="1"/>
        <v>1_L</v>
      </c>
    </row>
    <row r="40" spans="1:20" s="460" customFormat="1">
      <c r="A40" s="441">
        <v>20</v>
      </c>
      <c r="B40" s="341" t="s">
        <v>737</v>
      </c>
      <c r="C40" s="330" t="s">
        <v>1200</v>
      </c>
      <c r="D40" s="329" t="s">
        <v>269</v>
      </c>
      <c r="E40" s="329" t="s">
        <v>270</v>
      </c>
      <c r="F40" s="329" t="s">
        <v>203</v>
      </c>
      <c r="G40" s="329" t="s">
        <v>282</v>
      </c>
      <c r="H40" s="331">
        <v>168</v>
      </c>
      <c r="I40" s="331">
        <v>602</v>
      </c>
      <c r="K40" s="331">
        <v>35</v>
      </c>
      <c r="L40" s="447">
        <v>2</v>
      </c>
      <c r="M40" s="329" t="str">
        <f t="shared" ref="M40" si="4">VLOOKUP(L40,projstatus,2,FALSE)</f>
        <v>Near-Term</v>
      </c>
      <c r="N40" s="604" t="s">
        <v>412</v>
      </c>
      <c r="O40" s="607">
        <v>371221</v>
      </c>
      <c r="P40" s="607">
        <v>857897.9</v>
      </c>
      <c r="Q40" s="608">
        <v>26.691199999999998</v>
      </c>
      <c r="R40" s="608">
        <v>81.872699999999995</v>
      </c>
      <c r="S40" s="1120" t="s">
        <v>1182</v>
      </c>
      <c r="T40" s="479" t="str">
        <f t="shared" si="1"/>
        <v>2_L</v>
      </c>
    </row>
    <row r="41" spans="1:20" s="460" customFormat="1">
      <c r="A41" s="441">
        <v>21</v>
      </c>
      <c r="B41" s="341" t="s">
        <v>738</v>
      </c>
      <c r="C41" s="330" t="s">
        <v>740</v>
      </c>
      <c r="D41" s="329" t="s">
        <v>269</v>
      </c>
      <c r="E41" s="329" t="s">
        <v>270</v>
      </c>
      <c r="F41" s="329" t="s">
        <v>203</v>
      </c>
      <c r="G41" s="329" t="s">
        <v>282</v>
      </c>
      <c r="H41" s="331">
        <v>300</v>
      </c>
      <c r="I41" s="331">
        <v>1200</v>
      </c>
      <c r="K41" s="331">
        <v>15</v>
      </c>
      <c r="L41" s="459">
        <v>2</v>
      </c>
      <c r="M41" s="329" t="str">
        <f t="shared" si="0"/>
        <v>Near-Term</v>
      </c>
      <c r="N41" s="604" t="s">
        <v>412</v>
      </c>
      <c r="O41" s="601">
        <v>388595.45</v>
      </c>
      <c r="P41" s="601">
        <v>879601.7</v>
      </c>
      <c r="Q41" s="602">
        <v>26.75122</v>
      </c>
      <c r="R41" s="602">
        <v>81.819919999999996</v>
      </c>
      <c r="S41" s="1112" t="s">
        <v>1182</v>
      </c>
      <c r="T41" s="441" t="str">
        <f t="shared" si="1"/>
        <v>2_L</v>
      </c>
    </row>
    <row r="42" spans="1:20">
      <c r="A42" s="441">
        <v>22</v>
      </c>
      <c r="B42" s="340" t="s">
        <v>281</v>
      </c>
      <c r="C42" s="326" t="s">
        <v>938</v>
      </c>
      <c r="D42" s="329" t="s">
        <v>269</v>
      </c>
      <c r="E42" s="329" t="s">
        <v>270</v>
      </c>
      <c r="F42" s="329" t="s">
        <v>203</v>
      </c>
      <c r="G42" s="329" t="s">
        <v>282</v>
      </c>
      <c r="H42" s="331">
        <v>535</v>
      </c>
      <c r="I42" s="331">
        <v>3345</v>
      </c>
      <c r="J42" s="443"/>
      <c r="K42" s="328"/>
      <c r="L42" s="459">
        <v>1</v>
      </c>
      <c r="M42" s="329" t="str">
        <f t="shared" ref="M42:M43" si="5">VLOOKUP(L42,projstatus,2,FALSE)</f>
        <v>Completed</v>
      </c>
      <c r="N42" s="450" t="s">
        <v>407</v>
      </c>
      <c r="O42" s="453">
        <v>426507.31900000002</v>
      </c>
      <c r="P42" s="453">
        <v>844064.44700000004</v>
      </c>
      <c r="Q42" s="454">
        <v>26.654084510000001</v>
      </c>
      <c r="R42" s="454">
        <v>81.70315445</v>
      </c>
      <c r="S42" s="1112" t="s">
        <v>1182</v>
      </c>
      <c r="T42" s="441" t="str">
        <f t="shared" si="1"/>
        <v>1_L</v>
      </c>
    </row>
    <row r="43" spans="1:20">
      <c r="A43" s="441">
        <v>23</v>
      </c>
      <c r="B43" s="340" t="s">
        <v>283</v>
      </c>
      <c r="C43" s="326" t="s">
        <v>939</v>
      </c>
      <c r="D43" s="329" t="s">
        <v>269</v>
      </c>
      <c r="E43" s="329" t="s">
        <v>270</v>
      </c>
      <c r="F43" s="329" t="s">
        <v>203</v>
      </c>
      <c r="G43" s="329" t="s">
        <v>282</v>
      </c>
      <c r="H43" s="331">
        <v>201</v>
      </c>
      <c r="I43" s="331">
        <v>1337</v>
      </c>
      <c r="J43" s="443"/>
      <c r="K43" s="328"/>
      <c r="L43" s="459">
        <v>1</v>
      </c>
      <c r="M43" s="329" t="str">
        <f t="shared" si="5"/>
        <v>Completed</v>
      </c>
      <c r="N43" s="450" t="s">
        <v>407</v>
      </c>
      <c r="O43" s="453">
        <v>431049.24599999998</v>
      </c>
      <c r="P43" s="453">
        <v>840083.92500000005</v>
      </c>
      <c r="Q43" s="454">
        <v>26.643203329999999</v>
      </c>
      <c r="R43" s="454">
        <v>81.689182900000006</v>
      </c>
      <c r="S43" s="1112" t="s">
        <v>1182</v>
      </c>
      <c r="T43" s="441" t="str">
        <f t="shared" si="1"/>
        <v>1_L</v>
      </c>
    </row>
    <row r="44" spans="1:20">
      <c r="A44" s="441">
        <v>24</v>
      </c>
      <c r="B44" s="340" t="s">
        <v>284</v>
      </c>
      <c r="C44" s="326" t="s">
        <v>285</v>
      </c>
      <c r="D44" s="329" t="s">
        <v>269</v>
      </c>
      <c r="E44" s="329" t="s">
        <v>270</v>
      </c>
      <c r="F44" s="329" t="s">
        <v>203</v>
      </c>
      <c r="G44" s="329" t="s">
        <v>282</v>
      </c>
      <c r="H44" s="331">
        <v>60</v>
      </c>
      <c r="I44" s="331">
        <v>714</v>
      </c>
      <c r="J44" s="443"/>
      <c r="K44" s="328"/>
      <c r="L44" s="459">
        <v>1</v>
      </c>
      <c r="M44" s="329" t="str">
        <f t="shared" si="0"/>
        <v>Completed</v>
      </c>
      <c r="N44" s="450" t="s">
        <v>407</v>
      </c>
      <c r="O44" s="453">
        <v>439701.03600000002</v>
      </c>
      <c r="P44" s="453">
        <v>827813.63199999998</v>
      </c>
      <c r="Q44" s="454">
        <v>26.609573520000001</v>
      </c>
      <c r="R44" s="454">
        <v>81.662502970000006</v>
      </c>
      <c r="S44" s="1112" t="s">
        <v>1182</v>
      </c>
      <c r="T44" s="441" t="str">
        <f t="shared" si="1"/>
        <v>1_L</v>
      </c>
    </row>
    <row r="45" spans="1:20">
      <c r="A45" s="441">
        <v>25</v>
      </c>
      <c r="B45" s="340" t="s">
        <v>287</v>
      </c>
      <c r="C45" s="326" t="s">
        <v>288</v>
      </c>
      <c r="D45" s="329" t="s">
        <v>269</v>
      </c>
      <c r="E45" s="329" t="s">
        <v>270</v>
      </c>
      <c r="F45" s="329" t="s">
        <v>289</v>
      </c>
      <c r="G45" s="329" t="s">
        <v>282</v>
      </c>
      <c r="H45" s="331">
        <v>1500</v>
      </c>
      <c r="I45" s="331">
        <v>6000</v>
      </c>
      <c r="J45" s="443"/>
      <c r="K45" s="328"/>
      <c r="L45" s="459">
        <v>3</v>
      </c>
      <c r="M45" s="329" t="str">
        <f t="shared" si="0"/>
        <v>Long-Term</v>
      </c>
      <c r="N45" s="450" t="s">
        <v>407</v>
      </c>
      <c r="O45" s="453">
        <v>472786.69699999999</v>
      </c>
      <c r="P45" s="453">
        <v>858967.36499999999</v>
      </c>
      <c r="Q45" s="454">
        <v>26.695712870000001</v>
      </c>
      <c r="R45" s="454">
        <v>81.561666810000006</v>
      </c>
      <c r="S45" s="1112" t="s">
        <v>1182</v>
      </c>
      <c r="T45" s="441" t="str">
        <f t="shared" si="1"/>
        <v>3_L</v>
      </c>
    </row>
    <row r="46" spans="1:20">
      <c r="A46" s="441">
        <v>26</v>
      </c>
      <c r="B46" s="341" t="s">
        <v>290</v>
      </c>
      <c r="C46" s="325" t="s">
        <v>291</v>
      </c>
      <c r="D46" s="329" t="s">
        <v>269</v>
      </c>
      <c r="E46" s="329" t="s">
        <v>270</v>
      </c>
      <c r="F46" s="329" t="s">
        <v>289</v>
      </c>
      <c r="G46" s="329" t="s">
        <v>282</v>
      </c>
      <c r="H46" s="1312">
        <v>200</v>
      </c>
      <c r="I46" s="1312">
        <v>800</v>
      </c>
      <c r="J46" s="460"/>
      <c r="K46" s="331"/>
      <c r="L46" s="447">
        <v>3</v>
      </c>
      <c r="M46" s="329" t="str">
        <f t="shared" si="0"/>
        <v>Long-Term</v>
      </c>
      <c r="N46" s="450" t="s">
        <v>407</v>
      </c>
      <c r="O46" s="453">
        <v>471375.38500000001</v>
      </c>
      <c r="P46" s="453">
        <v>800795.13800000004</v>
      </c>
      <c r="Q46" s="454">
        <v>26.535664149999999</v>
      </c>
      <c r="R46" s="454">
        <v>81.565202069999998</v>
      </c>
      <c r="S46" s="1112" t="s">
        <v>1182</v>
      </c>
      <c r="T46" s="441" t="str">
        <f t="shared" si="1"/>
        <v>3_L</v>
      </c>
    </row>
    <row r="47" spans="1:20">
      <c r="A47" s="441">
        <v>27</v>
      </c>
      <c r="B47" s="341" t="s">
        <v>1097</v>
      </c>
      <c r="C47" s="325" t="s">
        <v>1101</v>
      </c>
      <c r="D47" s="329" t="s">
        <v>269</v>
      </c>
      <c r="E47" s="329"/>
      <c r="F47" s="329" t="s">
        <v>203</v>
      </c>
      <c r="G47" s="329" t="s">
        <v>282</v>
      </c>
      <c r="H47" s="332" t="s">
        <v>454</v>
      </c>
      <c r="I47" s="332" t="s">
        <v>454</v>
      </c>
      <c r="J47" s="460"/>
      <c r="K47" s="331"/>
      <c r="L47" s="459">
        <v>1</v>
      </c>
      <c r="M47" s="329" t="str">
        <f t="shared" si="0"/>
        <v>Completed</v>
      </c>
      <c r="N47" s="450" t="s">
        <v>409</v>
      </c>
      <c r="O47" s="453">
        <v>445068.5</v>
      </c>
      <c r="P47" s="453">
        <v>822851.9</v>
      </c>
      <c r="Q47" s="454">
        <v>26.596</v>
      </c>
      <c r="R47" s="454">
        <v>81.646000000000001</v>
      </c>
      <c r="S47" s="1112" t="s">
        <v>1182</v>
      </c>
      <c r="T47" s="441" t="str">
        <f t="shared" si="1"/>
        <v>1_L</v>
      </c>
    </row>
    <row r="48" spans="1:20">
      <c r="A48" s="441">
        <v>28</v>
      </c>
      <c r="B48" s="341" t="s">
        <v>1098</v>
      </c>
      <c r="C48" s="325" t="s">
        <v>1102</v>
      </c>
      <c r="D48" s="329" t="s">
        <v>269</v>
      </c>
      <c r="E48" s="329"/>
      <c r="F48" s="329" t="s">
        <v>203</v>
      </c>
      <c r="G48" s="329" t="s">
        <v>282</v>
      </c>
      <c r="H48" s="332" t="s">
        <v>454</v>
      </c>
      <c r="I48" s="332" t="s">
        <v>454</v>
      </c>
      <c r="J48" s="460"/>
      <c r="K48" s="331"/>
      <c r="L48" s="459">
        <v>2</v>
      </c>
      <c r="M48" s="329" t="str">
        <f t="shared" si="0"/>
        <v>Near-Term</v>
      </c>
      <c r="N48" s="450" t="s">
        <v>409</v>
      </c>
      <c r="O48" s="453">
        <v>452904.3</v>
      </c>
      <c r="P48" s="453">
        <v>821359.1</v>
      </c>
      <c r="Q48" s="454">
        <v>26.591999999999999</v>
      </c>
      <c r="R48" s="454">
        <v>81.622</v>
      </c>
      <c r="S48" s="1112" t="s">
        <v>1182</v>
      </c>
      <c r="T48" s="441" t="str">
        <f t="shared" si="1"/>
        <v>2_L</v>
      </c>
    </row>
    <row r="49" spans="1:20">
      <c r="A49" s="441">
        <v>29</v>
      </c>
      <c r="B49" s="341" t="s">
        <v>1099</v>
      </c>
      <c r="C49" s="325" t="s">
        <v>1103</v>
      </c>
      <c r="D49" s="329" t="s">
        <v>269</v>
      </c>
      <c r="E49" s="329"/>
      <c r="F49" s="329" t="s">
        <v>203</v>
      </c>
      <c r="G49" s="329" t="s">
        <v>282</v>
      </c>
      <c r="H49" s="332" t="s">
        <v>454</v>
      </c>
      <c r="I49" s="332" t="s">
        <v>454</v>
      </c>
      <c r="J49" s="460"/>
      <c r="K49" s="331"/>
      <c r="L49" s="459">
        <v>3</v>
      </c>
      <c r="M49" s="329" t="str">
        <f t="shared" si="0"/>
        <v>Long-Term</v>
      </c>
      <c r="N49" s="450" t="s">
        <v>409</v>
      </c>
      <c r="O49" s="453">
        <v>429744.8</v>
      </c>
      <c r="P49" s="453">
        <v>829475.3</v>
      </c>
      <c r="Q49" s="454">
        <v>26.614000000000001</v>
      </c>
      <c r="R49" s="454">
        <v>81.692999999999998</v>
      </c>
      <c r="S49" s="1112" t="s">
        <v>1182</v>
      </c>
      <c r="T49" s="441" t="str">
        <f t="shared" si="1"/>
        <v>3_L</v>
      </c>
    </row>
    <row r="50" spans="1:20">
      <c r="A50" s="441">
        <v>30</v>
      </c>
      <c r="B50" s="341" t="s">
        <v>1100</v>
      </c>
      <c r="C50" s="325" t="s">
        <v>1104</v>
      </c>
      <c r="D50" s="329" t="s">
        <v>269</v>
      </c>
      <c r="E50" s="329"/>
      <c r="F50" s="329" t="s">
        <v>289</v>
      </c>
      <c r="G50" s="329" t="s">
        <v>282</v>
      </c>
      <c r="H50" s="332" t="s">
        <v>454</v>
      </c>
      <c r="I50" s="332" t="s">
        <v>454</v>
      </c>
      <c r="J50" s="1106"/>
      <c r="K50" s="1106"/>
      <c r="L50" s="459">
        <v>3</v>
      </c>
      <c r="M50" s="329" t="str">
        <f t="shared" si="0"/>
        <v>Long-Term</v>
      </c>
      <c r="N50" s="450" t="s">
        <v>409</v>
      </c>
      <c r="O50" s="1113">
        <v>447461.4</v>
      </c>
      <c r="P50" s="1113">
        <v>843923.4</v>
      </c>
      <c r="Q50" s="1114">
        <v>26.654</v>
      </c>
      <c r="R50" s="1114">
        <v>81.638999999999996</v>
      </c>
      <c r="S50" s="1112" t="s">
        <v>1182</v>
      </c>
      <c r="T50" s="441" t="str">
        <f t="shared" si="1"/>
        <v>3_L</v>
      </c>
    </row>
    <row r="51" spans="1:20">
      <c r="A51" s="441">
        <v>31</v>
      </c>
      <c r="B51" s="340" t="s">
        <v>292</v>
      </c>
      <c r="C51" s="326" t="s">
        <v>293</v>
      </c>
      <c r="D51" s="329" t="s">
        <v>269</v>
      </c>
      <c r="E51" s="329" t="s">
        <v>270</v>
      </c>
      <c r="F51" s="329" t="s">
        <v>203</v>
      </c>
      <c r="G51" s="329" t="s">
        <v>282</v>
      </c>
      <c r="H51" s="331">
        <v>820</v>
      </c>
      <c r="I51" s="331">
        <v>8200</v>
      </c>
      <c r="J51" s="443"/>
      <c r="K51" s="328"/>
      <c r="L51" s="459">
        <v>3</v>
      </c>
      <c r="M51" s="329" t="str">
        <f t="shared" si="0"/>
        <v>Long-Term</v>
      </c>
      <c r="N51" s="450" t="s">
        <v>407</v>
      </c>
      <c r="O51" s="453">
        <v>423302.23</v>
      </c>
      <c r="P51" s="453">
        <v>824119.43400000001</v>
      </c>
      <c r="Q51" s="454">
        <v>26.599169249999999</v>
      </c>
      <c r="R51" s="454">
        <v>81.712626450000002</v>
      </c>
      <c r="S51" s="1112" t="s">
        <v>1182</v>
      </c>
      <c r="T51" s="441" t="str">
        <f t="shared" si="1"/>
        <v>3_L</v>
      </c>
    </row>
    <row r="52" spans="1:20">
      <c r="A52" s="441">
        <v>32</v>
      </c>
      <c r="B52" s="340" t="s">
        <v>294</v>
      </c>
      <c r="C52" s="326" t="s">
        <v>295</v>
      </c>
      <c r="D52" s="329" t="s">
        <v>269</v>
      </c>
      <c r="E52" s="329" t="s">
        <v>270</v>
      </c>
      <c r="F52" s="329" t="s">
        <v>203</v>
      </c>
      <c r="G52" s="329" t="s">
        <v>282</v>
      </c>
      <c r="H52" s="331">
        <v>1132</v>
      </c>
      <c r="I52" s="331">
        <v>4511</v>
      </c>
      <c r="J52" s="443"/>
      <c r="K52" s="328"/>
      <c r="L52" s="459">
        <v>1</v>
      </c>
      <c r="M52" s="329" t="str">
        <f t="shared" si="0"/>
        <v>Completed</v>
      </c>
      <c r="N52" s="450" t="s">
        <v>407</v>
      </c>
      <c r="O52" s="453">
        <v>387128.81</v>
      </c>
      <c r="P52" s="453">
        <v>846781.99800000002</v>
      </c>
      <c r="Q52" s="454">
        <v>26.660913130000001</v>
      </c>
      <c r="R52" s="454">
        <v>81.823763850000006</v>
      </c>
      <c r="S52" s="1112" t="s">
        <v>1182</v>
      </c>
      <c r="T52" s="441" t="str">
        <f t="shared" si="1"/>
        <v>1_L</v>
      </c>
    </row>
    <row r="53" spans="1:20">
      <c r="A53" s="441">
        <v>33</v>
      </c>
      <c r="B53" s="340" t="s">
        <v>296</v>
      </c>
      <c r="C53" s="326" t="s">
        <v>297</v>
      </c>
      <c r="D53" s="329" t="s">
        <v>269</v>
      </c>
      <c r="E53" s="330"/>
      <c r="F53" s="329" t="s">
        <v>203</v>
      </c>
      <c r="G53" s="329" t="s">
        <v>282</v>
      </c>
      <c r="H53" s="331">
        <v>240</v>
      </c>
      <c r="I53" s="331">
        <v>300</v>
      </c>
      <c r="J53" s="443"/>
      <c r="K53" s="328"/>
      <c r="L53" s="459">
        <v>1</v>
      </c>
      <c r="M53" s="329" t="str">
        <f t="shared" si="0"/>
        <v>Completed</v>
      </c>
      <c r="N53" s="456" t="s">
        <v>408</v>
      </c>
      <c r="O53" s="457">
        <v>368541.7</v>
      </c>
      <c r="P53" s="461">
        <v>834926.6</v>
      </c>
      <c r="Q53" s="458">
        <v>26.627960000000002</v>
      </c>
      <c r="R53" s="458">
        <v>81.880420000000001</v>
      </c>
      <c r="S53" s="1112" t="s">
        <v>1182</v>
      </c>
      <c r="T53" s="441" t="str">
        <f t="shared" si="1"/>
        <v>1_L</v>
      </c>
    </row>
    <row r="54" spans="1:20">
      <c r="A54" s="441">
        <v>34</v>
      </c>
      <c r="B54" s="340" t="s">
        <v>298</v>
      </c>
      <c r="C54" s="326" t="s">
        <v>299</v>
      </c>
      <c r="D54" s="329" t="s">
        <v>269</v>
      </c>
      <c r="E54" s="330"/>
      <c r="F54" s="329" t="s">
        <v>203</v>
      </c>
      <c r="G54" s="329" t="s">
        <v>282</v>
      </c>
      <c r="H54" s="331">
        <v>356</v>
      </c>
      <c r="I54" s="331">
        <v>920</v>
      </c>
      <c r="J54" s="443"/>
      <c r="K54" s="328"/>
      <c r="L54" s="459">
        <v>1</v>
      </c>
      <c r="M54" s="329" t="str">
        <f t="shared" si="0"/>
        <v>Completed</v>
      </c>
      <c r="N54" s="450" t="s">
        <v>408</v>
      </c>
      <c r="O54" s="453">
        <v>372016.7</v>
      </c>
      <c r="P54" s="453">
        <v>834244.8</v>
      </c>
      <c r="Q54" s="454">
        <v>26.626149999999999</v>
      </c>
      <c r="R54" s="454">
        <v>81.869770000000003</v>
      </c>
      <c r="S54" s="1112" t="s">
        <v>1182</v>
      </c>
      <c r="T54" s="441" t="str">
        <f t="shared" si="1"/>
        <v>1_L</v>
      </c>
    </row>
    <row r="55" spans="1:20">
      <c r="A55" s="441">
        <v>35</v>
      </c>
      <c r="B55" s="340" t="s">
        <v>300</v>
      </c>
      <c r="C55" s="326" t="s">
        <v>301</v>
      </c>
      <c r="D55" s="329" t="s">
        <v>269</v>
      </c>
      <c r="E55" s="329" t="s">
        <v>270</v>
      </c>
      <c r="F55" s="329" t="s">
        <v>203</v>
      </c>
      <c r="G55" s="329" t="s">
        <v>282</v>
      </c>
      <c r="H55" s="331">
        <v>2110</v>
      </c>
      <c r="I55" s="331">
        <v>8440</v>
      </c>
      <c r="J55" s="443"/>
      <c r="K55" s="328"/>
      <c r="L55" s="459">
        <v>1</v>
      </c>
      <c r="M55" s="329" t="str">
        <f t="shared" si="0"/>
        <v>Completed</v>
      </c>
      <c r="N55" s="450" t="s">
        <v>407</v>
      </c>
      <c r="O55" s="453">
        <v>394661.6</v>
      </c>
      <c r="P55" s="453">
        <v>863667.451</v>
      </c>
      <c r="Q55" s="454">
        <v>26.707494449999999</v>
      </c>
      <c r="R55" s="454">
        <v>81.801025960000004</v>
      </c>
      <c r="S55" s="1112" t="s">
        <v>1182</v>
      </c>
      <c r="T55" s="441" t="str">
        <f t="shared" si="1"/>
        <v>1_L</v>
      </c>
    </row>
    <row r="56" spans="1:20">
      <c r="A56" s="441">
        <v>36</v>
      </c>
      <c r="B56" s="340" t="s">
        <v>302</v>
      </c>
      <c r="C56" s="326" t="s">
        <v>303</v>
      </c>
      <c r="D56" s="329" t="s">
        <v>269</v>
      </c>
      <c r="E56" s="330"/>
      <c r="F56" s="329" t="s">
        <v>203</v>
      </c>
      <c r="G56" s="329" t="s">
        <v>282</v>
      </c>
      <c r="H56" s="331">
        <v>135</v>
      </c>
      <c r="I56" s="331">
        <v>1510</v>
      </c>
      <c r="J56" s="443"/>
      <c r="K56" s="328"/>
      <c r="L56" s="459">
        <v>1</v>
      </c>
      <c r="M56" s="329" t="str">
        <f t="shared" si="0"/>
        <v>Completed</v>
      </c>
      <c r="N56" s="603" t="s">
        <v>408</v>
      </c>
      <c r="O56" s="601">
        <v>368752.7</v>
      </c>
      <c r="P56" s="601">
        <v>866934.2</v>
      </c>
      <c r="Q56" s="602">
        <v>26.716010000000001</v>
      </c>
      <c r="R56" s="602">
        <v>81.880449999999996</v>
      </c>
      <c r="S56" s="1112" t="s">
        <v>1182</v>
      </c>
      <c r="T56" s="441" t="str">
        <f t="shared" si="1"/>
        <v>1_L</v>
      </c>
    </row>
    <row r="57" spans="1:20">
      <c r="A57" s="441">
        <v>37</v>
      </c>
      <c r="B57" s="340" t="s">
        <v>374</v>
      </c>
      <c r="C57" s="326" t="s">
        <v>376</v>
      </c>
      <c r="D57" s="329" t="s">
        <v>269</v>
      </c>
      <c r="E57" s="330"/>
      <c r="F57" s="329" t="s">
        <v>203</v>
      </c>
      <c r="G57" s="329" t="s">
        <v>282</v>
      </c>
      <c r="H57" s="331">
        <v>337.53806193346355</v>
      </c>
      <c r="I57" s="331">
        <v>2783.5931081525887</v>
      </c>
      <c r="J57" s="443">
        <v>-806</v>
      </c>
      <c r="K57" s="443"/>
      <c r="L57" s="459">
        <v>3</v>
      </c>
      <c r="M57" s="329" t="str">
        <f t="shared" si="0"/>
        <v>Long-Term</v>
      </c>
      <c r="N57" s="456" t="s">
        <v>407</v>
      </c>
      <c r="O57" s="457">
        <v>374439.64799999999</v>
      </c>
      <c r="P57" s="461">
        <v>872056.72</v>
      </c>
      <c r="Q57" s="458">
        <v>26.73020769</v>
      </c>
      <c r="R57" s="458">
        <v>81.863137379999998</v>
      </c>
      <c r="S57" s="1112" t="s">
        <v>1182</v>
      </c>
      <c r="T57" s="441" t="str">
        <f t="shared" si="1"/>
        <v>3_L</v>
      </c>
    </row>
    <row r="58" spans="1:20">
      <c r="A58" s="441">
        <v>38</v>
      </c>
      <c r="B58" s="340" t="s">
        <v>375</v>
      </c>
      <c r="C58" s="326" t="s">
        <v>377</v>
      </c>
      <c r="D58" s="329" t="s">
        <v>269</v>
      </c>
      <c r="E58" s="330"/>
      <c r="F58" s="329" t="s">
        <v>150</v>
      </c>
      <c r="G58" s="329" t="s">
        <v>282</v>
      </c>
      <c r="H58" s="331">
        <v>-337.53806193346401</v>
      </c>
      <c r="I58" s="331">
        <v>-2783.59310815259</v>
      </c>
      <c r="J58" s="443">
        <v>806</v>
      </c>
      <c r="K58" s="443"/>
      <c r="L58" s="459">
        <v>3</v>
      </c>
      <c r="M58" s="329" t="str">
        <f t="shared" si="0"/>
        <v>Long-Term</v>
      </c>
      <c r="N58" s="456" t="s">
        <v>407</v>
      </c>
      <c r="O58" s="457">
        <v>374439.64799999999</v>
      </c>
      <c r="P58" s="461">
        <v>872056.72</v>
      </c>
      <c r="Q58" s="458">
        <v>26.73020769</v>
      </c>
      <c r="R58" s="458">
        <v>81.863137379999998</v>
      </c>
      <c r="S58" s="1112" t="s">
        <v>1182</v>
      </c>
      <c r="T58" s="441" t="str">
        <f t="shared" si="1"/>
        <v>3_L</v>
      </c>
    </row>
    <row r="59" spans="1:20">
      <c r="A59" s="441">
        <v>39</v>
      </c>
      <c r="B59" s="340" t="s">
        <v>381</v>
      </c>
      <c r="C59" s="326" t="s">
        <v>383</v>
      </c>
      <c r="D59" s="329" t="s">
        <v>269</v>
      </c>
      <c r="E59" s="330"/>
      <c r="F59" s="329" t="s">
        <v>203</v>
      </c>
      <c r="G59" s="329" t="s">
        <v>282</v>
      </c>
      <c r="H59" s="335">
        <v>876</v>
      </c>
      <c r="I59" s="335">
        <v>4380</v>
      </c>
      <c r="J59" s="443"/>
      <c r="K59" s="328"/>
      <c r="L59" s="459">
        <v>3</v>
      </c>
      <c r="M59" s="329" t="str">
        <f t="shared" si="0"/>
        <v>Long-Term</v>
      </c>
      <c r="N59" s="450" t="s">
        <v>409</v>
      </c>
      <c r="O59" s="453">
        <v>343286</v>
      </c>
      <c r="P59" s="453">
        <v>823620</v>
      </c>
      <c r="Q59" s="454">
        <v>26.596360000000001</v>
      </c>
      <c r="R59" s="454">
        <v>81.957459999999998</v>
      </c>
      <c r="S59" s="1112" t="s">
        <v>1182</v>
      </c>
      <c r="T59" s="441" t="str">
        <f t="shared" si="1"/>
        <v>3_L</v>
      </c>
    </row>
    <row r="60" spans="1:20">
      <c r="A60" s="441">
        <v>40</v>
      </c>
      <c r="B60" s="340" t="s">
        <v>382</v>
      </c>
      <c r="C60" s="326" t="s">
        <v>384</v>
      </c>
      <c r="D60" s="329" t="s">
        <v>269</v>
      </c>
      <c r="E60" s="330"/>
      <c r="F60" s="329" t="s">
        <v>150</v>
      </c>
      <c r="G60" s="329" t="s">
        <v>282</v>
      </c>
      <c r="H60" s="335">
        <v>11022</v>
      </c>
      <c r="I60" s="335">
        <v>55110</v>
      </c>
      <c r="J60" s="443"/>
      <c r="K60" s="328"/>
      <c r="L60" s="459">
        <v>3</v>
      </c>
      <c r="M60" s="329" t="str">
        <f t="shared" si="0"/>
        <v>Long-Term</v>
      </c>
      <c r="N60" s="450" t="s">
        <v>409</v>
      </c>
      <c r="O60" s="453">
        <v>331093</v>
      </c>
      <c r="P60" s="453">
        <v>832980</v>
      </c>
      <c r="Q60" s="454">
        <v>26.621849999999998</v>
      </c>
      <c r="R60" s="454">
        <v>81.994990000000001</v>
      </c>
      <c r="S60" s="1112" t="s">
        <v>1182</v>
      </c>
      <c r="T60" s="441" t="str">
        <f t="shared" si="1"/>
        <v>3_L</v>
      </c>
    </row>
    <row r="61" spans="1:20">
      <c r="A61" s="441">
        <v>41</v>
      </c>
      <c r="B61" s="340" t="s">
        <v>304</v>
      </c>
      <c r="C61" s="326" t="s">
        <v>305</v>
      </c>
      <c r="D61" s="329" t="s">
        <v>269</v>
      </c>
      <c r="E61" s="329" t="s">
        <v>270</v>
      </c>
      <c r="F61" s="329" t="s">
        <v>150</v>
      </c>
      <c r="G61" s="329" t="s">
        <v>282</v>
      </c>
      <c r="H61" s="331">
        <v>1800</v>
      </c>
      <c r="I61" s="331">
        <v>9100</v>
      </c>
      <c r="J61" s="462">
        <v>-6700</v>
      </c>
      <c r="K61" s="328"/>
      <c r="L61" s="459">
        <v>3</v>
      </c>
      <c r="M61" s="329" t="str">
        <f t="shared" si="0"/>
        <v>Long-Term</v>
      </c>
      <c r="N61" s="450" t="s">
        <v>410</v>
      </c>
      <c r="O61" s="453">
        <v>319274.51400000002</v>
      </c>
      <c r="P61" s="453">
        <v>856835.19799999997</v>
      </c>
      <c r="Q61" s="454">
        <v>26.68721</v>
      </c>
      <c r="R61" s="454">
        <v>82.031750000000002</v>
      </c>
      <c r="S61" s="1112" t="s">
        <v>1182</v>
      </c>
      <c r="T61" s="441" t="str">
        <f t="shared" si="1"/>
        <v>3_L</v>
      </c>
    </row>
    <row r="62" spans="1:20">
      <c r="B62" s="337" t="s">
        <v>395</v>
      </c>
      <c r="C62" s="326"/>
      <c r="D62" s="327"/>
      <c r="E62" s="327"/>
      <c r="F62" s="327"/>
      <c r="G62" s="327"/>
      <c r="H62" s="339">
        <f>SUM(H21:H61)</f>
        <v>39400.15</v>
      </c>
      <c r="I62" s="339">
        <f>SUM(I21:I61)</f>
        <v>204764.93</v>
      </c>
      <c r="J62" s="339">
        <f>SUM(J21:J61)</f>
        <v>-10200</v>
      </c>
      <c r="K62" s="339">
        <f>SUM(K21:K61)</f>
        <v>3067</v>
      </c>
      <c r="L62" s="327"/>
      <c r="M62" s="459"/>
      <c r="N62" s="327"/>
      <c r="P62" s="453"/>
      <c r="Q62" s="453"/>
      <c r="R62" s="454"/>
      <c r="S62" s="454"/>
    </row>
    <row r="63" spans="1:20">
      <c r="B63" s="343" t="s">
        <v>396</v>
      </c>
      <c r="C63" s="326"/>
      <c r="D63" s="327"/>
      <c r="E63" s="327"/>
      <c r="F63" s="327"/>
      <c r="G63" s="327"/>
      <c r="H63" s="344">
        <f>H62/lb_mton</f>
        <v>17.871608598859996</v>
      </c>
      <c r="I63" s="344">
        <f>I62/lb_mton</f>
        <v>92.879816034531984</v>
      </c>
      <c r="J63" s="462"/>
      <c r="K63" s="328"/>
      <c r="L63" s="327"/>
      <c r="M63" s="459"/>
      <c r="N63" s="327"/>
      <c r="P63" s="453"/>
      <c r="Q63" s="453"/>
      <c r="R63" s="454"/>
      <c r="S63" s="454"/>
    </row>
    <row r="64" spans="1:20">
      <c r="B64" s="337"/>
      <c r="C64" s="326"/>
      <c r="D64" s="327"/>
      <c r="E64" s="327"/>
      <c r="F64" s="327"/>
      <c r="G64" s="327"/>
      <c r="H64" s="328"/>
      <c r="I64" s="328"/>
      <c r="J64" s="462"/>
      <c r="K64" s="328"/>
      <c r="L64" s="327"/>
      <c r="M64" s="459"/>
      <c r="N64" s="327"/>
      <c r="P64" s="453"/>
      <c r="Q64" s="453"/>
      <c r="R64" s="454"/>
      <c r="S64" s="454"/>
    </row>
    <row r="65" spans="1:20">
      <c r="B65" s="338" t="s">
        <v>394</v>
      </c>
      <c r="C65" s="445"/>
      <c r="D65" s="327"/>
      <c r="E65" s="327"/>
      <c r="F65" s="327"/>
      <c r="G65" s="327"/>
      <c r="H65" s="328"/>
      <c r="I65" s="328"/>
      <c r="J65" s="462"/>
      <c r="K65" s="328"/>
      <c r="L65" s="327"/>
      <c r="M65" s="459"/>
      <c r="N65" s="327"/>
      <c r="P65" s="453"/>
      <c r="Q65" s="453"/>
      <c r="R65" s="454"/>
      <c r="S65" s="454"/>
    </row>
    <row r="66" spans="1:20">
      <c r="B66" s="337"/>
      <c r="C66" s="326"/>
      <c r="D66" s="327"/>
      <c r="E66" s="327"/>
      <c r="F66" s="327"/>
      <c r="G66" s="327"/>
      <c r="H66" s="328"/>
      <c r="I66" s="328"/>
      <c r="J66" s="462"/>
      <c r="K66" s="328"/>
      <c r="L66" s="327"/>
      <c r="M66" s="459"/>
      <c r="N66" s="327"/>
      <c r="P66" s="453"/>
      <c r="Q66" s="453"/>
      <c r="R66" s="454"/>
      <c r="S66" s="454"/>
    </row>
    <row r="67" spans="1:20">
      <c r="A67" s="441">
        <v>42</v>
      </c>
      <c r="B67" s="449" t="s">
        <v>369</v>
      </c>
      <c r="C67" s="448" t="s">
        <v>378</v>
      </c>
      <c r="D67" s="327" t="s">
        <v>269</v>
      </c>
      <c r="E67" s="327" t="s">
        <v>270</v>
      </c>
      <c r="F67" s="327" t="s">
        <v>271</v>
      </c>
      <c r="G67" s="329" t="s">
        <v>272</v>
      </c>
      <c r="H67" s="334">
        <v>12642.673999999999</v>
      </c>
      <c r="I67" s="334">
        <v>59507.100000000006</v>
      </c>
      <c r="J67" s="443"/>
      <c r="K67" s="446">
        <v>4000</v>
      </c>
      <c r="L67" s="447">
        <v>3</v>
      </c>
      <c r="M67" s="329" t="str">
        <f t="shared" ref="M67:M86" si="6">VLOOKUP(L67,projstatus,2,FALSE)</f>
        <v>Long-Term</v>
      </c>
      <c r="N67" s="450" t="s">
        <v>398</v>
      </c>
      <c r="O67" s="451" t="s">
        <v>398</v>
      </c>
      <c r="P67" s="451" t="s">
        <v>398</v>
      </c>
      <c r="Q67" s="452" t="s">
        <v>398</v>
      </c>
      <c r="R67" s="452" t="s">
        <v>398</v>
      </c>
      <c r="S67" s="1112" t="s">
        <v>1183</v>
      </c>
      <c r="T67" s="441" t="str">
        <f t="shared" ref="T67:T86" si="7">TEXT(L67,"#") &amp; "_" &amp; LEFT($G67,1)</f>
        <v>3_R</v>
      </c>
    </row>
    <row r="68" spans="1:20">
      <c r="A68" s="441">
        <v>43</v>
      </c>
      <c r="B68" s="449" t="s">
        <v>370</v>
      </c>
      <c r="C68" s="448" t="s">
        <v>379</v>
      </c>
      <c r="D68" s="327" t="s">
        <v>269</v>
      </c>
      <c r="E68" s="327" t="s">
        <v>270</v>
      </c>
      <c r="F68" s="327" t="s">
        <v>289</v>
      </c>
      <c r="G68" s="329" t="s">
        <v>272</v>
      </c>
      <c r="H68" s="334">
        <v>12642.673999999999</v>
      </c>
      <c r="I68" s="334">
        <v>59507.100000000006</v>
      </c>
      <c r="J68" s="443"/>
      <c r="K68" s="446">
        <v>4000</v>
      </c>
      <c r="L68" s="447">
        <v>3</v>
      </c>
      <c r="M68" s="329" t="str">
        <f t="shared" si="6"/>
        <v>Long-Term</v>
      </c>
      <c r="N68" s="450" t="s">
        <v>398</v>
      </c>
      <c r="O68" s="451" t="s">
        <v>398</v>
      </c>
      <c r="P68" s="451" t="s">
        <v>398</v>
      </c>
      <c r="Q68" s="452" t="s">
        <v>398</v>
      </c>
      <c r="R68" s="452" t="s">
        <v>398</v>
      </c>
      <c r="S68" s="1112" t="s">
        <v>1183</v>
      </c>
      <c r="T68" s="441" t="str">
        <f t="shared" si="7"/>
        <v>3_R</v>
      </c>
    </row>
    <row r="69" spans="1:20">
      <c r="A69" s="441">
        <v>44</v>
      </c>
      <c r="B69" s="449" t="s">
        <v>371</v>
      </c>
      <c r="C69" s="448" t="s">
        <v>380</v>
      </c>
      <c r="D69" s="327" t="s">
        <v>269</v>
      </c>
      <c r="E69" s="327" t="s">
        <v>270</v>
      </c>
      <c r="F69" s="327" t="s">
        <v>203</v>
      </c>
      <c r="G69" s="329" t="s">
        <v>272</v>
      </c>
      <c r="H69" s="334">
        <v>6321.3369999999995</v>
      </c>
      <c r="I69" s="334">
        <v>29753.550000000003</v>
      </c>
      <c r="J69" s="443"/>
      <c r="K69" s="446">
        <v>2000</v>
      </c>
      <c r="L69" s="447">
        <v>3</v>
      </c>
      <c r="M69" s="329" t="str">
        <f t="shared" si="6"/>
        <v>Long-Term</v>
      </c>
      <c r="N69" s="450" t="s">
        <v>398</v>
      </c>
      <c r="O69" s="451" t="s">
        <v>398</v>
      </c>
      <c r="P69" s="451" t="s">
        <v>398</v>
      </c>
      <c r="Q69" s="452" t="s">
        <v>398</v>
      </c>
      <c r="R69" s="452" t="s">
        <v>398</v>
      </c>
      <c r="S69" s="1112" t="s">
        <v>1183</v>
      </c>
      <c r="T69" s="441" t="str">
        <f t="shared" si="7"/>
        <v>3_R</v>
      </c>
    </row>
    <row r="70" spans="1:20">
      <c r="A70" s="441">
        <v>45</v>
      </c>
      <c r="B70" s="449" t="s">
        <v>372</v>
      </c>
      <c r="C70" s="448" t="s">
        <v>373</v>
      </c>
      <c r="D70" s="327" t="s">
        <v>269</v>
      </c>
      <c r="E70" s="327" t="s">
        <v>270</v>
      </c>
      <c r="F70" s="327" t="s">
        <v>152</v>
      </c>
      <c r="G70" s="329" t="s">
        <v>272</v>
      </c>
      <c r="H70" s="334">
        <v>5311.15</v>
      </c>
      <c r="I70" s="334">
        <v>26128.080000000002</v>
      </c>
      <c r="J70" s="443"/>
      <c r="K70" s="446">
        <v>2000</v>
      </c>
      <c r="L70" s="447">
        <v>3</v>
      </c>
      <c r="M70" s="329" t="str">
        <f t="shared" si="6"/>
        <v>Long-Term</v>
      </c>
      <c r="N70" s="450" t="s">
        <v>398</v>
      </c>
      <c r="O70" s="451" t="s">
        <v>398</v>
      </c>
      <c r="P70" s="451" t="s">
        <v>398</v>
      </c>
      <c r="Q70" s="452" t="s">
        <v>398</v>
      </c>
      <c r="R70" s="452" t="s">
        <v>398</v>
      </c>
      <c r="S70" s="1112" t="s">
        <v>1183</v>
      </c>
      <c r="T70" s="441" t="str">
        <f t="shared" si="7"/>
        <v>3_R</v>
      </c>
    </row>
    <row r="71" spans="1:20">
      <c r="A71" s="441">
        <v>46</v>
      </c>
      <c r="B71" s="340" t="s">
        <v>940</v>
      </c>
      <c r="C71" s="326" t="s">
        <v>942</v>
      </c>
      <c r="D71" s="327" t="s">
        <v>269</v>
      </c>
      <c r="E71" s="327" t="s">
        <v>270</v>
      </c>
      <c r="F71" s="327" t="s">
        <v>271</v>
      </c>
      <c r="G71" s="327" t="s">
        <v>272</v>
      </c>
      <c r="H71" s="331">
        <v>22303</v>
      </c>
      <c r="I71" s="331">
        <v>91023</v>
      </c>
      <c r="J71" s="460"/>
      <c r="K71" s="331">
        <v>1070</v>
      </c>
      <c r="L71" s="459">
        <v>2</v>
      </c>
      <c r="M71" s="329" t="str">
        <f t="shared" si="6"/>
        <v>Near-Term</v>
      </c>
      <c r="N71" s="450" t="s">
        <v>406</v>
      </c>
      <c r="O71" s="943">
        <v>608541.69999999995</v>
      </c>
      <c r="P71" s="453">
        <v>895044.4</v>
      </c>
      <c r="Q71" s="454">
        <v>26.795999999999999</v>
      </c>
      <c r="R71" s="454">
        <v>81.146000000000001</v>
      </c>
      <c r="S71" s="1112" t="s">
        <v>1182</v>
      </c>
      <c r="T71" s="441" t="str">
        <f t="shared" si="7"/>
        <v>2_R</v>
      </c>
    </row>
    <row r="72" spans="1:20">
      <c r="A72" s="441">
        <v>47</v>
      </c>
      <c r="B72" s="341" t="s">
        <v>941</v>
      </c>
      <c r="C72" s="326" t="s">
        <v>943</v>
      </c>
      <c r="D72" s="327" t="s">
        <v>269</v>
      </c>
      <c r="E72" s="327" t="s">
        <v>270</v>
      </c>
      <c r="F72" s="327" t="s">
        <v>271</v>
      </c>
      <c r="G72" s="327" t="s">
        <v>272</v>
      </c>
      <c r="H72" s="331">
        <v>32420</v>
      </c>
      <c r="I72" s="331">
        <v>131330</v>
      </c>
      <c r="J72" s="460"/>
      <c r="K72" s="331">
        <v>1580</v>
      </c>
      <c r="L72" s="447">
        <v>3</v>
      </c>
      <c r="M72" s="329" t="str">
        <f t="shared" si="6"/>
        <v>Long-Term</v>
      </c>
      <c r="N72" s="450" t="s">
        <v>406</v>
      </c>
      <c r="O72" s="453">
        <v>613430.19999999995</v>
      </c>
      <c r="P72" s="453">
        <v>890677.2</v>
      </c>
      <c r="Q72" s="454">
        <v>26.783999999999999</v>
      </c>
      <c r="R72" s="454">
        <v>81.131</v>
      </c>
      <c r="S72" s="1112" t="s">
        <v>1182</v>
      </c>
      <c r="T72" s="441" t="str">
        <f t="shared" si="7"/>
        <v>3_R</v>
      </c>
    </row>
    <row r="73" spans="1:20">
      <c r="A73" s="441">
        <v>48</v>
      </c>
      <c r="B73" s="340" t="s">
        <v>273</v>
      </c>
      <c r="C73" s="326" t="s">
        <v>274</v>
      </c>
      <c r="D73" s="327" t="s">
        <v>269</v>
      </c>
      <c r="E73" s="326"/>
      <c r="F73" s="327" t="s">
        <v>271</v>
      </c>
      <c r="G73" s="327" t="s">
        <v>272</v>
      </c>
      <c r="H73" s="328">
        <v>42240.987551999999</v>
      </c>
      <c r="I73" s="328">
        <v>176542.0208</v>
      </c>
      <c r="J73" s="443"/>
      <c r="K73" s="328"/>
      <c r="L73" s="447">
        <v>3</v>
      </c>
      <c r="M73" s="329" t="str">
        <f t="shared" si="6"/>
        <v>Long-Term</v>
      </c>
      <c r="N73" s="450" t="s">
        <v>406</v>
      </c>
      <c r="O73" s="453">
        <v>583545.50600000005</v>
      </c>
      <c r="P73" s="453">
        <v>897457.98</v>
      </c>
      <c r="Q73" s="454">
        <v>26.80254</v>
      </c>
      <c r="R73" s="454">
        <v>81.222639999999998</v>
      </c>
      <c r="S73" s="1112" t="s">
        <v>1183</v>
      </c>
      <c r="T73" s="441" t="str">
        <f t="shared" si="7"/>
        <v>3_R</v>
      </c>
    </row>
    <row r="74" spans="1:20">
      <c r="A74" s="441">
        <v>49</v>
      </c>
      <c r="B74" s="340" t="s">
        <v>275</v>
      </c>
      <c r="C74" s="326" t="s">
        <v>276</v>
      </c>
      <c r="D74" s="327" t="s">
        <v>269</v>
      </c>
      <c r="E74" s="326"/>
      <c r="F74" s="327" t="s">
        <v>271</v>
      </c>
      <c r="G74" s="327" t="s">
        <v>272</v>
      </c>
      <c r="H74" s="332" t="s">
        <v>454</v>
      </c>
      <c r="I74" s="332" t="s">
        <v>454</v>
      </c>
      <c r="J74" s="443"/>
      <c r="K74" s="328"/>
      <c r="L74" s="447">
        <v>3</v>
      </c>
      <c r="M74" s="329" t="str">
        <f t="shared" si="6"/>
        <v>Long-Term</v>
      </c>
      <c r="N74" s="450" t="s">
        <v>407</v>
      </c>
      <c r="O74" s="453">
        <v>564015.35199999996</v>
      </c>
      <c r="P74" s="453">
        <v>889127.598</v>
      </c>
      <c r="Q74" s="454">
        <v>26.77951633</v>
      </c>
      <c r="R74" s="454">
        <v>81.282456510000003</v>
      </c>
      <c r="S74" s="1112" t="s">
        <v>1182</v>
      </c>
      <c r="T74" s="441" t="str">
        <f t="shared" si="7"/>
        <v>3_R</v>
      </c>
    </row>
    <row r="75" spans="1:20">
      <c r="A75" s="441">
        <v>50</v>
      </c>
      <c r="B75" s="340" t="s">
        <v>277</v>
      </c>
      <c r="C75" s="326" t="s">
        <v>278</v>
      </c>
      <c r="D75" s="329" t="s">
        <v>269</v>
      </c>
      <c r="E75" s="329" t="s">
        <v>270</v>
      </c>
      <c r="F75" s="329" t="s">
        <v>289</v>
      </c>
      <c r="G75" s="329" t="s">
        <v>272</v>
      </c>
      <c r="H75" s="331">
        <v>26400.61722</v>
      </c>
      <c r="I75" s="331">
        <v>110338.76300000001</v>
      </c>
      <c r="J75" s="443"/>
      <c r="K75" s="332" t="s">
        <v>454</v>
      </c>
      <c r="L75" s="447">
        <v>3</v>
      </c>
      <c r="M75" s="329" t="str">
        <f t="shared" si="6"/>
        <v>Long-Term</v>
      </c>
      <c r="N75" s="450" t="s">
        <v>406</v>
      </c>
      <c r="O75" s="453">
        <v>549777.04399999999</v>
      </c>
      <c r="P75" s="453">
        <v>889323.07499999995</v>
      </c>
      <c r="Q75" s="454">
        <v>26.779959999999999</v>
      </c>
      <c r="R75" s="454">
        <v>81.326099999999997</v>
      </c>
      <c r="S75" s="1112" t="s">
        <v>1183</v>
      </c>
      <c r="T75" s="441" t="str">
        <f t="shared" si="7"/>
        <v>3_R</v>
      </c>
    </row>
    <row r="76" spans="1:20">
      <c r="A76" s="441">
        <v>51</v>
      </c>
      <c r="B76" s="340" t="s">
        <v>316</v>
      </c>
      <c r="C76" s="326" t="s">
        <v>317</v>
      </c>
      <c r="D76" s="329" t="s">
        <v>269</v>
      </c>
      <c r="E76" s="329" t="s">
        <v>270</v>
      </c>
      <c r="F76" s="329" t="s">
        <v>271</v>
      </c>
      <c r="G76" s="329" t="s">
        <v>272</v>
      </c>
      <c r="H76" s="331">
        <v>11374.283666132855</v>
      </c>
      <c r="I76" s="331">
        <v>152400.44989774612</v>
      </c>
      <c r="J76" s="443"/>
      <c r="K76" s="332" t="s">
        <v>454</v>
      </c>
      <c r="L76" s="447">
        <v>3</v>
      </c>
      <c r="M76" s="329" t="str">
        <f t="shared" si="6"/>
        <v>Long-Term</v>
      </c>
      <c r="N76" s="450" t="s">
        <v>406</v>
      </c>
      <c r="O76" s="453">
        <v>565721.42599999998</v>
      </c>
      <c r="P76" s="453">
        <v>866981.027</v>
      </c>
      <c r="Q76" s="454">
        <v>26.718599999999999</v>
      </c>
      <c r="R76" s="454">
        <v>81.277079999999998</v>
      </c>
      <c r="S76" s="1112" t="s">
        <v>1183</v>
      </c>
      <c r="T76" s="441" t="str">
        <f t="shared" si="7"/>
        <v>3_R</v>
      </c>
    </row>
    <row r="77" spans="1:20">
      <c r="A77" s="441">
        <v>52</v>
      </c>
      <c r="B77" s="340" t="s">
        <v>318</v>
      </c>
      <c r="C77" s="326" t="s">
        <v>319</v>
      </c>
      <c r="D77" s="329" t="s">
        <v>269</v>
      </c>
      <c r="E77" s="329" t="s">
        <v>270</v>
      </c>
      <c r="F77" s="329" t="s">
        <v>271</v>
      </c>
      <c r="G77" s="329" t="s">
        <v>272</v>
      </c>
      <c r="H77" s="331">
        <v>9479.8766469632228</v>
      </c>
      <c r="I77" s="331">
        <v>127868.10361020161</v>
      </c>
      <c r="J77" s="443"/>
      <c r="K77" s="332" t="s">
        <v>454</v>
      </c>
      <c r="L77" s="447">
        <v>3</v>
      </c>
      <c r="M77" s="329" t="str">
        <f t="shared" si="6"/>
        <v>Long-Term</v>
      </c>
      <c r="N77" s="450" t="s">
        <v>398</v>
      </c>
      <c r="O77" s="451" t="s">
        <v>398</v>
      </c>
      <c r="P77" s="451" t="s">
        <v>398</v>
      </c>
      <c r="Q77" s="452" t="s">
        <v>398</v>
      </c>
      <c r="R77" s="452" t="s">
        <v>398</v>
      </c>
      <c r="S77" s="1112" t="s">
        <v>1183</v>
      </c>
      <c r="T77" s="441" t="str">
        <f t="shared" si="7"/>
        <v>3_R</v>
      </c>
    </row>
    <row r="78" spans="1:20">
      <c r="A78" s="441">
        <v>53</v>
      </c>
      <c r="B78" s="340" t="s">
        <v>320</v>
      </c>
      <c r="C78" s="326" t="s">
        <v>321</v>
      </c>
      <c r="D78" s="329" t="s">
        <v>269</v>
      </c>
      <c r="E78" s="330"/>
      <c r="F78" s="329" t="s">
        <v>322</v>
      </c>
      <c r="G78" s="329" t="s">
        <v>272</v>
      </c>
      <c r="H78" s="332" t="s">
        <v>454</v>
      </c>
      <c r="I78" s="332" t="s">
        <v>454</v>
      </c>
      <c r="J78" s="443"/>
      <c r="K78" s="328"/>
      <c r="L78" s="447">
        <v>3</v>
      </c>
      <c r="M78" s="329" t="str">
        <f t="shared" si="6"/>
        <v>Long-Term</v>
      </c>
      <c r="N78" s="450" t="s">
        <v>398</v>
      </c>
      <c r="O78" s="451" t="s">
        <v>398</v>
      </c>
      <c r="P78" s="451" t="s">
        <v>398</v>
      </c>
      <c r="Q78" s="452" t="s">
        <v>398</v>
      </c>
      <c r="R78" s="452" t="s">
        <v>398</v>
      </c>
      <c r="S78" s="1112" t="s">
        <v>1183</v>
      </c>
      <c r="T78" s="441" t="str">
        <f t="shared" si="7"/>
        <v>3_R</v>
      </c>
    </row>
    <row r="79" spans="1:20">
      <c r="A79" s="441">
        <v>54</v>
      </c>
      <c r="B79" s="340" t="s">
        <v>279</v>
      </c>
      <c r="C79" s="326" t="s">
        <v>280</v>
      </c>
      <c r="D79" s="327" t="s">
        <v>269</v>
      </c>
      <c r="E79" s="326"/>
      <c r="F79" s="327" t="s">
        <v>289</v>
      </c>
      <c r="G79" s="327" t="s">
        <v>272</v>
      </c>
      <c r="H79" s="328">
        <v>30732.68</v>
      </c>
      <c r="I79" s="328">
        <v>128954.92</v>
      </c>
      <c r="J79" s="443"/>
      <c r="K79" s="328"/>
      <c r="L79" s="447">
        <v>3</v>
      </c>
      <c r="M79" s="329" t="str">
        <f t="shared" si="6"/>
        <v>Long-Term</v>
      </c>
      <c r="N79" s="450" t="s">
        <v>406</v>
      </c>
      <c r="O79" s="453">
        <v>497800.31800000003</v>
      </c>
      <c r="P79" s="453">
        <v>865257.65099999995</v>
      </c>
      <c r="Q79" s="454">
        <v>26.7133</v>
      </c>
      <c r="R79" s="454">
        <v>81.485129999999998</v>
      </c>
      <c r="S79" s="1112" t="s">
        <v>1182</v>
      </c>
      <c r="T79" s="441" t="str">
        <f t="shared" si="7"/>
        <v>3_R</v>
      </c>
    </row>
    <row r="80" spans="1:20">
      <c r="A80" s="441">
        <v>55</v>
      </c>
      <c r="B80" s="340" t="s">
        <v>698</v>
      </c>
      <c r="C80" s="326" t="s">
        <v>700</v>
      </c>
      <c r="D80" s="327" t="s">
        <v>269</v>
      </c>
      <c r="E80" s="327" t="s">
        <v>270</v>
      </c>
      <c r="F80" s="327" t="s">
        <v>289</v>
      </c>
      <c r="G80" s="327" t="s">
        <v>272</v>
      </c>
      <c r="H80" s="331">
        <v>1400</v>
      </c>
      <c r="I80" s="331">
        <v>5600</v>
      </c>
      <c r="J80" s="443"/>
      <c r="K80" s="331">
        <v>35</v>
      </c>
      <c r="L80" s="459">
        <v>2</v>
      </c>
      <c r="M80" s="329" t="str">
        <f t="shared" si="6"/>
        <v>Near-Term</v>
      </c>
      <c r="N80" s="450" t="s">
        <v>412</v>
      </c>
      <c r="O80" s="453">
        <v>471349.9</v>
      </c>
      <c r="P80" s="453">
        <v>873840.2</v>
      </c>
      <c r="Q80" s="454">
        <v>26.736609999999999</v>
      </c>
      <c r="R80" s="454">
        <v>81.566270000000003</v>
      </c>
      <c r="S80" s="1112" t="s">
        <v>1182</v>
      </c>
      <c r="T80" s="441" t="str">
        <f t="shared" si="7"/>
        <v>2_R</v>
      </c>
    </row>
    <row r="81" spans="1:20">
      <c r="A81" s="441">
        <v>56</v>
      </c>
      <c r="B81" s="340" t="s">
        <v>699</v>
      </c>
      <c r="C81" s="326" t="s">
        <v>697</v>
      </c>
      <c r="D81" s="327" t="s">
        <v>269</v>
      </c>
      <c r="E81" s="327" t="s">
        <v>270</v>
      </c>
      <c r="F81" s="327" t="s">
        <v>289</v>
      </c>
      <c r="G81" s="327" t="s">
        <v>272</v>
      </c>
      <c r="H81" s="331">
        <v>1484</v>
      </c>
      <c r="I81" s="331">
        <v>7924</v>
      </c>
      <c r="J81" s="460"/>
      <c r="K81" s="331">
        <v>1600</v>
      </c>
      <c r="L81" s="447">
        <v>3</v>
      </c>
      <c r="M81" s="329" t="str">
        <f t="shared" si="6"/>
        <v>Long-Term</v>
      </c>
      <c r="N81" s="450" t="s">
        <v>409</v>
      </c>
      <c r="O81" s="453">
        <v>468214.4</v>
      </c>
      <c r="P81" s="453">
        <v>883130.3</v>
      </c>
      <c r="Q81" s="454">
        <v>26.762</v>
      </c>
      <c r="R81" s="454">
        <v>81.606650000000002</v>
      </c>
      <c r="S81" s="1112" t="s">
        <v>1182</v>
      </c>
      <c r="T81" s="441" t="str">
        <f t="shared" si="7"/>
        <v>3_R</v>
      </c>
    </row>
    <row r="82" spans="1:20">
      <c r="A82" s="441">
        <v>57</v>
      </c>
      <c r="B82" s="463" t="s">
        <v>385</v>
      </c>
      <c r="C82" s="1127" t="s">
        <v>386</v>
      </c>
      <c r="D82" s="327" t="s">
        <v>269</v>
      </c>
      <c r="E82" s="327" t="s">
        <v>270</v>
      </c>
      <c r="F82" s="327" t="s">
        <v>271</v>
      </c>
      <c r="G82" s="327" t="s">
        <v>272</v>
      </c>
      <c r="H82" s="328">
        <v>2501.0016727309521</v>
      </c>
      <c r="I82" s="328">
        <v>28909.678657200675</v>
      </c>
      <c r="J82" s="443"/>
      <c r="K82" s="446">
        <v>21520</v>
      </c>
      <c r="L82" s="447">
        <v>3</v>
      </c>
      <c r="M82" s="329" t="str">
        <f t="shared" si="6"/>
        <v>Long-Term</v>
      </c>
      <c r="N82" s="450" t="s">
        <v>418</v>
      </c>
      <c r="O82" s="453">
        <v>599420</v>
      </c>
      <c r="P82" s="453">
        <v>905244</v>
      </c>
      <c r="Q82" s="454">
        <v>26.824027999999998</v>
      </c>
      <c r="R82" s="454">
        <v>81.174006000000006</v>
      </c>
      <c r="S82" s="1112" t="s">
        <v>1183</v>
      </c>
      <c r="T82" s="441" t="str">
        <f t="shared" si="7"/>
        <v>3_R</v>
      </c>
    </row>
    <row r="83" spans="1:20">
      <c r="A83" s="441">
        <v>58</v>
      </c>
      <c r="B83" s="463" t="s">
        <v>387</v>
      </c>
      <c r="C83" s="1127" t="s">
        <v>388</v>
      </c>
      <c r="D83" s="327" t="s">
        <v>269</v>
      </c>
      <c r="E83" s="327" t="s">
        <v>270</v>
      </c>
      <c r="F83" s="327" t="s">
        <v>271</v>
      </c>
      <c r="G83" s="327" t="s">
        <v>272</v>
      </c>
      <c r="H83" s="328">
        <v>1793.6049554956189</v>
      </c>
      <c r="I83" s="328">
        <v>31876.189129216866</v>
      </c>
      <c r="J83" s="443"/>
      <c r="K83" s="446">
        <v>21490</v>
      </c>
      <c r="L83" s="447">
        <v>3</v>
      </c>
      <c r="M83" s="329" t="str">
        <f t="shared" si="6"/>
        <v>Long-Term</v>
      </c>
      <c r="N83" s="450" t="s">
        <v>418</v>
      </c>
      <c r="O83" s="453">
        <v>595064</v>
      </c>
      <c r="P83" s="453">
        <v>896833</v>
      </c>
      <c r="Q83" s="454">
        <v>26.800871999999998</v>
      </c>
      <c r="R83" s="454">
        <v>81.187325000000001</v>
      </c>
      <c r="S83" s="1112" t="s">
        <v>1183</v>
      </c>
      <c r="T83" s="441" t="str">
        <f t="shared" si="7"/>
        <v>3_R</v>
      </c>
    </row>
    <row r="84" spans="1:20">
      <c r="A84" s="441">
        <v>59</v>
      </c>
      <c r="B84" s="463" t="s">
        <v>389</v>
      </c>
      <c r="C84" s="1127" t="s">
        <v>390</v>
      </c>
      <c r="D84" s="327" t="s">
        <v>269</v>
      </c>
      <c r="E84" s="327" t="s">
        <v>270</v>
      </c>
      <c r="F84" s="327" t="s">
        <v>271</v>
      </c>
      <c r="G84" s="327" t="s">
        <v>272</v>
      </c>
      <c r="H84" s="328">
        <v>4424.7259594341986</v>
      </c>
      <c r="I84" s="328">
        <v>66240.416476418992</v>
      </c>
      <c r="J84" s="443"/>
      <c r="K84" s="446">
        <v>30320</v>
      </c>
      <c r="L84" s="447">
        <v>3</v>
      </c>
      <c r="M84" s="329" t="str">
        <f t="shared" si="6"/>
        <v>Long-Term</v>
      </c>
      <c r="N84" s="450" t="s">
        <v>407</v>
      </c>
      <c r="O84" s="453">
        <v>624489.4</v>
      </c>
      <c r="P84" s="453">
        <v>876646.5</v>
      </c>
      <c r="Q84" s="454">
        <v>26.745428</v>
      </c>
      <c r="R84" s="454">
        <v>81.097067999999993</v>
      </c>
      <c r="S84" s="1112" t="s">
        <v>1183</v>
      </c>
      <c r="T84" s="441" t="str">
        <f t="shared" si="7"/>
        <v>3_R</v>
      </c>
    </row>
    <row r="85" spans="1:20">
      <c r="A85" s="441">
        <v>60</v>
      </c>
      <c r="B85" s="463" t="s">
        <v>391</v>
      </c>
      <c r="C85" s="464" t="s">
        <v>392</v>
      </c>
      <c r="D85" s="327" t="s">
        <v>269</v>
      </c>
      <c r="E85" s="327" t="s">
        <v>270</v>
      </c>
      <c r="F85" s="327" t="s">
        <v>271</v>
      </c>
      <c r="G85" s="327" t="s">
        <v>272</v>
      </c>
      <c r="H85" s="328">
        <v>1424.5555070189437</v>
      </c>
      <c r="I85" s="328">
        <v>20558.520472454074</v>
      </c>
      <c r="J85" s="443"/>
      <c r="K85" s="446">
        <v>12800</v>
      </c>
      <c r="L85" s="447">
        <v>3</v>
      </c>
      <c r="M85" s="329" t="str">
        <f t="shared" si="6"/>
        <v>Long-Term</v>
      </c>
      <c r="N85" s="450" t="s">
        <v>407</v>
      </c>
      <c r="O85" s="453">
        <v>595001.1</v>
      </c>
      <c r="P85" s="453">
        <v>888317.2</v>
      </c>
      <c r="Q85" s="454">
        <v>26.777443999999999</v>
      </c>
      <c r="R85" s="454">
        <v>81.187478999999996</v>
      </c>
      <c r="S85" s="1112" t="s">
        <v>1183</v>
      </c>
      <c r="T85" s="441" t="str">
        <f t="shared" si="7"/>
        <v>3_R</v>
      </c>
    </row>
    <row r="86" spans="1:20">
      <c r="A86" s="441">
        <v>62</v>
      </c>
      <c r="B86" s="1126" t="s">
        <v>1206</v>
      </c>
      <c r="C86" s="939" t="s">
        <v>998</v>
      </c>
      <c r="D86" s="327" t="s">
        <v>269</v>
      </c>
      <c r="E86" s="327" t="s">
        <v>270</v>
      </c>
      <c r="F86" s="441" t="s">
        <v>289</v>
      </c>
      <c r="G86" s="327" t="s">
        <v>272</v>
      </c>
      <c r="H86" s="949">
        <v>9200</v>
      </c>
      <c r="I86" s="949">
        <v>98876</v>
      </c>
      <c r="J86" s="446"/>
      <c r="K86" s="446">
        <v>163600</v>
      </c>
      <c r="L86" s="447">
        <v>3</v>
      </c>
      <c r="M86" s="329" t="str">
        <f t="shared" si="6"/>
        <v>Long-Term</v>
      </c>
      <c r="N86" s="450" t="s">
        <v>412</v>
      </c>
      <c r="O86" s="453">
        <v>496926.4</v>
      </c>
      <c r="P86" s="453">
        <v>853567.1</v>
      </c>
      <c r="Q86" s="454">
        <v>26.68113</v>
      </c>
      <c r="R86" s="454">
        <v>81.487669999999994</v>
      </c>
      <c r="S86" s="1112" t="s">
        <v>1182</v>
      </c>
      <c r="T86" s="441" t="str">
        <f t="shared" si="7"/>
        <v>3_R</v>
      </c>
    </row>
    <row r="87" spans="1:20">
      <c r="B87" s="337" t="s">
        <v>395</v>
      </c>
      <c r="H87" s="342">
        <f>SUM(H67:H86)</f>
        <v>234097.16817977579</v>
      </c>
      <c r="I87" s="342">
        <f>SUM(I67:I86)</f>
        <v>1353337.8920432383</v>
      </c>
      <c r="J87" s="342">
        <f>SUM(J67:J85)</f>
        <v>0</v>
      </c>
      <c r="K87" s="342">
        <f>SUM(K67:K86)</f>
        <v>266015</v>
      </c>
    </row>
    <row r="88" spans="1:20">
      <c r="B88" s="343" t="s">
        <v>396</v>
      </c>
      <c r="H88" s="344">
        <f>H87/lb_mton</f>
        <v>106.18469634786811</v>
      </c>
      <c r="I88" s="344">
        <f>I87/lb_mton</f>
        <v>613.86378246283323</v>
      </c>
    </row>
    <row r="90" spans="1:20">
      <c r="B90" s="338" t="s">
        <v>894</v>
      </c>
      <c r="C90" s="495"/>
    </row>
    <row r="92" spans="1:20">
      <c r="B92" s="444" t="s">
        <v>398</v>
      </c>
      <c r="C92" s="466" t="s">
        <v>397</v>
      </c>
      <c r="D92" s="327" t="s">
        <v>269</v>
      </c>
      <c r="E92" s="327" t="s">
        <v>270</v>
      </c>
      <c r="F92" s="441" t="s">
        <v>399</v>
      </c>
      <c r="G92" s="327" t="s">
        <v>611</v>
      </c>
      <c r="H92" s="465">
        <f>$F$106*lb_mton</f>
        <v>125563.02119606621</v>
      </c>
      <c r="I92" s="465">
        <f>$G$106*lb_mton</f>
        <v>1123909.1040062965</v>
      </c>
      <c r="J92" s="467">
        <f>$E$106</f>
        <v>-186834.32528925652</v>
      </c>
      <c r="K92" s="465"/>
      <c r="L92" s="447">
        <v>3</v>
      </c>
      <c r="M92" s="329" t="str">
        <f>VLOOKUP(L92,projstatus,2,FALSE)</f>
        <v>Long-Term</v>
      </c>
      <c r="N92" s="450"/>
      <c r="O92" s="443"/>
      <c r="T92" s="441" t="str">
        <f>TEXT(L92,"#") &amp; "_" &amp; LEFT($G92,1)</f>
        <v>3_T</v>
      </c>
    </row>
    <row r="93" spans="1:20">
      <c r="B93" s="337" t="s">
        <v>395</v>
      </c>
      <c r="H93" s="342">
        <f>SUM(H92:H92)</f>
        <v>125563.02119606621</v>
      </c>
      <c r="I93" s="342">
        <f>SUM(I92:I92)</f>
        <v>1123909.1040062965</v>
      </c>
      <c r="J93" s="342">
        <f>SUM(J92:J92)</f>
        <v>-186834.32528925652</v>
      </c>
      <c r="K93" s="342">
        <f>SUM(K92:K92)</f>
        <v>0</v>
      </c>
    </row>
    <row r="94" spans="1:20">
      <c r="B94" s="343" t="s">
        <v>396</v>
      </c>
      <c r="H94" s="344">
        <f>H93/lb_mton</f>
        <v>56.954432135574535</v>
      </c>
      <c r="I94" s="344">
        <f>I93/lb_mton</f>
        <v>509.79662786806557</v>
      </c>
    </row>
    <row r="97" spans="2:20">
      <c r="B97" s="493" t="s">
        <v>619</v>
      </c>
      <c r="C97" s="494"/>
      <c r="D97" s="663"/>
      <c r="E97" s="663"/>
      <c r="F97" s="664"/>
      <c r="G97" s="664"/>
      <c r="H97" s="663"/>
      <c r="I97" s="482" t="s">
        <v>801</v>
      </c>
      <c r="J97" s="443"/>
      <c r="K97" s="492" t="s">
        <v>615</v>
      </c>
    </row>
    <row r="98" spans="2:20">
      <c r="D98" s="436">
        <v>1</v>
      </c>
      <c r="E98" s="436">
        <v>2</v>
      </c>
      <c r="F98" s="436">
        <v>3</v>
      </c>
      <c r="G98" s="436">
        <v>4</v>
      </c>
      <c r="H98" s="436">
        <v>5</v>
      </c>
      <c r="I98" s="436">
        <v>6</v>
      </c>
      <c r="J98" s="443"/>
      <c r="K98" s="492" t="s">
        <v>626</v>
      </c>
    </row>
    <row r="99" spans="2:20">
      <c r="B99" s="496" t="s">
        <v>620</v>
      </c>
      <c r="C99" s="718"/>
      <c r="D99" s="497"/>
      <c r="E99" s="496" t="s">
        <v>39</v>
      </c>
      <c r="F99" s="1310" t="s">
        <v>354</v>
      </c>
      <c r="G99" s="1309" t="s">
        <v>355</v>
      </c>
      <c r="H99" s="1310" t="s">
        <v>356</v>
      </c>
      <c r="I99" s="1309" t="s">
        <v>357</v>
      </c>
      <c r="J99" s="443"/>
      <c r="K99" s="486" t="s">
        <v>627</v>
      </c>
      <c r="L99" s="443"/>
    </row>
    <row r="100" spans="2:20">
      <c r="B100" s="498" t="s">
        <v>225</v>
      </c>
      <c r="C100" s="499" t="s">
        <v>621</v>
      </c>
      <c r="D100" s="719">
        <v>1</v>
      </c>
      <c r="E100" s="504">
        <v>975041.7412471826</v>
      </c>
      <c r="F100" s="505">
        <v>104.45960937272767</v>
      </c>
      <c r="G100" s="505">
        <v>1950.909301658909</v>
      </c>
      <c r="H100" s="506">
        <f>F100/E100*mtonacft_mgl</f>
        <v>8.6854521149307196E-2</v>
      </c>
      <c r="I100" s="507">
        <f>G100/E100*mtonacft_mgl</f>
        <v>1.622113027406674</v>
      </c>
      <c r="J100" s="443"/>
      <c r="K100" s="492" t="s">
        <v>616</v>
      </c>
      <c r="L100" s="443"/>
    </row>
    <row r="101" spans="2:20">
      <c r="B101" s="500" t="s">
        <v>225</v>
      </c>
      <c r="C101" s="501" t="s">
        <v>622</v>
      </c>
      <c r="D101" s="720">
        <v>2</v>
      </c>
      <c r="E101" s="508">
        <v>674700</v>
      </c>
      <c r="F101" s="509">
        <f>H101*E101/mtonacft_mgl</f>
        <v>66.578415663464938</v>
      </c>
      <c r="G101" s="509">
        <f>I101*E101/mtonacft_mgl</f>
        <v>1214.9742981577842</v>
      </c>
      <c r="H101" s="510">
        <v>0.08</v>
      </c>
      <c r="I101" s="511">
        <v>1.4599017246660067</v>
      </c>
      <c r="J101" s="443"/>
      <c r="K101" s="946" t="s">
        <v>1004</v>
      </c>
      <c r="L101" s="443"/>
    </row>
    <row r="102" spans="2:20">
      <c r="B102" s="502" t="s">
        <v>225</v>
      </c>
      <c r="C102" s="503" t="s">
        <v>624</v>
      </c>
      <c r="D102" s="721">
        <v>3</v>
      </c>
      <c r="E102" s="512">
        <f>(E100-E101)/E100</f>
        <v>0.30802962431435338</v>
      </c>
      <c r="F102" s="512">
        <f t="shared" ref="F102:I102" si="8">(F100-F101)/F100</f>
        <v>0.36263962632769292</v>
      </c>
      <c r="G102" s="512">
        <f t="shared" si="8"/>
        <v>0.37722666188291792</v>
      </c>
      <c r="H102" s="512">
        <f t="shared" si="8"/>
        <v>7.8919566403733141E-2</v>
      </c>
      <c r="I102" s="513">
        <f t="shared" si="8"/>
        <v>9.999999999999995E-2</v>
      </c>
      <c r="J102" s="443"/>
      <c r="K102" s="947" t="s">
        <v>1003</v>
      </c>
      <c r="L102" s="443"/>
    </row>
    <row r="103" spans="2:20">
      <c r="B103" s="498" t="s">
        <v>222</v>
      </c>
      <c r="C103" s="499" t="s">
        <v>623</v>
      </c>
      <c r="D103" s="719">
        <v>4</v>
      </c>
      <c r="E103" s="735">
        <f>VLOOKUP("S-77",flow_9605,5,FALSE)</f>
        <v>861534.32528925652</v>
      </c>
      <c r="F103" s="736">
        <f>VLOOKUP("S-77",flow_9605,6,FALSE)</f>
        <v>103.5593231</v>
      </c>
      <c r="G103" s="736">
        <f>VLOOKUP("S-77",flow_9605,7,FALSE)</f>
        <v>1727.0932900000003</v>
      </c>
      <c r="H103" s="737">
        <f>VLOOKUP("S-77",flow_9605,8,FALSE)</f>
        <v>9.7450452190554676E-2</v>
      </c>
      <c r="I103" s="738">
        <f>VLOOKUP("S-77",flow_9605,9,FALSE)</f>
        <v>1.6252136171578822</v>
      </c>
      <c r="J103" s="443"/>
      <c r="K103" s="948" t="s">
        <v>1005</v>
      </c>
    </row>
    <row r="104" spans="2:20" ht="13.5" thickBot="1">
      <c r="B104" s="500" t="s">
        <v>222</v>
      </c>
      <c r="C104" s="501" t="s">
        <v>625</v>
      </c>
      <c r="D104" s="720">
        <v>5</v>
      </c>
      <c r="E104" s="739">
        <f>E101</f>
        <v>674700</v>
      </c>
      <c r="F104" s="740">
        <f>H104*E104/mtonacft_mgl</f>
        <v>46.604890964425465</v>
      </c>
      <c r="G104" s="740">
        <f>I104*E104/mtonacft_mgl</f>
        <v>1217.2966621319347</v>
      </c>
      <c r="H104" s="741">
        <v>5.6000000000000001E-2</v>
      </c>
      <c r="I104" s="742">
        <f>I103*(1-I105)</f>
        <v>1.462692255442094</v>
      </c>
      <c r="K104" s="947" t="s">
        <v>1006</v>
      </c>
    </row>
    <row r="105" spans="2:20" ht="13.5" thickBot="1">
      <c r="B105" s="502" t="s">
        <v>222</v>
      </c>
      <c r="C105" s="503" t="s">
        <v>624</v>
      </c>
      <c r="D105" s="721">
        <v>6</v>
      </c>
      <c r="E105" s="512">
        <f>(E103-E104)/E103</f>
        <v>0.21686231158175581</v>
      </c>
      <c r="F105" s="512">
        <f t="shared" ref="F105" si="9">(F103-F104)/F103</f>
        <v>0.54996914261961349</v>
      </c>
      <c r="G105" s="512">
        <f t="shared" ref="G105" si="10">(G103-G104)/G103</f>
        <v>0.29517608042358007</v>
      </c>
      <c r="H105" s="512">
        <f t="shared" ref="H105" si="11">(H103-H104)/H103</f>
        <v>0.42534899796567832</v>
      </c>
      <c r="I105" s="722">
        <v>0.1</v>
      </c>
      <c r="K105" s="947" t="s">
        <v>1007</v>
      </c>
    </row>
    <row r="106" spans="2:20">
      <c r="B106" s="502" t="s">
        <v>222</v>
      </c>
      <c r="C106" s="514" t="s">
        <v>629</v>
      </c>
      <c r="D106" s="723">
        <v>7</v>
      </c>
      <c r="E106" s="516">
        <f>E104-E103</f>
        <v>-186834.32528925652</v>
      </c>
      <c r="F106" s="517">
        <f>F103-F104</f>
        <v>56.954432135574535</v>
      </c>
      <c r="G106" s="517">
        <f>G103-G104</f>
        <v>509.79662786806557</v>
      </c>
      <c r="H106" s="515"/>
      <c r="I106" s="518"/>
      <c r="K106" s="486" t="s">
        <v>628</v>
      </c>
    </row>
    <row r="107" spans="2:20">
      <c r="K107" s="443"/>
    </row>
    <row r="109" spans="2:20">
      <c r="B109" s="489" t="s">
        <v>1020</v>
      </c>
      <c r="C109" s="478"/>
      <c r="D109" s="478"/>
      <c r="E109" s="478"/>
      <c r="F109" s="487"/>
      <c r="G109" s="487"/>
      <c r="H109" s="487"/>
      <c r="I109" s="487"/>
      <c r="J109" s="487"/>
      <c r="K109" s="487"/>
      <c r="L109" s="488"/>
    </row>
    <row r="111" spans="2:20">
      <c r="E111" s="434"/>
      <c r="F111" s="435"/>
      <c r="G111" s="435"/>
      <c r="H111" s="435"/>
      <c r="I111" s="435"/>
      <c r="J111" s="435"/>
      <c r="K111" s="435"/>
      <c r="L111" s="482" t="s">
        <v>1019</v>
      </c>
    </row>
    <row r="112" spans="2:20">
      <c r="E112" s="436">
        <v>1</v>
      </c>
      <c r="F112" s="436">
        <v>2</v>
      </c>
      <c r="G112" s="436">
        <v>3</v>
      </c>
      <c r="H112" s="436">
        <v>4</v>
      </c>
      <c r="I112" s="436">
        <v>5</v>
      </c>
      <c r="J112" s="436">
        <v>6</v>
      </c>
      <c r="K112" s="436">
        <v>7</v>
      </c>
      <c r="L112" s="436">
        <v>8</v>
      </c>
      <c r="M112" s="436" t="s">
        <v>599</v>
      </c>
      <c r="Q112" s="491" t="s">
        <v>618</v>
      </c>
      <c r="T112" s="441"/>
    </row>
    <row r="113" spans="3:20">
      <c r="C113" s="443" t="s">
        <v>595</v>
      </c>
      <c r="E113" s="1158" t="s">
        <v>1216</v>
      </c>
      <c r="F113" s="468">
        <v>1</v>
      </c>
      <c r="G113" s="468">
        <v>2</v>
      </c>
      <c r="H113" s="468">
        <v>3</v>
      </c>
      <c r="I113" s="468">
        <v>4</v>
      </c>
      <c r="J113" s="468">
        <v>5</v>
      </c>
      <c r="K113" s="468">
        <v>6</v>
      </c>
      <c r="L113" s="468">
        <v>7</v>
      </c>
      <c r="T113" s="441"/>
    </row>
    <row r="114" spans="3:20">
      <c r="C114" s="443" t="s">
        <v>593</v>
      </c>
      <c r="E114" s="469" t="s">
        <v>594</v>
      </c>
      <c r="F114" s="468" t="str">
        <f t="shared" ref="F114:L114" si="12">VLOOKUP(F$113,subwatalpha,3,FALSE)</f>
        <v>Coastal</v>
      </c>
      <c r="G114" s="468" t="str">
        <f t="shared" si="12"/>
        <v>East</v>
      </c>
      <c r="H114" s="468" t="str">
        <f t="shared" si="12"/>
        <v>S-4</v>
      </c>
      <c r="I114" s="468" t="str">
        <f t="shared" si="12"/>
        <v>Tidal</v>
      </c>
      <c r="J114" s="468" t="str">
        <f t="shared" si="12"/>
        <v>West</v>
      </c>
      <c r="K114" s="468" t="str">
        <f t="shared" si="12"/>
        <v>Total</v>
      </c>
      <c r="L114" s="468" t="str">
        <f t="shared" si="12"/>
        <v>Okee</v>
      </c>
      <c r="Q114" s="496" t="s">
        <v>426</v>
      </c>
      <c r="R114" s="470" t="s">
        <v>589</v>
      </c>
      <c r="S114" s="470" t="s">
        <v>590</v>
      </c>
      <c r="T114" s="470" t="s">
        <v>596</v>
      </c>
    </row>
    <row r="115" spans="3:20">
      <c r="C115" s="443" t="s">
        <v>597</v>
      </c>
      <c r="E115" s="440" t="s">
        <v>558</v>
      </c>
      <c r="F115" s="471">
        <f>SUMIFS($J$21:$J$92,$T$21:$T$92,$T115,$F$21:$F$92,F$114)</f>
        <v>0</v>
      </c>
      <c r="G115" s="471">
        <f>SUMIFS($J$21:$J$92,$T$21:$T$92,$T115,$F$21:$F$92,G$114)</f>
        <v>0</v>
      </c>
      <c r="H115" s="471">
        <f>SUMIFS($J$21:$J$92,$T$21:$T$92,$T115,$F$21:$F$92,H$114)</f>
        <v>0</v>
      </c>
      <c r="I115" s="471">
        <f>SUMIFS($J$21:$J$92,$T$21:$T$92,$T115,$F$21:$F$92,I$114)</f>
        <v>0</v>
      </c>
      <c r="J115" s="471">
        <f>SUMIFS($J$21:$J$92,$T$21:$T$92,$T115,$F$21:$F$92,J$114)</f>
        <v>0</v>
      </c>
      <c r="K115" s="471">
        <f t="shared" ref="K115:K142" si="13">SUM(F115:J115)</f>
        <v>0</v>
      </c>
      <c r="L115" s="472">
        <f>SUMIFS($J$21:$J$92,$T$21:$T$92,$T115,$F$21:$F$92,L$114)</f>
        <v>0</v>
      </c>
      <c r="Q115" s="441">
        <v>1</v>
      </c>
      <c r="R115" s="441" t="s">
        <v>559</v>
      </c>
      <c r="S115" s="450" t="s">
        <v>39</v>
      </c>
      <c r="T115" s="441" t="s">
        <v>556</v>
      </c>
    </row>
    <row r="116" spans="3:20">
      <c r="C116" s="490" t="s">
        <v>617</v>
      </c>
      <c r="E116" s="440" t="s">
        <v>562</v>
      </c>
      <c r="F116" s="471">
        <f>SUMIFS($K$21:$K$92,$T$21:$T$92,$T116,$F$21:$F$92,F$114)</f>
        <v>0</v>
      </c>
      <c r="G116" s="471">
        <f>SUMIFS($K$21:$K$92,$T$21:$T$92,$T116,$F$21:$F$92,G$114)</f>
        <v>0</v>
      </c>
      <c r="H116" s="471">
        <f>SUMIFS($K$21:$K$92,$T$21:$T$92,$T116,$F$21:$F$92,H$114)</f>
        <v>0</v>
      </c>
      <c r="I116" s="471">
        <f>SUMIFS($K$21:$K$92,$T$21:$T$92,$T116,$F$21:$F$92,I$114)</f>
        <v>17</v>
      </c>
      <c r="J116" s="471">
        <f>SUMIFS($K$21:$K$92,$T$21:$T$92,$T116,$F$21:$F$92,J$114)</f>
        <v>0</v>
      </c>
      <c r="K116" s="471">
        <f t="shared" si="13"/>
        <v>17</v>
      </c>
      <c r="L116" s="472">
        <f>SUMIFS($K$21:$K$92,$T$21:$T$92,$T116,$F$21:$F$92,L$114)</f>
        <v>0</v>
      </c>
      <c r="Q116" s="441">
        <v>1</v>
      </c>
      <c r="R116" s="441" t="s">
        <v>559</v>
      </c>
      <c r="S116" s="450" t="s">
        <v>560</v>
      </c>
      <c r="T116" s="441" t="s">
        <v>556</v>
      </c>
    </row>
    <row r="117" spans="3:20">
      <c r="C117" s="443" t="s">
        <v>598</v>
      </c>
      <c r="E117" s="440" t="s">
        <v>563</v>
      </c>
      <c r="F117" s="471">
        <f>SUMIFS($I$21:$I$92,$T$21:$T$92,$T117,$F$21:$F$92,F$114)</f>
        <v>0</v>
      </c>
      <c r="G117" s="471">
        <f>SUMIFS($I$21:$I$92,$T$21:$T$92,$T117,$F$21:$F$92,G$114)</f>
        <v>0</v>
      </c>
      <c r="H117" s="471">
        <f>SUMIFS($I$21:$I$92,$T$21:$T$92,$T117,$F$21:$F$92,H$114)</f>
        <v>17.130000000000003</v>
      </c>
      <c r="I117" s="471">
        <f>SUMIFS($I$21:$I$92,$T$21:$T$92,$T117,$F$21:$F$92,I$114)</f>
        <v>24905</v>
      </c>
      <c r="J117" s="471">
        <f>SUMIFS($I$21:$I$92,$T$21:$T$92,$T117,$F$21:$F$92,J$114)</f>
        <v>0</v>
      </c>
      <c r="K117" s="471">
        <f t="shared" si="13"/>
        <v>24922.13</v>
      </c>
      <c r="L117" s="472">
        <f>SUMIFS($I$21:$I$92,$T$21:$T$92,$T117,$F$21:$F$92,L$114)</f>
        <v>0</v>
      </c>
      <c r="Q117" s="441">
        <v>1</v>
      </c>
      <c r="R117" s="441" t="s">
        <v>559</v>
      </c>
      <c r="S117" s="450" t="s">
        <v>187</v>
      </c>
      <c r="T117" s="441" t="s">
        <v>556</v>
      </c>
    </row>
    <row r="118" spans="3:20">
      <c r="E118" s="440" t="s">
        <v>564</v>
      </c>
      <c r="F118" s="471">
        <f>SUMIFS($H$21:$H$92,$T$21:$T$92,$T118,$F$21:$F$92,F$114)</f>
        <v>0</v>
      </c>
      <c r="G118" s="471">
        <f>SUMIFS($H$21:$H$92,$T$21:$T$92,$T118,$F$21:$F$92,G$114)</f>
        <v>0</v>
      </c>
      <c r="H118" s="471">
        <f>SUMIFS($H$21:$H$92,$T$21:$T$92,$T118,$F$21:$F$92,H$114)</f>
        <v>9.85</v>
      </c>
      <c r="I118" s="471">
        <f>SUMIFS($H$21:$H$92,$T$21:$T$92,$T118,$F$21:$F$92,I$114)</f>
        <v>5634.7</v>
      </c>
      <c r="J118" s="471">
        <f>SUMIFS($H$21:$H$92,$T$21:$T$92,$T118,$F$21:$F$92,J$114)</f>
        <v>0</v>
      </c>
      <c r="K118" s="471">
        <f t="shared" si="13"/>
        <v>5644.55</v>
      </c>
      <c r="L118" s="472">
        <f>SUMIFS($H$21:$H$92,$T$21:$T$92,$T118,$F$21:$F$92,L$114)</f>
        <v>0</v>
      </c>
      <c r="Q118" s="441">
        <v>1</v>
      </c>
      <c r="R118" s="441" t="s">
        <v>559</v>
      </c>
      <c r="S118" s="450" t="s">
        <v>188</v>
      </c>
      <c r="T118" s="441" t="s">
        <v>556</v>
      </c>
    </row>
    <row r="119" spans="3:20">
      <c r="C119" s="443" t="s">
        <v>603</v>
      </c>
      <c r="E119" s="440" t="s">
        <v>565</v>
      </c>
      <c r="F119" s="471">
        <f>SUMIFS($J$21:$J$92,$T$21:$T$92,$T119,$F$21:$F$92,F$114)</f>
        <v>0</v>
      </c>
      <c r="G119" s="471">
        <f>SUMIFS($J$21:$J$92,$T$21:$T$92,$T119,$F$21:$F$92,G$114)</f>
        <v>0</v>
      </c>
      <c r="H119" s="471">
        <f>SUMIFS($J$21:$J$92,$T$21:$T$92,$T119,$F$21:$F$92,H$114)</f>
        <v>0</v>
      </c>
      <c r="I119" s="471">
        <f>SUMIFS($J$21:$J$92,$T$21:$T$92,$T119,$F$21:$F$92,I$114)</f>
        <v>0</v>
      </c>
      <c r="J119" s="471">
        <f>SUMIFS($J$21:$J$92,$T$21:$T$92,$T119,$F$21:$F$92,J$114)</f>
        <v>0</v>
      </c>
      <c r="K119" s="471">
        <f t="shared" si="13"/>
        <v>0</v>
      </c>
      <c r="L119" s="472">
        <f>SUMIFS($J$21:$J$92,$T$21:$T$92,$T119,$F$21:$F$92,L$114)</f>
        <v>0</v>
      </c>
      <c r="Q119" s="441">
        <v>1</v>
      </c>
      <c r="R119" s="441" t="s">
        <v>561</v>
      </c>
      <c r="S119" s="450" t="s">
        <v>39</v>
      </c>
      <c r="T119" s="441" t="s">
        <v>557</v>
      </c>
    </row>
    <row r="120" spans="3:20">
      <c r="C120" s="443" t="s">
        <v>604</v>
      </c>
      <c r="E120" s="440" t="s">
        <v>566</v>
      </c>
      <c r="F120" s="471">
        <f>SUMIFS($K$21:$K$92,$T$21:$T$92,$T120,$F$21:$F$92,F$114)</f>
        <v>0</v>
      </c>
      <c r="G120" s="471">
        <f>SUMIFS($K$21:$K$92,$T$21:$T$92,$T120,$F$21:$F$92,G$114)</f>
        <v>0</v>
      </c>
      <c r="H120" s="471">
        <f>SUMIFS($K$21:$K$92,$T$21:$T$92,$T120,$F$21:$F$92,H$114)</f>
        <v>0</v>
      </c>
      <c r="I120" s="471">
        <f>SUMIFS($K$21:$K$92,$T$21:$T$92,$T120,$F$21:$F$92,I$114)</f>
        <v>0</v>
      </c>
      <c r="J120" s="471">
        <f>SUMIFS($K$21:$K$92,$T$21:$T$92,$T120,$F$21:$F$92,J$114)</f>
        <v>0</v>
      </c>
      <c r="K120" s="471">
        <f t="shared" si="13"/>
        <v>0</v>
      </c>
      <c r="L120" s="472">
        <f>SUMIFS($K$21:$K$92,$T$21:$T$92,$T120,$F$21:$F$92,L$114)</f>
        <v>0</v>
      </c>
      <c r="Q120" s="441">
        <v>1</v>
      </c>
      <c r="R120" s="441" t="s">
        <v>561</v>
      </c>
      <c r="S120" s="450" t="s">
        <v>560</v>
      </c>
      <c r="T120" s="441" t="s">
        <v>557</v>
      </c>
    </row>
    <row r="121" spans="3:20">
      <c r="E121" s="440" t="s">
        <v>567</v>
      </c>
      <c r="F121" s="471">
        <f>SUMIFS($I$21:$I$92,$T$21:$T$92,$T121,$F$21:$F$92,F$114)</f>
        <v>0</v>
      </c>
      <c r="G121" s="471">
        <f>SUMIFS($I$21:$I$92,$T$21:$T$92,$T121,$F$21:$F$92,G$114)</f>
        <v>0</v>
      </c>
      <c r="H121" s="471">
        <f>SUMIFS($I$21:$I$92,$T$21:$T$92,$T121,$F$21:$F$92,H$114)</f>
        <v>0</v>
      </c>
      <c r="I121" s="471">
        <f>SUMIFS($I$21:$I$92,$T$21:$T$92,$T121,$F$21:$F$92,I$114)</f>
        <v>0</v>
      </c>
      <c r="J121" s="471">
        <f>SUMIFS($I$21:$I$92,$T$21:$T$92,$T121,$F$21:$F$92,J$114)</f>
        <v>0</v>
      </c>
      <c r="K121" s="471">
        <f t="shared" si="13"/>
        <v>0</v>
      </c>
      <c r="L121" s="472">
        <f>SUMIFS($I$21:$I$92,$T$21:$T$92,$T121,$F$21:$F$92,L$114)</f>
        <v>0</v>
      </c>
      <c r="Q121" s="441">
        <v>1</v>
      </c>
      <c r="R121" s="441" t="s">
        <v>561</v>
      </c>
      <c r="S121" s="450" t="s">
        <v>187</v>
      </c>
      <c r="T121" s="441" t="s">
        <v>557</v>
      </c>
    </row>
    <row r="122" spans="3:20">
      <c r="C122" s="443" t="s">
        <v>600</v>
      </c>
      <c r="E122" s="440" t="s">
        <v>568</v>
      </c>
      <c r="F122" s="471">
        <f>SUMIFS($H$21:$H$92,$T$21:$T$92,$T122,$F$21:$F$92,F$114)</f>
        <v>0</v>
      </c>
      <c r="G122" s="471">
        <f>SUMIFS($H$21:$H$92,$T$21:$T$92,$T122,$F$21:$F$92,G$114)</f>
        <v>0</v>
      </c>
      <c r="H122" s="471">
        <f>SUMIFS($H$21:$H$92,$T$21:$T$92,$T122,$F$21:$F$92,H$114)</f>
        <v>0</v>
      </c>
      <c r="I122" s="471">
        <f>SUMIFS($H$21:$H$92,$T$21:$T$92,$T122,$F$21:$F$92,I$114)</f>
        <v>0</v>
      </c>
      <c r="J122" s="471">
        <f>SUMIFS($H$21:$H$92,$T$21:$T$92,$T122,$F$21:$F$92,J$114)</f>
        <v>0</v>
      </c>
      <c r="K122" s="471">
        <f t="shared" si="13"/>
        <v>0</v>
      </c>
      <c r="L122" s="472">
        <f>SUMIFS($H$21:$H$92,$T$21:$T$92,$T122,$F$21:$F$92,L$114)</f>
        <v>0</v>
      </c>
      <c r="Q122" s="441">
        <v>1</v>
      </c>
      <c r="R122" s="441" t="s">
        <v>561</v>
      </c>
      <c r="S122" s="450" t="s">
        <v>188</v>
      </c>
      <c r="T122" s="441" t="s">
        <v>557</v>
      </c>
    </row>
    <row r="123" spans="3:20">
      <c r="C123" s="443" t="s">
        <v>601</v>
      </c>
      <c r="E123" s="440" t="s">
        <v>569</v>
      </c>
      <c r="F123" s="471">
        <f>SUMIFS($J$21:$J$92,$T$21:$T$92,$T123,$F$21:$F$92,F$114)</f>
        <v>0</v>
      </c>
      <c r="G123" s="471">
        <f>SUMIFS($J$21:$J$92,$T$21:$T$92,$T123,$F$21:$F$92,G$114)</f>
        <v>0</v>
      </c>
      <c r="H123" s="471">
        <f>SUMIFS($J$21:$J$92,$T$21:$T$92,$T123,$F$21:$F$92,H$114)</f>
        <v>0</v>
      </c>
      <c r="I123" s="471">
        <f>SUMIFS($J$21:$J$92,$T$21:$T$92,$T123,$F$21:$F$92,I$114)</f>
        <v>-1000</v>
      </c>
      <c r="J123" s="471">
        <f>SUMIFS($J$21:$J$92,$T$21:$T$92,$T123,$F$21:$F$92,J$114)</f>
        <v>0</v>
      </c>
      <c r="K123" s="471">
        <f t="shared" si="13"/>
        <v>-1000</v>
      </c>
      <c r="L123" s="472">
        <f>SUMIFS($J$21:$J$92,$T$21:$T$92,$T123,$F$21:$F$92,L$114)</f>
        <v>0</v>
      </c>
      <c r="Q123" s="441">
        <v>2</v>
      </c>
      <c r="R123" s="441" t="s">
        <v>559</v>
      </c>
      <c r="S123" s="450" t="s">
        <v>39</v>
      </c>
      <c r="T123" s="441" t="s">
        <v>585</v>
      </c>
    </row>
    <row r="124" spans="3:20">
      <c r="C124" s="443" t="s">
        <v>602</v>
      </c>
      <c r="E124" s="440" t="s">
        <v>570</v>
      </c>
      <c r="F124" s="471">
        <f>SUMIFS($K$21:$K$92,$T$21:$T$92,$T124,$F$21:$F$92,F$114)</f>
        <v>0</v>
      </c>
      <c r="G124" s="471">
        <f>SUMIFS($K$21:$K$92,$T$21:$T$92,$T124,$F$21:$F$92,G$114)</f>
        <v>0</v>
      </c>
      <c r="H124" s="471">
        <f>SUMIFS($K$21:$K$92,$T$21:$T$92,$T124,$F$21:$F$92,H$114)</f>
        <v>0</v>
      </c>
      <c r="I124" s="471">
        <f>SUMIFS($K$21:$K$92,$T$21:$T$92,$T124,$F$21:$F$92,I$114)</f>
        <v>1050</v>
      </c>
      <c r="J124" s="471">
        <f>SUMIFS($K$21:$K$92,$T$21:$T$92,$T124,$F$21:$F$92,J$114)</f>
        <v>500</v>
      </c>
      <c r="K124" s="471">
        <f t="shared" si="13"/>
        <v>1550</v>
      </c>
      <c r="L124" s="472">
        <f>SUMIFS($K$21:$K$92,$T$21:$T$92,$T124,$F$21:$F$92,L$114)</f>
        <v>0</v>
      </c>
      <c r="Q124" s="441">
        <v>2</v>
      </c>
      <c r="R124" s="441" t="s">
        <v>559</v>
      </c>
      <c r="S124" s="450" t="s">
        <v>560</v>
      </c>
      <c r="T124" s="441" t="s">
        <v>585</v>
      </c>
    </row>
    <row r="125" spans="3:20">
      <c r="E125" s="440" t="s">
        <v>571</v>
      </c>
      <c r="F125" s="471">
        <f>SUMIFS($I$21:$I$92,$T$21:$T$92,$T125,$F$21:$F$92,F$114)</f>
        <v>0</v>
      </c>
      <c r="G125" s="471">
        <f>SUMIFS($I$21:$I$92,$T$21:$T$92,$T125,$F$21:$F$92,G$114)</f>
        <v>0</v>
      </c>
      <c r="H125" s="471">
        <f>SUMIFS($I$21:$I$92,$T$21:$T$92,$T125,$F$21:$F$92,H$114)</f>
        <v>0</v>
      </c>
      <c r="I125" s="471">
        <f>SUMIFS($I$21:$I$92,$T$21:$T$92,$T125,$F$21:$F$92,I$114)</f>
        <v>4350</v>
      </c>
      <c r="J125" s="471">
        <f>SUMIFS($I$21:$I$92,$T$21:$T$92,$T125,$F$21:$F$92,J$114)</f>
        <v>3418.8</v>
      </c>
      <c r="K125" s="471">
        <f t="shared" si="13"/>
        <v>7768.8</v>
      </c>
      <c r="L125" s="472">
        <f>SUMIFS($I$21:$I$92,$T$21:$T$92,$T125,$F$21:$F$92,L$114)</f>
        <v>0</v>
      </c>
      <c r="Q125" s="441">
        <v>2</v>
      </c>
      <c r="R125" s="441" t="s">
        <v>559</v>
      </c>
      <c r="S125" s="450" t="s">
        <v>187</v>
      </c>
      <c r="T125" s="441" t="s">
        <v>585</v>
      </c>
    </row>
    <row r="126" spans="3:20">
      <c r="E126" s="440" t="s">
        <v>572</v>
      </c>
      <c r="F126" s="471">
        <f>SUMIFS($H$21:$H$92,$T$21:$T$92,$T126,$F$21:$F$92,F$114)</f>
        <v>0</v>
      </c>
      <c r="G126" s="471">
        <f>SUMIFS($H$21:$H$92,$T$21:$T$92,$T126,$F$21:$F$92,G$114)</f>
        <v>0</v>
      </c>
      <c r="H126" s="471">
        <f>SUMIFS($H$21:$H$92,$T$21:$T$92,$T126,$F$21:$F$92,H$114)</f>
        <v>0</v>
      </c>
      <c r="I126" s="471">
        <f>SUMIFS($H$21:$H$92,$T$21:$T$92,$T126,$F$21:$F$92,I$114)</f>
        <v>1060</v>
      </c>
      <c r="J126" s="471">
        <f>SUMIFS($H$21:$H$92,$T$21:$T$92,$T126,$F$21:$F$92,J$114)</f>
        <v>862.6</v>
      </c>
      <c r="K126" s="471">
        <f t="shared" si="13"/>
        <v>1922.6</v>
      </c>
      <c r="L126" s="472">
        <f>SUMIFS($H$21:$H$92,$T$21:$T$92,$T126,$F$21:$F$92,L$114)</f>
        <v>0</v>
      </c>
      <c r="Q126" s="441">
        <v>2</v>
      </c>
      <c r="R126" s="441" t="s">
        <v>559</v>
      </c>
      <c r="S126" s="450" t="s">
        <v>188</v>
      </c>
      <c r="T126" s="441" t="s">
        <v>585</v>
      </c>
    </row>
    <row r="127" spans="3:20">
      <c r="E127" s="440" t="s">
        <v>573</v>
      </c>
      <c r="F127" s="471">
        <f>SUMIFS($J$21:$J$92,$T$21:$T$92,$T127,$F$21:$F$92,F$114)</f>
        <v>0</v>
      </c>
      <c r="G127" s="471">
        <f>SUMIFS($J$21:$J$92,$T$21:$T$92,$T127,$F$21:$F$92,G$114)</f>
        <v>0</v>
      </c>
      <c r="H127" s="471">
        <f>SUMIFS($J$21:$J$92,$T$21:$T$92,$T127,$F$21:$F$92,H$114)</f>
        <v>0</v>
      </c>
      <c r="I127" s="471">
        <f>SUMIFS($J$21:$J$92,$T$21:$T$92,$T127,$F$21:$F$92,I$114)</f>
        <v>0</v>
      </c>
      <c r="J127" s="471">
        <f>SUMIFS($J$21:$J$92,$T$21:$T$92,$T127,$F$21:$F$92,J$114)</f>
        <v>0</v>
      </c>
      <c r="K127" s="471">
        <f t="shared" si="13"/>
        <v>0</v>
      </c>
      <c r="L127" s="472">
        <f>SUMIFS($J$21:$J$92,$T$21:$T$92,$T127,$F$21:$F$92,L$114)</f>
        <v>0</v>
      </c>
      <c r="Q127" s="441">
        <v>2</v>
      </c>
      <c r="R127" s="441" t="s">
        <v>561</v>
      </c>
      <c r="S127" s="450" t="s">
        <v>39</v>
      </c>
      <c r="T127" s="441" t="s">
        <v>586</v>
      </c>
    </row>
    <row r="128" spans="3:20">
      <c r="E128" s="440" t="s">
        <v>574</v>
      </c>
      <c r="F128" s="471">
        <f>SUMIFS($K$21:$K$92,$T$21:$T$92,$T128,$F$21:$F$92,F$114)</f>
        <v>0</v>
      </c>
      <c r="G128" s="471">
        <f>SUMIFS($K$21:$K$92,$T$21:$T$92,$T128,$F$21:$F$92,G$114)</f>
        <v>1070</v>
      </c>
      <c r="H128" s="471">
        <f>SUMIFS($K$21:$K$92,$T$21:$T$92,$T128,$F$21:$F$92,H$114)</f>
        <v>0</v>
      </c>
      <c r="I128" s="471">
        <f>SUMIFS($K$21:$K$92,$T$21:$T$92,$T128,$F$21:$F$92,I$114)</f>
        <v>0</v>
      </c>
      <c r="J128" s="471">
        <f>SUMIFS($K$21:$K$92,$T$21:$T$92,$T128,$F$21:$F$92,J$114)</f>
        <v>35</v>
      </c>
      <c r="K128" s="471">
        <f t="shared" si="13"/>
        <v>1105</v>
      </c>
      <c r="L128" s="472">
        <f>SUMIFS($K$21:$K$92,$T$21:$T$92,$T128,$F$21:$F$92,L$114)</f>
        <v>0</v>
      </c>
      <c r="Q128" s="441">
        <v>2</v>
      </c>
      <c r="R128" s="441" t="s">
        <v>561</v>
      </c>
      <c r="S128" s="450" t="s">
        <v>560</v>
      </c>
      <c r="T128" s="441" t="s">
        <v>586</v>
      </c>
    </row>
    <row r="129" spans="3:20">
      <c r="E129" s="440" t="s">
        <v>575</v>
      </c>
      <c r="F129" s="471">
        <f>SUMIFS($I$21:$I$92,$T$21:$T$92,$T129,$F$21:$F$92,F$114)</f>
        <v>0</v>
      </c>
      <c r="G129" s="471">
        <f>SUMIFS($I$21:$I$92,$T$21:$T$92,$T129,$F$21:$F$92,G$114)</f>
        <v>91023</v>
      </c>
      <c r="H129" s="471">
        <f>SUMIFS($I$21:$I$92,$T$21:$T$92,$T129,$F$21:$F$92,H$114)</f>
        <v>0</v>
      </c>
      <c r="I129" s="471">
        <f>SUMIFS($I$21:$I$92,$T$21:$T$92,$T129,$F$21:$F$92,I$114)</f>
        <v>0</v>
      </c>
      <c r="J129" s="471">
        <f>SUMIFS($I$21:$I$92,$T$21:$T$92,$T129,$F$21:$F$92,J$114)</f>
        <v>5600</v>
      </c>
      <c r="K129" s="471">
        <f t="shared" si="13"/>
        <v>96623</v>
      </c>
      <c r="L129" s="472">
        <f>SUMIFS($I$21:$I$92,$T$21:$T$92,$T129,$F$21:$F$92,L$114)</f>
        <v>0</v>
      </c>
      <c r="Q129" s="441">
        <v>2</v>
      </c>
      <c r="R129" s="441" t="s">
        <v>561</v>
      </c>
      <c r="S129" s="450" t="s">
        <v>187</v>
      </c>
      <c r="T129" s="441" t="s">
        <v>586</v>
      </c>
    </row>
    <row r="130" spans="3:20">
      <c r="E130" s="440" t="s">
        <v>576</v>
      </c>
      <c r="F130" s="471">
        <f>SUMIFS($H$21:$H$92,$T$21:$T$92,$T130,$F$21:$F$92,F$114)</f>
        <v>0</v>
      </c>
      <c r="G130" s="471">
        <f>SUMIFS($H$21:$H$92,$T$21:$T$92,$T130,$F$21:$F$92,G$114)</f>
        <v>22303</v>
      </c>
      <c r="H130" s="471">
        <f>SUMIFS($H$21:$H$92,$T$21:$T$92,$T130,$F$21:$F$92,H$114)</f>
        <v>0</v>
      </c>
      <c r="I130" s="471">
        <f>SUMIFS($H$21:$H$92,$T$21:$T$92,$T130,$F$21:$F$92,I$114)</f>
        <v>0</v>
      </c>
      <c r="J130" s="471">
        <f>SUMIFS($H$21:$H$92,$T$21:$T$92,$T130,$F$21:$F$92,J$114)</f>
        <v>1400</v>
      </c>
      <c r="K130" s="471">
        <f t="shared" si="13"/>
        <v>23703</v>
      </c>
      <c r="L130" s="472">
        <f>SUMIFS($H$21:$H$92,$T$21:$T$92,$T130,$F$21:$F$92,L$114)</f>
        <v>0</v>
      </c>
      <c r="Q130" s="441">
        <v>2</v>
      </c>
      <c r="R130" s="441" t="s">
        <v>561</v>
      </c>
      <c r="S130" s="450" t="s">
        <v>188</v>
      </c>
      <c r="T130" s="441" t="s">
        <v>586</v>
      </c>
    </row>
    <row r="131" spans="3:20">
      <c r="E131" s="440" t="s">
        <v>577</v>
      </c>
      <c r="F131" s="471">
        <f>SUMIFS($J$21:$J$92,$T$21:$T$92,$T131,$F$21:$F$92,F$114)</f>
        <v>-5894</v>
      </c>
      <c r="G131" s="471">
        <f>SUMIFS($J$21:$J$92,$T$21:$T$92,$T131,$F$21:$F$92,G$114)</f>
        <v>0</v>
      </c>
      <c r="H131" s="471">
        <f>SUMIFS($J$21:$J$92,$T$21:$T$92,$T131,$F$21:$F$92,H$114)</f>
        <v>0</v>
      </c>
      <c r="I131" s="471">
        <f>SUMIFS($J$21:$J$92,$T$21:$T$92,$T131,$F$21:$F$92,I$114)</f>
        <v>-3306</v>
      </c>
      <c r="J131" s="471">
        <f>SUMIFS($J$21:$J$92,$T$21:$T$92,$T131,$F$21:$F$92,J$114)</f>
        <v>0</v>
      </c>
      <c r="K131" s="471">
        <f t="shared" si="13"/>
        <v>-9200</v>
      </c>
      <c r="L131" s="472">
        <f>SUMIFS($J$21:$J$92,$T$21:$T$92,$T131,$F$21:$F$92,L$114)</f>
        <v>0</v>
      </c>
      <c r="Q131" s="441">
        <v>3</v>
      </c>
      <c r="R131" s="441" t="s">
        <v>559</v>
      </c>
      <c r="S131" s="450" t="s">
        <v>39</v>
      </c>
      <c r="T131" s="441" t="s">
        <v>587</v>
      </c>
    </row>
    <row r="132" spans="3:20">
      <c r="E132" s="440" t="s">
        <v>578</v>
      </c>
      <c r="F132" s="471">
        <f>SUMIFS($K$21:$K$92,$T$21:$T$92,$T132,$F$21:$F$92,F$114)</f>
        <v>0</v>
      </c>
      <c r="G132" s="471">
        <f>SUMIFS($K$21:$K$92,$T$21:$T$92,$T132,$F$21:$F$92,G$114)</f>
        <v>0</v>
      </c>
      <c r="H132" s="471">
        <f>SUMIFS($K$21:$K$92,$T$21:$T$92,$T132,$F$21:$F$92,H$114)</f>
        <v>0</v>
      </c>
      <c r="I132" s="471">
        <f>SUMIFS($K$21:$K$92,$T$21:$T$92,$T132,$F$21:$F$92,I$114)</f>
        <v>300</v>
      </c>
      <c r="J132" s="471">
        <f>SUMIFS($K$21:$K$92,$T$21:$T$92,$T132,$F$21:$F$92,J$114)</f>
        <v>1200</v>
      </c>
      <c r="K132" s="471">
        <f t="shared" si="13"/>
        <v>1500</v>
      </c>
      <c r="L132" s="472">
        <f>SUMIFS($K$21:$K$92,$T$21:$T$92,$T132,$F$21:$F$92,L$114)</f>
        <v>0</v>
      </c>
      <c r="Q132" s="441">
        <v>3</v>
      </c>
      <c r="R132" s="441" t="s">
        <v>559</v>
      </c>
      <c r="S132" s="450" t="s">
        <v>560</v>
      </c>
      <c r="T132" s="441" t="s">
        <v>587</v>
      </c>
    </row>
    <row r="133" spans="3:20">
      <c r="E133" s="440" t="s">
        <v>579</v>
      </c>
      <c r="F133" s="471">
        <f>SUMIFS($I$21:$I$92,$T$21:$T$92,$T133,$F$21:$F$92,F$114)</f>
        <v>61426.406891847408</v>
      </c>
      <c r="G133" s="471">
        <f>SUMIFS($I$21:$I$92,$T$21:$T$92,$T133,$F$21:$F$92,G$114)</f>
        <v>0</v>
      </c>
      <c r="H133" s="471">
        <f>SUMIFS($I$21:$I$92,$T$21:$T$92,$T133,$F$21:$F$92,H$114)</f>
        <v>0</v>
      </c>
      <c r="I133" s="471">
        <f>SUMIFS($I$21:$I$92,$T$21:$T$92,$T133,$F$21:$F$92,I$114)</f>
        <v>23116.593108152589</v>
      </c>
      <c r="J133" s="471">
        <f>SUMIFS($I$21:$I$92,$T$21:$T$92,$T133,$F$21:$F$92,J$114)</f>
        <v>87531</v>
      </c>
      <c r="K133" s="471">
        <f t="shared" si="13"/>
        <v>172074</v>
      </c>
      <c r="L133" s="472">
        <f>SUMIFS($I$21:$I$92,$T$21:$T$92,$T133,$F$21:$F$92,L$114)</f>
        <v>0</v>
      </c>
      <c r="Q133" s="441">
        <v>3</v>
      </c>
      <c r="R133" s="441" t="s">
        <v>559</v>
      </c>
      <c r="S133" s="450" t="s">
        <v>187</v>
      </c>
      <c r="T133" s="441" t="s">
        <v>587</v>
      </c>
    </row>
    <row r="134" spans="3:20">
      <c r="E134" s="440" t="s">
        <v>580</v>
      </c>
      <c r="F134" s="471">
        <f>SUMIFS($H$21:$H$92,$T$21:$T$92,$T134,$F$21:$F$92,F$114)</f>
        <v>12484.461938066535</v>
      </c>
      <c r="G134" s="471">
        <f>SUMIFS($H$21:$H$92,$T$21:$T$92,$T134,$F$21:$F$92,G$114)</f>
        <v>0</v>
      </c>
      <c r="H134" s="471">
        <f>SUMIFS($H$21:$H$92,$T$21:$T$92,$T134,$F$21:$F$92,H$114)</f>
        <v>0</v>
      </c>
      <c r="I134" s="471">
        <f>SUMIFS($H$21:$H$92,$T$21:$T$92,$T134,$F$21:$F$92,I$114)</f>
        <v>3855.5380619334637</v>
      </c>
      <c r="J134" s="471">
        <f>SUMIFS($H$21:$H$92,$T$21:$T$92,$T134,$F$21:$F$92,J$114)</f>
        <v>15493</v>
      </c>
      <c r="K134" s="471">
        <f t="shared" si="13"/>
        <v>31833</v>
      </c>
      <c r="L134" s="472">
        <f>SUMIFS($H$21:$H$92,$T$21:$T$92,$T134,$F$21:$F$92,L$114)</f>
        <v>0</v>
      </c>
      <c r="Q134" s="441">
        <v>3</v>
      </c>
      <c r="R134" s="441" t="s">
        <v>559</v>
      </c>
      <c r="S134" s="450" t="s">
        <v>188</v>
      </c>
      <c r="T134" s="441" t="s">
        <v>587</v>
      </c>
    </row>
    <row r="135" spans="3:20">
      <c r="E135" s="440" t="s">
        <v>581</v>
      </c>
      <c r="F135" s="471">
        <f>SUMIFS($J$21:$J$92,$T$21:$T$92,$T135,$F$21:$F$92,F$114)</f>
        <v>0</v>
      </c>
      <c r="G135" s="471">
        <f>SUMIFS($J$21:$J$92,$T$21:$T$92,$T135,$F$21:$F$92,G$114)</f>
        <v>0</v>
      </c>
      <c r="H135" s="471">
        <f>SUMIFS($J$21:$J$92,$T$21:$T$92,$T135,$F$21:$F$92,H$114)</f>
        <v>0</v>
      </c>
      <c r="I135" s="471">
        <f>SUMIFS($J$21:$J$92,$T$21:$T$92,$T135,$F$21:$F$92,I$114)</f>
        <v>0</v>
      </c>
      <c r="J135" s="471">
        <f>SUMIFS($J$21:$J$92,$T$21:$T$92,$T135,$F$21:$F$92,J$114)</f>
        <v>0</v>
      </c>
      <c r="K135" s="471">
        <f t="shared" si="13"/>
        <v>0</v>
      </c>
      <c r="L135" s="472">
        <f>SUMIFS($J$21:$J$92,$T$21:$T$92,$T135,$F$21:$F$92,L$114)</f>
        <v>0</v>
      </c>
      <c r="Q135" s="441">
        <v>3</v>
      </c>
      <c r="R135" s="441" t="s">
        <v>561</v>
      </c>
      <c r="S135" s="450" t="s">
        <v>39</v>
      </c>
      <c r="T135" s="441" t="s">
        <v>588</v>
      </c>
    </row>
    <row r="136" spans="3:20">
      <c r="E136" s="440" t="s">
        <v>582</v>
      </c>
      <c r="F136" s="471">
        <f>SUMIFS($K$21:$K$92,$T$21:$T$92,$T136,$F$21:$F$92,F$114)</f>
        <v>0</v>
      </c>
      <c r="G136" s="471">
        <f>SUMIFS($K$21:$K$92,$T$21:$T$92,$T136,$F$21:$F$92,G$114)</f>
        <v>91710</v>
      </c>
      <c r="H136" s="471">
        <f>SUMIFS($K$21:$K$92,$T$21:$T$92,$T136,$F$21:$F$92,H$114)</f>
        <v>2000</v>
      </c>
      <c r="I136" s="471">
        <f>SUMIFS($K$21:$K$92,$T$21:$T$92,$T136,$F$21:$F$92,I$114)</f>
        <v>2000</v>
      </c>
      <c r="J136" s="471">
        <f>SUMIFS($K$21:$K$92,$T$21:$T$92,$T136,$F$21:$F$92,J$114)</f>
        <v>169200</v>
      </c>
      <c r="K136" s="471">
        <f t="shared" si="13"/>
        <v>264910</v>
      </c>
      <c r="L136" s="472">
        <f>SUMIFS($K$21:$K$92,$T$21:$T$92,$T136,$F$21:$F$92,L$114)</f>
        <v>0</v>
      </c>
      <c r="Q136" s="441">
        <v>3</v>
      </c>
      <c r="R136" s="441" t="s">
        <v>561</v>
      </c>
      <c r="S136" s="450" t="s">
        <v>560</v>
      </c>
      <c r="T136" s="441" t="s">
        <v>588</v>
      </c>
    </row>
    <row r="137" spans="3:20">
      <c r="E137" s="440" t="s">
        <v>583</v>
      </c>
      <c r="F137" s="471">
        <f>SUMIFS($I$21:$I$92,$T$21:$T$92,$T137,$F$21:$F$92,F$114)</f>
        <v>0</v>
      </c>
      <c r="G137" s="471">
        <f>SUMIFS($I$21:$I$92,$T$21:$T$92,$T137,$F$21:$F$92,G$114)</f>
        <v>795232.47904323821</v>
      </c>
      <c r="H137" s="471">
        <f>SUMIFS($I$21:$I$92,$T$21:$T$92,$T137,$F$21:$F$92,H$114)</f>
        <v>26128.080000000002</v>
      </c>
      <c r="I137" s="471">
        <f>SUMIFS($I$21:$I$92,$T$21:$T$92,$T137,$F$21:$F$92,I$114)</f>
        <v>29753.550000000003</v>
      </c>
      <c r="J137" s="471">
        <f>SUMIFS($I$21:$I$92,$T$21:$T$92,$T137,$F$21:$F$92,J$114)</f>
        <v>405600.783</v>
      </c>
      <c r="K137" s="471">
        <f t="shared" si="13"/>
        <v>1256714.8920432383</v>
      </c>
      <c r="L137" s="472">
        <f>SUMIFS($I$21:$I$92,$T$21:$T$92,$T137,$F$21:$F$92,L$114)</f>
        <v>0</v>
      </c>
      <c r="Q137" s="441">
        <v>3</v>
      </c>
      <c r="R137" s="441" t="s">
        <v>561</v>
      </c>
      <c r="S137" s="450" t="s">
        <v>187</v>
      </c>
      <c r="T137" s="441" t="s">
        <v>588</v>
      </c>
    </row>
    <row r="138" spans="3:20">
      <c r="E138" s="440" t="s">
        <v>584</v>
      </c>
      <c r="F138" s="471">
        <f>SUMIFS($H$21:$H$92,$T$21:$T$92,$T138,$F$21:$F$92,F$114)</f>
        <v>0</v>
      </c>
      <c r="G138" s="471">
        <f>SUMIFS($H$21:$H$92,$T$21:$T$92,$T138,$F$21:$F$92,G$114)</f>
        <v>118301.70995977581</v>
      </c>
      <c r="H138" s="471">
        <f>SUMIFS($H$21:$H$92,$T$21:$T$92,$T138,$F$21:$F$92,H$114)</f>
        <v>5311.15</v>
      </c>
      <c r="I138" s="471">
        <f>SUMIFS($H$21:$H$92,$T$21:$T$92,$T138,$F$21:$F$92,I$114)</f>
        <v>6321.3369999999995</v>
      </c>
      <c r="J138" s="471">
        <f>SUMIFS($H$21:$H$92,$T$21:$T$92,$T138,$F$21:$F$92,J$114)</f>
        <v>80459.971220000007</v>
      </c>
      <c r="K138" s="471">
        <f t="shared" si="13"/>
        <v>210394.16817977582</v>
      </c>
      <c r="L138" s="472">
        <f>SUMIFS($H$21:$H$92,$T$21:$T$92,$T138,$F$21:$F$92,L$114)</f>
        <v>0</v>
      </c>
      <c r="Q138" s="441">
        <v>3</v>
      </c>
      <c r="R138" s="441" t="s">
        <v>561</v>
      </c>
      <c r="S138" s="450" t="s">
        <v>188</v>
      </c>
      <c r="T138" s="441" t="s">
        <v>588</v>
      </c>
    </row>
    <row r="139" spans="3:20">
      <c r="C139" s="757" t="s">
        <v>846</v>
      </c>
      <c r="E139" s="440" t="s">
        <v>605</v>
      </c>
      <c r="F139" s="471">
        <f>SUMIFS($J$21:$J$92,$T$21:$T$92,$T139,$F$21:$F$92,F$114)</f>
        <v>0</v>
      </c>
      <c r="G139" s="471">
        <f>SUMIFS($J$21:$J$92,$T$21:$T$92,$T139,$F$21:$F$92,G$114)</f>
        <v>0</v>
      </c>
      <c r="H139" s="471">
        <f>SUMIFS($J$21:$J$92,$T$21:$T$92,$T139,$F$21:$F$92,H$114)</f>
        <v>0</v>
      </c>
      <c r="I139" s="471">
        <f>SUMIFS($J$21:$J$92,$T$21:$T$92,$T139,$F$21:$F$92,I$114)</f>
        <v>0</v>
      </c>
      <c r="J139" s="471">
        <f>SUMIFS($J$21:$J$92,$T$21:$T$92,$T139,$F$21:$F$92,J$114)</f>
        <v>0</v>
      </c>
      <c r="K139" s="471">
        <f t="shared" si="13"/>
        <v>0</v>
      </c>
      <c r="L139" s="472">
        <f>SUMIFS($J$21:$J$92,$T$21:$T$92,$T139,$F$21:$F$92,L$114)</f>
        <v>-186834.32528925652</v>
      </c>
      <c r="Q139" s="441">
        <v>3</v>
      </c>
      <c r="R139" s="441" t="s">
        <v>609</v>
      </c>
      <c r="S139" s="450" t="s">
        <v>39</v>
      </c>
      <c r="T139" s="441" t="s">
        <v>610</v>
      </c>
    </row>
    <row r="140" spans="3:20">
      <c r="E140" s="440" t="s">
        <v>606</v>
      </c>
      <c r="F140" s="471">
        <f>SUMIFS($K$21:$K$92,$T$21:$T$92,$T140,$F$21:$F$92,F$114)</f>
        <v>0</v>
      </c>
      <c r="G140" s="471">
        <f>SUMIFS($K$21:$K$92,$T$21:$T$92,$T140,$F$21:$F$92,G$114)</f>
        <v>0</v>
      </c>
      <c r="H140" s="471">
        <f>SUMIFS($K$21:$K$92,$T$21:$T$92,$T140,$F$21:$F$92,H$114)</f>
        <v>0</v>
      </c>
      <c r="I140" s="471">
        <f>SUMIFS($K$21:$K$92,$T$21:$T$92,$T140,$F$21:$F$92,I$114)</f>
        <v>0</v>
      </c>
      <c r="J140" s="471">
        <f>SUMIFS($K$21:$K$92,$T$21:$T$92,$T140,$F$21:$F$92,J$114)</f>
        <v>0</v>
      </c>
      <c r="K140" s="471">
        <f t="shared" si="13"/>
        <v>0</v>
      </c>
      <c r="L140" s="472">
        <f>SUMIFS($K$21:$K$92,$T$21:$T$92,$T140,$F$21:$F$92,L$114)</f>
        <v>0</v>
      </c>
      <c r="Q140" s="441">
        <v>3</v>
      </c>
      <c r="R140" s="441" t="s">
        <v>609</v>
      </c>
      <c r="S140" s="450" t="s">
        <v>560</v>
      </c>
      <c r="T140" s="441" t="s">
        <v>610</v>
      </c>
    </row>
    <row r="141" spans="3:20">
      <c r="E141" s="440" t="s">
        <v>607</v>
      </c>
      <c r="F141" s="471">
        <f>SUMIFS($I$21:$I$92,$T$21:$T$92,$T141,$F$21:$F$92,F$114)</f>
        <v>0</v>
      </c>
      <c r="G141" s="471">
        <f>SUMIFS($I$21:$I$92,$T$21:$T$92,$T141,$F$21:$F$92,G$114)</f>
        <v>0</v>
      </c>
      <c r="H141" s="471">
        <f>SUMIFS($I$21:$I$92,$T$21:$T$92,$T141,$F$21:$F$92,H$114)</f>
        <v>0</v>
      </c>
      <c r="I141" s="471">
        <f>SUMIFS($I$21:$I$92,$T$21:$T$92,$T141,$F$21:$F$92,I$114)</f>
        <v>0</v>
      </c>
      <c r="J141" s="471">
        <f>SUMIFS($I$21:$I$92,$T$21:$T$92,$T141,$F$21:$F$92,J$114)</f>
        <v>0</v>
      </c>
      <c r="K141" s="471">
        <f t="shared" si="13"/>
        <v>0</v>
      </c>
      <c r="L141" s="472">
        <f>SUMIFS($I$21:$I$92,$T$21:$T$92,$T141,$F$21:$F$92,L$114)</f>
        <v>1123909.1040062965</v>
      </c>
      <c r="Q141" s="441">
        <v>3</v>
      </c>
      <c r="R141" s="441" t="s">
        <v>609</v>
      </c>
      <c r="S141" s="450" t="s">
        <v>187</v>
      </c>
      <c r="T141" s="441" t="s">
        <v>610</v>
      </c>
    </row>
    <row r="142" spans="3:20">
      <c r="E142" s="442" t="s">
        <v>608</v>
      </c>
      <c r="F142" s="473">
        <f>SUMIFS($H$21:$H$92,$T$21:$T$92,$T142,$F$21:$F$92,F$114)</f>
        <v>0</v>
      </c>
      <c r="G142" s="473">
        <f>SUMIFS($H$21:$H$92,$T$21:$T$92,$T142,$F$21:$F$92,G$114)</f>
        <v>0</v>
      </c>
      <c r="H142" s="473">
        <f>SUMIFS($H$21:$H$92,$T$21:$T$92,$T142,$F$21:$F$92,H$114)</f>
        <v>0</v>
      </c>
      <c r="I142" s="473">
        <f>SUMIFS($H$21:$H$92,$T$21:$T$92,$T142,$F$21:$F$92,I$114)</f>
        <v>0</v>
      </c>
      <c r="J142" s="473">
        <f>SUMIFS($H$21:$H$92,$T$21:$T$92,$T142,$F$21:$F$92,J$114)</f>
        <v>0</v>
      </c>
      <c r="K142" s="473">
        <f t="shared" si="13"/>
        <v>0</v>
      </c>
      <c r="L142" s="474">
        <f>SUMIFS($H$21:$H$92,$T$21:$T$92,$T142,$F$21:$F$92,L$114)</f>
        <v>125563.02119606621</v>
      </c>
      <c r="Q142" s="441">
        <v>3</v>
      </c>
      <c r="R142" s="441" t="s">
        <v>609</v>
      </c>
      <c r="S142" s="450" t="s">
        <v>188</v>
      </c>
      <c r="T142" s="441" t="s">
        <v>610</v>
      </c>
    </row>
    <row r="144" spans="3:20">
      <c r="C144" s="443" t="s">
        <v>612</v>
      </c>
      <c r="E144" s="443" t="s">
        <v>39</v>
      </c>
      <c r="F144" s="475">
        <f t="shared" ref="F144:L147" si="14">SUMIF($S$115:$S$142,$E144,F$115:F$142)</f>
        <v>-5894</v>
      </c>
      <c r="G144" s="475">
        <f t="shared" si="14"/>
        <v>0</v>
      </c>
      <c r="H144" s="475">
        <f t="shared" si="14"/>
        <v>0</v>
      </c>
      <c r="I144" s="475">
        <f t="shared" si="14"/>
        <v>-4306</v>
      </c>
      <c r="J144" s="475">
        <f t="shared" si="14"/>
        <v>0</v>
      </c>
      <c r="K144" s="475">
        <f t="shared" si="14"/>
        <v>-10200</v>
      </c>
      <c r="L144" s="475">
        <f t="shared" si="14"/>
        <v>-186834.32528925652</v>
      </c>
      <c r="M144" s="476" t="s">
        <v>229</v>
      </c>
    </row>
    <row r="145" spans="3:13">
      <c r="E145" s="477" t="s">
        <v>560</v>
      </c>
      <c r="F145" s="475">
        <f t="shared" si="14"/>
        <v>0</v>
      </c>
      <c r="G145" s="475">
        <f t="shared" si="14"/>
        <v>92780</v>
      </c>
      <c r="H145" s="475">
        <f t="shared" si="14"/>
        <v>2000</v>
      </c>
      <c r="I145" s="475">
        <f t="shared" si="14"/>
        <v>3367</v>
      </c>
      <c r="J145" s="475">
        <f t="shared" si="14"/>
        <v>170935</v>
      </c>
      <c r="K145" s="475">
        <f t="shared" si="14"/>
        <v>269082</v>
      </c>
      <c r="L145" s="475">
        <f t="shared" si="14"/>
        <v>0</v>
      </c>
      <c r="M145" s="476" t="s">
        <v>591</v>
      </c>
    </row>
    <row r="146" spans="3:13">
      <c r="E146" s="477" t="s">
        <v>188</v>
      </c>
      <c r="F146" s="475">
        <f t="shared" si="14"/>
        <v>12484.461938066535</v>
      </c>
      <c r="G146" s="475">
        <f t="shared" si="14"/>
        <v>140604.70995977579</v>
      </c>
      <c r="H146" s="475">
        <f t="shared" si="14"/>
        <v>5321</v>
      </c>
      <c r="I146" s="475">
        <f t="shared" si="14"/>
        <v>16871.575061933465</v>
      </c>
      <c r="J146" s="475">
        <f t="shared" si="14"/>
        <v>98215.571220000013</v>
      </c>
      <c r="K146" s="475">
        <f t="shared" si="14"/>
        <v>273497.31817977584</v>
      </c>
      <c r="L146" s="475">
        <f t="shared" si="14"/>
        <v>125563.02119606621</v>
      </c>
      <c r="M146" s="476" t="s">
        <v>592</v>
      </c>
    </row>
    <row r="147" spans="3:13">
      <c r="E147" s="477" t="s">
        <v>187</v>
      </c>
      <c r="F147" s="475">
        <f t="shared" si="14"/>
        <v>61426.406891847408</v>
      </c>
      <c r="G147" s="475">
        <f t="shared" si="14"/>
        <v>886255.47904323821</v>
      </c>
      <c r="H147" s="475">
        <f t="shared" si="14"/>
        <v>26145.210000000003</v>
      </c>
      <c r="I147" s="475">
        <f t="shared" si="14"/>
        <v>82125.143108152595</v>
      </c>
      <c r="J147" s="475">
        <f t="shared" si="14"/>
        <v>502150.58299999998</v>
      </c>
      <c r="K147" s="475">
        <f t="shared" si="14"/>
        <v>1558102.8220432382</v>
      </c>
      <c r="L147" s="475">
        <f t="shared" si="14"/>
        <v>1123909.1040062965</v>
      </c>
      <c r="M147" s="476" t="s">
        <v>592</v>
      </c>
    </row>
    <row r="149" spans="3:13">
      <c r="C149" s="1307" t="s">
        <v>188</v>
      </c>
      <c r="D149" s="443" t="s">
        <v>282</v>
      </c>
      <c r="E149" s="443" t="s">
        <v>286</v>
      </c>
      <c r="F149" s="475">
        <f t="shared" ref="F149:L149" si="15">SUMIFS(F$115:F$142,$S$115:$S$142,"TP",$R$115:$R$142,"L",$Q$115:$Q$142,1)</f>
        <v>0</v>
      </c>
      <c r="G149" s="475">
        <f t="shared" si="15"/>
        <v>0</v>
      </c>
      <c r="H149" s="475">
        <f t="shared" si="15"/>
        <v>9.85</v>
      </c>
      <c r="I149" s="475">
        <f t="shared" si="15"/>
        <v>5634.7</v>
      </c>
      <c r="J149" s="475">
        <f t="shared" si="15"/>
        <v>0</v>
      </c>
      <c r="K149" s="475">
        <f t="shared" si="15"/>
        <v>5644.55</v>
      </c>
      <c r="L149" s="475">
        <f t="shared" si="15"/>
        <v>0</v>
      </c>
      <c r="M149" s="476" t="s">
        <v>592</v>
      </c>
    </row>
    <row r="150" spans="3:13">
      <c r="D150" s="443" t="s">
        <v>282</v>
      </c>
      <c r="E150" s="443" t="s">
        <v>425</v>
      </c>
      <c r="F150" s="475">
        <f t="shared" ref="F150:L150" si="16">SUMIFS(F$115:F$142,$S$115:$S$142,"TP",$R$115:$R$142,"L",$Q$115:$Q$142,2)</f>
        <v>0</v>
      </c>
      <c r="G150" s="475">
        <f t="shared" si="16"/>
        <v>0</v>
      </c>
      <c r="H150" s="475">
        <f t="shared" si="16"/>
        <v>0</v>
      </c>
      <c r="I150" s="475">
        <f t="shared" si="16"/>
        <v>1060</v>
      </c>
      <c r="J150" s="475">
        <f t="shared" si="16"/>
        <v>862.6</v>
      </c>
      <c r="K150" s="475">
        <f t="shared" si="16"/>
        <v>1922.6</v>
      </c>
      <c r="L150" s="475">
        <f t="shared" si="16"/>
        <v>0</v>
      </c>
      <c r="M150" s="476" t="s">
        <v>592</v>
      </c>
    </row>
    <row r="151" spans="3:13">
      <c r="D151" s="443" t="s">
        <v>282</v>
      </c>
      <c r="E151" s="1104" t="s">
        <v>1094</v>
      </c>
      <c r="F151" s="475">
        <f t="shared" ref="F151:L151" si="17">SUMIFS(F$115:F$142,$S$115:$S$142,"TP",$R$115:$R$142,"L",$Q$115:$Q$142,3)</f>
        <v>12484.461938066535</v>
      </c>
      <c r="G151" s="475">
        <f t="shared" si="17"/>
        <v>0</v>
      </c>
      <c r="H151" s="475">
        <f t="shared" si="17"/>
        <v>0</v>
      </c>
      <c r="I151" s="475">
        <f t="shared" si="17"/>
        <v>3855.5380619334637</v>
      </c>
      <c r="J151" s="475">
        <f t="shared" si="17"/>
        <v>15493</v>
      </c>
      <c r="K151" s="475">
        <f t="shared" si="17"/>
        <v>31833</v>
      </c>
      <c r="L151" s="475">
        <f t="shared" si="17"/>
        <v>0</v>
      </c>
      <c r="M151" s="476" t="s">
        <v>592</v>
      </c>
    </row>
    <row r="152" spans="3:13">
      <c r="D152" s="443" t="s">
        <v>272</v>
      </c>
      <c r="E152" s="443" t="s">
        <v>286</v>
      </c>
      <c r="F152" s="475">
        <f t="shared" ref="F152:L152" si="18">SUMIFS(F$115:F$142,$S$115:$S$142,"TP",$R$115:$R$142,"R",$Q$115:$Q$142,1)</f>
        <v>0</v>
      </c>
      <c r="G152" s="475">
        <f t="shared" si="18"/>
        <v>0</v>
      </c>
      <c r="H152" s="475">
        <f t="shared" si="18"/>
        <v>0</v>
      </c>
      <c r="I152" s="475">
        <f t="shared" si="18"/>
        <v>0</v>
      </c>
      <c r="J152" s="475">
        <f t="shared" si="18"/>
        <v>0</v>
      </c>
      <c r="K152" s="475">
        <f t="shared" si="18"/>
        <v>0</v>
      </c>
      <c r="L152" s="475">
        <f t="shared" si="18"/>
        <v>0</v>
      </c>
      <c r="M152" s="476" t="s">
        <v>592</v>
      </c>
    </row>
    <row r="153" spans="3:13">
      <c r="D153" s="443" t="s">
        <v>272</v>
      </c>
      <c r="E153" s="443" t="s">
        <v>425</v>
      </c>
      <c r="F153" s="475">
        <f t="shared" ref="F153:L153" si="19">SUMIFS(F$115:F$142,$S$115:$S$142,"TP",$R$115:$R$142,"R",$Q$115:$Q$142,2)</f>
        <v>0</v>
      </c>
      <c r="G153" s="475">
        <f t="shared" si="19"/>
        <v>22303</v>
      </c>
      <c r="H153" s="475">
        <f t="shared" si="19"/>
        <v>0</v>
      </c>
      <c r="I153" s="475">
        <f t="shared" si="19"/>
        <v>0</v>
      </c>
      <c r="J153" s="475">
        <f t="shared" si="19"/>
        <v>1400</v>
      </c>
      <c r="K153" s="475">
        <f t="shared" si="19"/>
        <v>23703</v>
      </c>
      <c r="L153" s="475">
        <f t="shared" si="19"/>
        <v>0</v>
      </c>
      <c r="M153" s="476" t="s">
        <v>592</v>
      </c>
    </row>
    <row r="154" spans="3:13">
      <c r="D154" s="443" t="s">
        <v>272</v>
      </c>
      <c r="E154" s="1104" t="s">
        <v>1094</v>
      </c>
      <c r="F154" s="475">
        <f t="shared" ref="F154:L154" si="20">SUMIFS(F$115:F$142,$S$115:$S$142,"TP",$R$115:$R$142,"R",$Q$115:$Q$142,3)</f>
        <v>0</v>
      </c>
      <c r="G154" s="475">
        <f t="shared" si="20"/>
        <v>118301.70995977581</v>
      </c>
      <c r="H154" s="475">
        <f t="shared" si="20"/>
        <v>5311.15</v>
      </c>
      <c r="I154" s="475">
        <f t="shared" si="20"/>
        <v>6321.3369999999995</v>
      </c>
      <c r="J154" s="475">
        <f t="shared" si="20"/>
        <v>80459.971220000007</v>
      </c>
      <c r="K154" s="475">
        <f t="shared" si="20"/>
        <v>210394.16817977582</v>
      </c>
      <c r="L154" s="475">
        <f t="shared" si="20"/>
        <v>0</v>
      </c>
      <c r="M154" s="476" t="s">
        <v>592</v>
      </c>
    </row>
    <row r="155" spans="3:13">
      <c r="D155" s="443" t="s">
        <v>611</v>
      </c>
      <c r="F155" s="475">
        <f t="shared" ref="F155:L155" si="21">SUMIFS(F$115:F$142,$S$115:$S$142,"TP",$R$115:$R$142,"T")</f>
        <v>0</v>
      </c>
      <c r="G155" s="475">
        <f t="shared" si="21"/>
        <v>0</v>
      </c>
      <c r="H155" s="475">
        <f t="shared" si="21"/>
        <v>0</v>
      </c>
      <c r="I155" s="475">
        <f t="shared" si="21"/>
        <v>0</v>
      </c>
      <c r="J155" s="475">
        <f t="shared" si="21"/>
        <v>0</v>
      </c>
      <c r="K155" s="475">
        <f t="shared" si="21"/>
        <v>0</v>
      </c>
      <c r="L155" s="475">
        <f t="shared" si="21"/>
        <v>125563.02119606621</v>
      </c>
      <c r="M155" s="476" t="s">
        <v>592</v>
      </c>
    </row>
    <row r="156" spans="3:13">
      <c r="D156" s="437" t="s">
        <v>156</v>
      </c>
      <c r="F156" s="438">
        <f>SUM(F149:F155)</f>
        <v>12484.461938066535</v>
      </c>
      <c r="G156" s="438">
        <f t="shared" ref="G156:L156" si="22">SUM(G149:G155)</f>
        <v>140604.70995977579</v>
      </c>
      <c r="H156" s="438">
        <f t="shared" si="22"/>
        <v>5321</v>
      </c>
      <c r="I156" s="438">
        <f t="shared" si="22"/>
        <v>16871.575061933465</v>
      </c>
      <c r="J156" s="438">
        <f t="shared" si="22"/>
        <v>98215.571220000013</v>
      </c>
      <c r="K156" s="438">
        <f t="shared" si="22"/>
        <v>273497.31817977584</v>
      </c>
      <c r="L156" s="438">
        <f t="shared" si="22"/>
        <v>125563.02119606621</v>
      </c>
      <c r="M156" s="439" t="s">
        <v>592</v>
      </c>
    </row>
    <row r="157" spans="3:13">
      <c r="F157" s="475"/>
      <c r="G157" s="475"/>
      <c r="H157" s="475"/>
      <c r="I157" s="475"/>
      <c r="J157" s="475"/>
      <c r="K157" s="475"/>
      <c r="L157" s="475"/>
      <c r="M157" s="476"/>
    </row>
    <row r="158" spans="3:13">
      <c r="C158" s="1308" t="s">
        <v>187</v>
      </c>
      <c r="D158" s="443" t="s">
        <v>282</v>
      </c>
      <c r="E158" s="443" t="s">
        <v>286</v>
      </c>
      <c r="F158" s="475">
        <f t="shared" ref="F158:L158" si="23">SUMIFS(F$115:F$142,$S$115:$S$142,"TN",$R$115:$R$142,"L",$Q$115:$Q$142,1)</f>
        <v>0</v>
      </c>
      <c r="G158" s="475">
        <f t="shared" si="23"/>
        <v>0</v>
      </c>
      <c r="H158" s="475">
        <f t="shared" si="23"/>
        <v>17.130000000000003</v>
      </c>
      <c r="I158" s="475">
        <f t="shared" si="23"/>
        <v>24905</v>
      </c>
      <c r="J158" s="475">
        <f t="shared" si="23"/>
        <v>0</v>
      </c>
      <c r="K158" s="475">
        <f t="shared" si="23"/>
        <v>24922.13</v>
      </c>
      <c r="L158" s="475">
        <f t="shared" si="23"/>
        <v>0</v>
      </c>
      <c r="M158" s="476" t="s">
        <v>592</v>
      </c>
    </row>
    <row r="159" spans="3:13">
      <c r="D159" s="443" t="s">
        <v>282</v>
      </c>
      <c r="E159" s="443" t="s">
        <v>425</v>
      </c>
      <c r="F159" s="475">
        <f t="shared" ref="F159:L159" si="24">SUMIFS(F$115:F$142,$S$115:$S$142,"TN",$R$115:$R$142,"L",$Q$115:$Q$142,2)</f>
        <v>0</v>
      </c>
      <c r="G159" s="475">
        <f t="shared" si="24"/>
        <v>0</v>
      </c>
      <c r="H159" s="475">
        <f t="shared" si="24"/>
        <v>0</v>
      </c>
      <c r="I159" s="475">
        <f t="shared" si="24"/>
        <v>4350</v>
      </c>
      <c r="J159" s="475">
        <f t="shared" si="24"/>
        <v>3418.8</v>
      </c>
      <c r="K159" s="475">
        <f t="shared" si="24"/>
        <v>7768.8</v>
      </c>
      <c r="L159" s="475">
        <f t="shared" si="24"/>
        <v>0</v>
      </c>
      <c r="M159" s="476" t="s">
        <v>592</v>
      </c>
    </row>
    <row r="160" spans="3:13">
      <c r="D160" s="443" t="s">
        <v>282</v>
      </c>
      <c r="E160" s="1104" t="s">
        <v>1094</v>
      </c>
      <c r="F160" s="475">
        <f t="shared" ref="F160:L160" si="25">SUMIFS(F$115:F$142,$S$115:$S$142,"TN",$R$115:$R$142,"L",$Q$115:$Q$142,3)</f>
        <v>61426.406891847408</v>
      </c>
      <c r="G160" s="475">
        <f t="shared" si="25"/>
        <v>0</v>
      </c>
      <c r="H160" s="475">
        <f t="shared" si="25"/>
        <v>0</v>
      </c>
      <c r="I160" s="475">
        <f t="shared" si="25"/>
        <v>23116.593108152589</v>
      </c>
      <c r="J160" s="475">
        <f t="shared" si="25"/>
        <v>87531</v>
      </c>
      <c r="K160" s="475">
        <f t="shared" si="25"/>
        <v>172074</v>
      </c>
      <c r="L160" s="475">
        <f t="shared" si="25"/>
        <v>0</v>
      </c>
      <c r="M160" s="476" t="s">
        <v>592</v>
      </c>
    </row>
    <row r="161" spans="1:21">
      <c r="D161" s="443" t="s">
        <v>272</v>
      </c>
      <c r="E161" s="443" t="s">
        <v>286</v>
      </c>
      <c r="F161" s="475">
        <f t="shared" ref="F161:L161" si="26">SUMIFS(F$115:F$142,$S$115:$S$142,"TN",$R$115:$R$142,"R",$Q$115:$Q$142,1)</f>
        <v>0</v>
      </c>
      <c r="G161" s="475">
        <f t="shared" si="26"/>
        <v>0</v>
      </c>
      <c r="H161" s="475">
        <f t="shared" si="26"/>
        <v>0</v>
      </c>
      <c r="I161" s="475">
        <f t="shared" si="26"/>
        <v>0</v>
      </c>
      <c r="J161" s="475">
        <f t="shared" si="26"/>
        <v>0</v>
      </c>
      <c r="K161" s="475">
        <f t="shared" si="26"/>
        <v>0</v>
      </c>
      <c r="L161" s="475">
        <f t="shared" si="26"/>
        <v>0</v>
      </c>
      <c r="M161" s="476" t="s">
        <v>592</v>
      </c>
    </row>
    <row r="162" spans="1:21">
      <c r="D162" s="443" t="s">
        <v>272</v>
      </c>
      <c r="E162" s="443" t="s">
        <v>425</v>
      </c>
      <c r="F162" s="475">
        <f t="shared" ref="F162:L162" si="27">SUMIFS(F$115:F$142,$S$115:$S$142,"TN",$R$115:$R$142,"R",$Q$115:$Q$142,2)</f>
        <v>0</v>
      </c>
      <c r="G162" s="475">
        <f t="shared" si="27"/>
        <v>91023</v>
      </c>
      <c r="H162" s="475">
        <f t="shared" si="27"/>
        <v>0</v>
      </c>
      <c r="I162" s="475">
        <f t="shared" si="27"/>
        <v>0</v>
      </c>
      <c r="J162" s="475">
        <f t="shared" si="27"/>
        <v>5600</v>
      </c>
      <c r="K162" s="475">
        <f t="shared" si="27"/>
        <v>96623</v>
      </c>
      <c r="L162" s="475">
        <f t="shared" si="27"/>
        <v>0</v>
      </c>
      <c r="M162" s="476" t="s">
        <v>592</v>
      </c>
    </row>
    <row r="163" spans="1:21">
      <c r="D163" s="443" t="s">
        <v>272</v>
      </c>
      <c r="E163" s="1104" t="s">
        <v>1094</v>
      </c>
      <c r="F163" s="475">
        <f t="shared" ref="F163:L163" si="28">SUMIFS(F$115:F$142,$S$115:$S$142,"TN",$R$115:$R$142,"R",$Q$115:$Q$142,3)</f>
        <v>0</v>
      </c>
      <c r="G163" s="475">
        <f t="shared" si="28"/>
        <v>795232.47904323821</v>
      </c>
      <c r="H163" s="475">
        <f t="shared" si="28"/>
        <v>26128.080000000002</v>
      </c>
      <c r="I163" s="475">
        <f t="shared" si="28"/>
        <v>29753.550000000003</v>
      </c>
      <c r="J163" s="475">
        <f t="shared" si="28"/>
        <v>405600.783</v>
      </c>
      <c r="K163" s="475">
        <f t="shared" si="28"/>
        <v>1256714.8920432383</v>
      </c>
      <c r="L163" s="475">
        <f t="shared" si="28"/>
        <v>0</v>
      </c>
      <c r="M163" s="476" t="s">
        <v>592</v>
      </c>
    </row>
    <row r="164" spans="1:21">
      <c r="D164" s="443" t="s">
        <v>611</v>
      </c>
      <c r="F164" s="475">
        <f t="shared" ref="F164:L164" si="29">SUMIFS(F$115:F$142,$S$115:$S$142,"TN",$R$115:$R$142,"T")</f>
        <v>0</v>
      </c>
      <c r="G164" s="475">
        <f t="shared" si="29"/>
        <v>0</v>
      </c>
      <c r="H164" s="475">
        <f t="shared" si="29"/>
        <v>0</v>
      </c>
      <c r="I164" s="475">
        <f t="shared" si="29"/>
        <v>0</v>
      </c>
      <c r="J164" s="475">
        <f t="shared" si="29"/>
        <v>0</v>
      </c>
      <c r="K164" s="475">
        <f t="shared" si="29"/>
        <v>0</v>
      </c>
      <c r="L164" s="475">
        <f t="shared" si="29"/>
        <v>1123909.1040062965</v>
      </c>
      <c r="M164" s="476" t="s">
        <v>592</v>
      </c>
    </row>
    <row r="165" spans="1:21">
      <c r="D165" s="437" t="s">
        <v>156</v>
      </c>
      <c r="F165" s="438">
        <f>SUM(F158:F164)</f>
        <v>61426.406891847408</v>
      </c>
      <c r="G165" s="438">
        <f t="shared" ref="G165" si="30">SUM(G158:G164)</f>
        <v>886255.47904323821</v>
      </c>
      <c r="H165" s="438">
        <f t="shared" ref="H165" si="31">SUM(H158:H164)</f>
        <v>26145.210000000003</v>
      </c>
      <c r="I165" s="438">
        <f t="shared" ref="I165" si="32">SUM(I158:I164)</f>
        <v>82125.143108152595</v>
      </c>
      <c r="J165" s="438">
        <f t="shared" ref="J165" si="33">SUM(J158:J164)</f>
        <v>502150.58299999998</v>
      </c>
      <c r="K165" s="438">
        <f t="shared" ref="K165" si="34">SUM(K158:K164)</f>
        <v>1558102.8220432382</v>
      </c>
      <c r="L165" s="438">
        <f t="shared" ref="L165" si="35">SUM(L158:L164)</f>
        <v>1123909.1040062965</v>
      </c>
      <c r="M165" s="439" t="s">
        <v>592</v>
      </c>
    </row>
    <row r="166" spans="1:21">
      <c r="D166" s="437"/>
      <c r="F166" s="438"/>
      <c r="G166" s="438"/>
      <c r="H166" s="438"/>
      <c r="I166" s="438"/>
      <c r="J166" s="438"/>
      <c r="K166" s="438"/>
      <c r="L166" s="438"/>
      <c r="M166" s="439"/>
    </row>
    <row r="169" spans="1:21">
      <c r="B169" s="762" t="s">
        <v>1449</v>
      </c>
      <c r="C169" s="763"/>
      <c r="U169" s="1498" t="s">
        <v>1451</v>
      </c>
    </row>
    <row r="170" spans="1:21">
      <c r="A170" s="441">
        <v>61</v>
      </c>
      <c r="B170" s="1125" t="s">
        <v>1205</v>
      </c>
      <c r="C170" s="775" t="s">
        <v>944</v>
      </c>
      <c r="D170" s="327" t="s">
        <v>269</v>
      </c>
      <c r="E170" s="327" t="s">
        <v>270</v>
      </c>
      <c r="F170" s="441" t="s">
        <v>289</v>
      </c>
      <c r="G170" s="327" t="s">
        <v>272</v>
      </c>
      <c r="H170" s="949">
        <v>8263</v>
      </c>
      <c r="I170" s="949">
        <v>114648</v>
      </c>
      <c r="J170" s="446"/>
      <c r="K170" s="446">
        <v>15000</v>
      </c>
      <c r="L170" s="459">
        <v>2</v>
      </c>
      <c r="M170" s="329" t="str">
        <f t="shared" ref="M170" si="36">VLOOKUP(L170,projstatus,2,FALSE)</f>
        <v>Near-Term</v>
      </c>
      <c r="N170" s="450" t="s">
        <v>412</v>
      </c>
      <c r="O170" s="453">
        <v>482252.79999999999</v>
      </c>
      <c r="P170" s="453">
        <v>857013.6</v>
      </c>
      <c r="Q170" s="454">
        <v>26.690449999999998</v>
      </c>
      <c r="R170" s="454">
        <v>81.532650000000004</v>
      </c>
      <c r="S170" s="1112" t="s">
        <v>1182</v>
      </c>
      <c r="T170" s="441" t="str">
        <f t="shared" ref="T170" si="37">TEXT(L170,"#") &amp; "_" &amp; LEFT($G170,1)</f>
        <v>2_R</v>
      </c>
      <c r="U170" s="1497" t="s">
        <v>1450</v>
      </c>
    </row>
    <row r="174" spans="1:21">
      <c r="B174" s="762" t="s">
        <v>893</v>
      </c>
      <c r="C174" s="763"/>
      <c r="D174" s="764"/>
      <c r="E174" s="764"/>
      <c r="F174" s="765"/>
      <c r="G174" s="765"/>
    </row>
    <row r="175" spans="1:21">
      <c r="B175" s="772" t="s">
        <v>892</v>
      </c>
      <c r="C175" s="766"/>
      <c r="D175" s="764"/>
      <c r="E175" s="764"/>
      <c r="F175" s="765"/>
      <c r="G175" s="765"/>
    </row>
    <row r="176" spans="1:21">
      <c r="B176" s="767" t="s">
        <v>891</v>
      </c>
      <c r="C176" s="766"/>
      <c r="D176" s="764"/>
      <c r="E176" s="764"/>
      <c r="F176" s="765"/>
      <c r="G176" s="765"/>
    </row>
    <row r="177" spans="2:7">
      <c r="B177" s="767"/>
      <c r="C177" s="766"/>
      <c r="D177" s="764"/>
      <c r="E177" s="764"/>
      <c r="F177" s="765"/>
      <c r="G177" s="765"/>
    </row>
    <row r="178" spans="2:7" ht="38.25">
      <c r="B178" s="750" t="s">
        <v>853</v>
      </c>
      <c r="C178" s="750" t="s">
        <v>854</v>
      </c>
      <c r="D178" s="750" t="s">
        <v>855</v>
      </c>
      <c r="E178" s="750"/>
      <c r="F178" s="1233" t="s">
        <v>856</v>
      </c>
      <c r="G178" s="1306" t="s">
        <v>857</v>
      </c>
    </row>
    <row r="179" spans="2:7">
      <c r="B179" s="768">
        <v>0</v>
      </c>
      <c r="C179" s="774" t="s">
        <v>858</v>
      </c>
      <c r="D179" s="775" t="s">
        <v>858</v>
      </c>
      <c r="E179" s="329"/>
      <c r="F179" s="329">
        <v>0</v>
      </c>
      <c r="G179" s="329">
        <v>0</v>
      </c>
    </row>
    <row r="180" spans="2:7">
      <c r="B180" s="768">
        <v>1</v>
      </c>
      <c r="C180" s="773" t="s">
        <v>859</v>
      </c>
      <c r="D180" s="772" t="s">
        <v>860</v>
      </c>
      <c r="E180" s="769"/>
      <c r="F180" s="770">
        <v>12</v>
      </c>
      <c r="G180" s="770">
        <v>1</v>
      </c>
    </row>
    <row r="181" spans="2:7">
      <c r="B181" s="768">
        <v>2</v>
      </c>
      <c r="C181" s="773" t="s">
        <v>861</v>
      </c>
      <c r="D181" s="772" t="s">
        <v>862</v>
      </c>
      <c r="E181" s="769"/>
      <c r="F181" s="770">
        <v>12</v>
      </c>
      <c r="G181" s="770">
        <v>3</v>
      </c>
    </row>
    <row r="182" spans="2:7">
      <c r="B182" s="768">
        <v>3</v>
      </c>
      <c r="C182" s="773" t="s">
        <v>863</v>
      </c>
      <c r="D182" s="772" t="s">
        <v>864</v>
      </c>
      <c r="E182" s="769"/>
      <c r="F182" s="770">
        <v>100</v>
      </c>
      <c r="G182" s="770">
        <v>25</v>
      </c>
    </row>
    <row r="183" spans="2:7">
      <c r="B183" s="768">
        <v>4</v>
      </c>
      <c r="C183" s="773" t="s">
        <v>865</v>
      </c>
      <c r="D183" s="772" t="s">
        <v>866</v>
      </c>
      <c r="E183" s="769"/>
      <c r="F183" s="770">
        <v>40</v>
      </c>
      <c r="G183" s="770">
        <v>10</v>
      </c>
    </row>
    <row r="184" spans="2:7">
      <c r="B184" s="768">
        <v>5</v>
      </c>
      <c r="C184" s="773" t="s">
        <v>867</v>
      </c>
      <c r="D184" s="772" t="s">
        <v>868</v>
      </c>
      <c r="E184" s="769"/>
      <c r="F184" s="771">
        <v>100</v>
      </c>
      <c r="G184" s="770">
        <v>25</v>
      </c>
    </row>
    <row r="185" spans="2:7">
      <c r="B185" s="768">
        <v>6</v>
      </c>
      <c r="C185" s="773" t="s">
        <v>869</v>
      </c>
      <c r="D185" s="772" t="s">
        <v>870</v>
      </c>
      <c r="E185" s="769"/>
      <c r="F185" s="771">
        <v>500</v>
      </c>
      <c r="G185" s="770">
        <v>200</v>
      </c>
    </row>
    <row r="186" spans="2:7">
      <c r="B186" s="768">
        <v>7</v>
      </c>
      <c r="C186" s="776" t="s">
        <v>871</v>
      </c>
      <c r="D186" s="772" t="s">
        <v>871</v>
      </c>
      <c r="E186" s="769"/>
      <c r="F186" s="771">
        <v>40</v>
      </c>
      <c r="G186" s="770">
        <v>10</v>
      </c>
    </row>
    <row r="187" spans="2:7">
      <c r="B187" s="768">
        <v>8</v>
      </c>
      <c r="C187" s="773" t="s">
        <v>872</v>
      </c>
      <c r="D187" s="772" t="s">
        <v>873</v>
      </c>
      <c r="E187" s="769"/>
      <c r="F187" s="771">
        <v>20</v>
      </c>
      <c r="G187" s="770">
        <v>5</v>
      </c>
    </row>
    <row r="188" spans="2:7">
      <c r="B188" s="768">
        <v>9</v>
      </c>
      <c r="C188" s="773" t="s">
        <v>874</v>
      </c>
      <c r="D188" s="772" t="s">
        <v>875</v>
      </c>
      <c r="E188" s="769"/>
      <c r="F188" s="771">
        <v>30</v>
      </c>
      <c r="G188" s="770">
        <v>5</v>
      </c>
    </row>
    <row r="189" spans="2:7">
      <c r="B189" s="768">
        <v>10</v>
      </c>
      <c r="C189" s="773" t="s">
        <v>876</v>
      </c>
      <c r="D189" s="772" t="s">
        <v>877</v>
      </c>
      <c r="E189" s="769"/>
      <c r="F189" s="771">
        <v>2.5</v>
      </c>
      <c r="G189" s="770">
        <v>0.4</v>
      </c>
    </row>
    <row r="190" spans="2:7">
      <c r="B190" s="771">
        <v>11</v>
      </c>
      <c r="C190" s="773" t="s">
        <v>878</v>
      </c>
      <c r="D190" s="772" t="s">
        <v>879</v>
      </c>
      <c r="E190" s="769"/>
      <c r="F190" s="771">
        <v>0</v>
      </c>
      <c r="G190" s="770">
        <v>0</v>
      </c>
    </row>
    <row r="191" spans="2:7">
      <c r="B191" s="771">
        <v>12</v>
      </c>
      <c r="C191" s="773" t="s">
        <v>880</v>
      </c>
      <c r="D191" s="772" t="s">
        <v>880</v>
      </c>
      <c r="E191" s="769"/>
      <c r="F191" s="771">
        <v>0</v>
      </c>
      <c r="G191" s="770">
        <v>0</v>
      </c>
    </row>
    <row r="192" spans="2:7">
      <c r="B192" s="771">
        <v>13</v>
      </c>
      <c r="C192" s="773" t="s">
        <v>881</v>
      </c>
      <c r="D192" s="772" t="s">
        <v>882</v>
      </c>
      <c r="E192" s="769"/>
      <c r="F192" s="771">
        <v>20</v>
      </c>
      <c r="G192" s="770">
        <v>5</v>
      </c>
    </row>
    <row r="193" spans="2:7">
      <c r="B193" s="771">
        <v>14</v>
      </c>
      <c r="C193" s="773" t="s">
        <v>883</v>
      </c>
      <c r="D193" s="772" t="s">
        <v>884</v>
      </c>
      <c r="E193" s="769"/>
      <c r="F193" s="771">
        <v>0</v>
      </c>
      <c r="G193" s="770">
        <v>0</v>
      </c>
    </row>
    <row r="194" spans="2:7">
      <c r="B194" s="771">
        <v>15</v>
      </c>
      <c r="C194" s="773" t="s">
        <v>885</v>
      </c>
      <c r="D194" s="772" t="s">
        <v>886</v>
      </c>
      <c r="E194" s="769"/>
      <c r="F194" s="771">
        <v>20</v>
      </c>
      <c r="G194" s="770">
        <v>5</v>
      </c>
    </row>
    <row r="195" spans="2:7">
      <c r="B195" s="771">
        <v>16</v>
      </c>
      <c r="C195" s="773" t="s">
        <v>887</v>
      </c>
      <c r="D195" s="772" t="s">
        <v>888</v>
      </c>
      <c r="E195" s="769"/>
      <c r="F195" s="770">
        <v>0</v>
      </c>
      <c r="G195" s="770">
        <v>0</v>
      </c>
    </row>
    <row r="196" spans="2:7">
      <c r="B196" s="771">
        <v>17</v>
      </c>
      <c r="C196" s="773" t="s">
        <v>889</v>
      </c>
      <c r="D196" s="772" t="s">
        <v>890</v>
      </c>
      <c r="E196" s="770"/>
      <c r="F196" s="770">
        <v>3</v>
      </c>
      <c r="G196" s="770">
        <v>0.6</v>
      </c>
    </row>
  </sheetData>
  <sortState ref="B199:M260">
    <sortCondition ref="L199:L260"/>
    <sortCondition ref="G199:G260"/>
    <sortCondition ref="B199:B260"/>
  </sortState>
  <printOptions gridLines="1"/>
  <pageMargins left="0.5" right="0.5" top="0.75" bottom="0.75" header="0.3" footer="0.3"/>
  <pageSetup scale="45" fitToHeight="3" orientation="landscape" r:id="rId1"/>
  <headerFooter>
    <oddFooter>&amp;L&amp;"-,Italic"&amp;9&amp;F, &amp;A&amp;R&amp;"-,Italic"&amp;9&amp;P of &amp;N</oddFooter>
  </headerFooter>
  <rowBreaks count="2" manualBreakCount="2">
    <brk id="88" max="19" man="1"/>
    <brk id="172" max="16383" man="1"/>
  </rowBreaks>
</worksheet>
</file>

<file path=xl/worksheets/sheet8.xml><?xml version="1.0" encoding="utf-8"?>
<worksheet xmlns="http://schemas.openxmlformats.org/spreadsheetml/2006/main" xmlns:r="http://schemas.openxmlformats.org/officeDocument/2006/relationships">
  <dimension ref="A1:AG95"/>
  <sheetViews>
    <sheetView zoomScaleNormal="100" workbookViewId="0">
      <selection activeCell="A7" sqref="A7"/>
    </sheetView>
  </sheetViews>
  <sheetFormatPr defaultRowHeight="12.75"/>
  <cols>
    <col min="1" max="1" width="15.85546875" style="1128" customWidth="1"/>
    <col min="2" max="2" width="65.5703125" style="1128" customWidth="1"/>
    <col min="3" max="3" width="10.140625" style="1125" customWidth="1"/>
    <col min="4" max="4" width="10.5703125" style="1125" customWidth="1"/>
    <col min="5" max="6" width="10.140625" style="1125" customWidth="1"/>
    <col min="7" max="7" width="10.5703125" style="1128" customWidth="1"/>
    <col min="8" max="8" width="10.85546875" style="1128" customWidth="1"/>
    <col min="9" max="9" width="9.7109375" style="1128" customWidth="1"/>
    <col min="10" max="10" width="6.5703125" style="1128" customWidth="1"/>
    <col min="11" max="11" width="11.42578125" style="1151" customWidth="1"/>
    <col min="12" max="12" width="10.42578125" style="1128" customWidth="1"/>
    <col min="13" max="13" width="10.140625" style="1156" customWidth="1"/>
    <col min="14" max="14" width="9.140625" style="1156"/>
    <col min="15" max="16" width="9.28515625" style="1258" bestFit="1" customWidth="1"/>
    <col min="17" max="17" width="9.28515625" style="1123" bestFit="1" customWidth="1"/>
    <col min="18" max="18" width="10.42578125" style="1128" customWidth="1"/>
    <col min="19" max="19" width="4.85546875" style="1128" customWidth="1"/>
    <col min="20" max="20" width="6.5703125" style="1128" customWidth="1"/>
    <col min="21" max="22" width="5.28515625" style="436" customWidth="1"/>
    <col min="23" max="24" width="9.140625" style="1128"/>
    <col min="25" max="25" width="7" style="1128" customWidth="1"/>
    <col min="26" max="26" width="9.5703125" style="1128" customWidth="1"/>
    <col min="27" max="27" width="4.5703125" style="1128" customWidth="1"/>
    <col min="28" max="29" width="5" style="1128" customWidth="1"/>
    <col min="30" max="31" width="9.140625" style="1128"/>
    <col min="32" max="32" width="6.42578125" style="1128" customWidth="1"/>
    <col min="33" max="16384" width="9.140625" style="1128"/>
  </cols>
  <sheetData>
    <row r="1" spans="1:33" s="1153" customFormat="1">
      <c r="A1" s="489" t="s">
        <v>1230</v>
      </c>
      <c r="B1" s="478"/>
      <c r="C1" s="1173"/>
      <c r="D1" s="1173"/>
      <c r="E1" s="1212" t="s">
        <v>1453</v>
      </c>
      <c r="F1" s="449"/>
      <c r="G1" s="519"/>
      <c r="H1" s="1155"/>
      <c r="J1" s="1277" t="s">
        <v>1259</v>
      </c>
      <c r="K1" s="1278"/>
      <c r="L1" s="1279"/>
      <c r="M1" s="1280"/>
      <c r="N1" s="1280"/>
      <c r="O1" s="1281"/>
      <c r="P1" s="1281"/>
      <c r="Q1" s="1282"/>
      <c r="R1" s="1283"/>
      <c r="S1" s="1154"/>
      <c r="T1" s="1154"/>
      <c r="U1" s="1163"/>
      <c r="V1" s="1163"/>
    </row>
    <row r="2" spans="1:33">
      <c r="J2" s="1276" t="s">
        <v>1256</v>
      </c>
      <c r="K2" s="1153"/>
      <c r="L2" s="1153"/>
      <c r="M2" s="1130"/>
      <c r="N2" s="1130"/>
      <c r="O2" s="1155"/>
      <c r="P2" s="1155"/>
      <c r="Q2" s="1129"/>
      <c r="R2" s="1273"/>
      <c r="T2" s="1213" t="s">
        <v>1241</v>
      </c>
      <c r="U2" s="1214"/>
      <c r="V2" s="1214"/>
      <c r="W2" s="1215"/>
      <c r="X2" s="1215"/>
      <c r="Y2" s="1215"/>
      <c r="Z2" s="1215"/>
      <c r="AA2" s="1215"/>
      <c r="AB2" s="1215"/>
      <c r="AC2" s="1215"/>
      <c r="AD2" s="1215"/>
      <c r="AE2" s="1215"/>
      <c r="AF2" s="1215"/>
      <c r="AG2" s="1216"/>
    </row>
    <row r="3" spans="1:33">
      <c r="J3" s="1274" t="s">
        <v>1264</v>
      </c>
      <c r="K3" s="1153"/>
      <c r="L3" s="1153"/>
      <c r="M3" s="1130"/>
      <c r="N3" s="1130"/>
      <c r="O3" s="1155"/>
      <c r="P3" s="1155"/>
      <c r="Q3" s="1129"/>
      <c r="R3" s="1273"/>
      <c r="S3" s="1153"/>
      <c r="T3" s="1274" t="s">
        <v>1257</v>
      </c>
      <c r="U3" s="1163"/>
      <c r="V3" s="1163"/>
      <c r="W3" s="1153"/>
      <c r="X3" s="1153"/>
      <c r="Y3" s="1153"/>
      <c r="Z3" s="1153"/>
      <c r="AA3" s="1153"/>
      <c r="AB3" s="1153"/>
      <c r="AC3" s="1153"/>
      <c r="AD3" s="1153"/>
      <c r="AE3" s="1153"/>
      <c r="AF3" s="1153"/>
      <c r="AG3" s="1273"/>
    </row>
    <row r="4" spans="1:33">
      <c r="A4" s="1187" t="s">
        <v>1267</v>
      </c>
      <c r="J4" s="1270" t="s">
        <v>1265</v>
      </c>
      <c r="K4" s="1275"/>
      <c r="L4" s="1218"/>
      <c r="M4" s="1254"/>
      <c r="N4" s="1254"/>
      <c r="O4" s="1257"/>
      <c r="P4" s="1257"/>
      <c r="Q4" s="1256"/>
      <c r="R4" s="1219"/>
      <c r="T4" s="1270" t="s">
        <v>1258</v>
      </c>
      <c r="U4" s="1217"/>
      <c r="V4" s="1217"/>
      <c r="W4" s="1218"/>
      <c r="X4" s="1218"/>
      <c r="Y4" s="1218"/>
      <c r="Z4" s="1218"/>
      <c r="AA4" s="1218"/>
      <c r="AB4" s="1218"/>
      <c r="AC4" s="1218"/>
      <c r="AD4" s="1218"/>
      <c r="AE4" s="1218"/>
      <c r="AF4" s="1218"/>
      <c r="AG4" s="1219"/>
    </row>
    <row r="5" spans="1:33" ht="15">
      <c r="A5" s="61" t="s">
        <v>1268</v>
      </c>
    </row>
    <row r="6" spans="1:33" ht="15">
      <c r="A6" s="221" t="s">
        <v>1269</v>
      </c>
      <c r="AA6" s="1160"/>
    </row>
    <row r="7" spans="1:33">
      <c r="G7" s="1464" t="s">
        <v>1242</v>
      </c>
      <c r="H7" s="1465"/>
      <c r="J7" s="1271" t="s">
        <v>1255</v>
      </c>
      <c r="O7" s="1182" t="s">
        <v>1228</v>
      </c>
      <c r="P7" s="1183" t="s">
        <v>1229</v>
      </c>
      <c r="T7" s="1170"/>
      <c r="U7" s="1462" t="s">
        <v>187</v>
      </c>
      <c r="V7" s="1462"/>
      <c r="W7" s="1462"/>
      <c r="X7" s="1462"/>
      <c r="Y7" s="1462"/>
      <c r="Z7" s="1462"/>
      <c r="AA7" s="1172"/>
      <c r="AB7" s="1463" t="s">
        <v>188</v>
      </c>
      <c r="AC7" s="1463"/>
      <c r="AD7" s="1463"/>
      <c r="AE7" s="1463"/>
      <c r="AF7" s="1463"/>
      <c r="AG7" s="1463"/>
    </row>
    <row r="8" spans="1:33" s="1132" customFormat="1" ht="51">
      <c r="A8" s="1133" t="s">
        <v>1207</v>
      </c>
      <c r="B8" s="1133" t="s">
        <v>429</v>
      </c>
      <c r="C8" s="1133" t="s">
        <v>1039</v>
      </c>
      <c r="D8" s="1210" t="s">
        <v>1218</v>
      </c>
      <c r="E8" s="1135" t="s">
        <v>1219</v>
      </c>
      <c r="F8" s="1209"/>
      <c r="G8" s="1134" t="s">
        <v>1214</v>
      </c>
      <c r="H8" s="1211" t="s">
        <v>1215</v>
      </c>
      <c r="J8" s="1252" t="s">
        <v>1251</v>
      </c>
      <c r="K8" s="1246" t="s">
        <v>259</v>
      </c>
      <c r="L8" s="1157" t="s">
        <v>429</v>
      </c>
      <c r="M8" s="1157" t="s">
        <v>1039</v>
      </c>
      <c r="N8" s="1157" t="s">
        <v>400</v>
      </c>
      <c r="O8" s="1246" t="s">
        <v>265</v>
      </c>
      <c r="P8" s="1246" t="s">
        <v>264</v>
      </c>
      <c r="Q8" s="1157" t="s">
        <v>267</v>
      </c>
      <c r="R8" s="1157" t="s">
        <v>268</v>
      </c>
      <c r="S8" s="1159"/>
      <c r="T8" s="1171" t="s">
        <v>1217</v>
      </c>
      <c r="U8" s="1233" t="s">
        <v>1250</v>
      </c>
      <c r="V8" s="1233" t="s">
        <v>1249</v>
      </c>
      <c r="W8" s="1168" t="s">
        <v>1221</v>
      </c>
      <c r="X8" s="1168" t="s">
        <v>1222</v>
      </c>
      <c r="Y8" s="1168" t="s">
        <v>1220</v>
      </c>
      <c r="Z8" s="1168" t="s">
        <v>1223</v>
      </c>
      <c r="AA8" s="1159"/>
      <c r="AB8" s="1232" t="s">
        <v>1250</v>
      </c>
      <c r="AC8" s="1232" t="s">
        <v>1249</v>
      </c>
      <c r="AD8" s="1169" t="s">
        <v>1221</v>
      </c>
      <c r="AE8" s="1169" t="s">
        <v>1222</v>
      </c>
      <c r="AF8" s="1169" t="s">
        <v>1220</v>
      </c>
      <c r="AG8" s="1169" t="s">
        <v>1223</v>
      </c>
    </row>
    <row r="9" spans="1:33" s="1156" customFormat="1">
      <c r="A9" s="1139" t="s">
        <v>1208</v>
      </c>
      <c r="B9" s="1160"/>
      <c r="C9" s="336"/>
      <c r="F9" s="336"/>
      <c r="G9" s="1160"/>
      <c r="H9" s="1160"/>
      <c r="K9" s="1162">
        <v>2</v>
      </c>
      <c r="L9" s="1162">
        <v>3</v>
      </c>
      <c r="M9" s="1162">
        <v>6</v>
      </c>
      <c r="N9" s="1162">
        <v>7</v>
      </c>
      <c r="O9" s="1162">
        <v>8</v>
      </c>
      <c r="P9" s="1162">
        <v>9</v>
      </c>
      <c r="Q9" s="1162">
        <v>12</v>
      </c>
      <c r="R9" s="1162">
        <v>13</v>
      </c>
      <c r="U9" s="1162"/>
      <c r="V9" s="1162"/>
      <c r="W9" s="1272">
        <v>10</v>
      </c>
      <c r="X9" s="1272">
        <v>10</v>
      </c>
      <c r="AD9" s="1272">
        <v>17</v>
      </c>
      <c r="AE9" s="1272">
        <v>17</v>
      </c>
    </row>
    <row r="10" spans="1:33" s="1156" customFormat="1">
      <c r="A10" s="336" t="s">
        <v>393</v>
      </c>
      <c r="B10" s="1160"/>
      <c r="C10" s="336"/>
      <c r="F10" s="336"/>
      <c r="G10" s="1160"/>
      <c r="H10" s="1160"/>
      <c r="K10" s="1131"/>
      <c r="O10" s="1258"/>
      <c r="P10" s="1258"/>
      <c r="U10" s="1253">
        <v>16</v>
      </c>
      <c r="V10" s="1253">
        <v>19</v>
      </c>
      <c r="AB10" s="1253">
        <v>16</v>
      </c>
      <c r="AC10" s="1253">
        <v>19</v>
      </c>
    </row>
    <row r="11" spans="1:33" s="1136" customFormat="1">
      <c r="A11" s="1137" t="str">
        <f t="shared" ref="A11:A18" si="0">K11</f>
        <v>CRE 18</v>
      </c>
      <c r="B11" s="330" t="str">
        <f t="shared" ref="B11:B18" si="1">L11</f>
        <v>Harns Marsh Improvements, Phase I</v>
      </c>
      <c r="C11" s="325" t="str">
        <f t="shared" ref="C11:C23" si="2">VLOOKUP($T11,subwatgeog,2,FALSE)</f>
        <v>Tidal Cal.</v>
      </c>
      <c r="D11" s="1176">
        <f>IF(ISNUMBER($P11),$Z11/lb_mton,$P11)</f>
        <v>1.5172665779999983</v>
      </c>
      <c r="E11" s="1176">
        <f t="shared" ref="E11:E23" si="3">IF(ISNUMBER($O11),$AG11/lb_mton,$O11)</f>
        <v>0.24267193400000006</v>
      </c>
      <c r="F11" s="325"/>
      <c r="G11" s="1174">
        <f t="shared" ref="G11:G23" si="4">IF(ISNUMBER($P11),$P11/lb_mton,$P11)</f>
        <v>1.5172665779999996</v>
      </c>
      <c r="H11" s="1174">
        <f t="shared" ref="H11:H23" si="5">IF(ISNUMBER($O11),$O11/lb_mton,$O11)</f>
        <v>0.24267193399999995</v>
      </c>
      <c r="I11" s="1176"/>
      <c r="J11" s="1247">
        <v>22</v>
      </c>
      <c r="K11" s="326" t="str">
        <f t="shared" ref="K11:R23" si="6">VLOOKUP($J11,MM_List,K$9,FALSE)</f>
        <v>CRE 18</v>
      </c>
      <c r="L11" s="326" t="str">
        <f t="shared" si="6"/>
        <v>Harns Marsh Improvements, Phase I</v>
      </c>
      <c r="M11" s="327" t="str">
        <f t="shared" si="6"/>
        <v>Tidal</v>
      </c>
      <c r="N11" s="327" t="str">
        <f t="shared" si="6"/>
        <v>Local</v>
      </c>
      <c r="O11" s="1263">
        <f t="shared" si="6"/>
        <v>535</v>
      </c>
      <c r="P11" s="1263">
        <f t="shared" si="6"/>
        <v>3345</v>
      </c>
      <c r="Q11" s="327">
        <f t="shared" si="6"/>
        <v>1</v>
      </c>
      <c r="R11" s="326" t="str">
        <f t="shared" si="6"/>
        <v>Completed</v>
      </c>
      <c r="S11" s="329"/>
      <c r="T11" s="329">
        <f t="shared" ref="T11:T23" si="7">VLOOKUP($M11,subwatindex,3,FALSE)</f>
        <v>2</v>
      </c>
      <c r="U11" s="1164">
        <f>U$10</f>
        <v>16</v>
      </c>
      <c r="V11" s="1164">
        <f>V$10</f>
        <v>19</v>
      </c>
      <c r="W11" s="1166">
        <f t="shared" ref="W11:W23" si="8">VLOOKUP(U11,loads_summ,W$9+$T11,FALSE)</f>
        <v>16.12034766599767</v>
      </c>
      <c r="X11" s="1166">
        <f t="shared" ref="X11:X23" si="9">VLOOKUP(V11,loads_summ,X$9+$T11,FALSE)</f>
        <v>16.120347665997656</v>
      </c>
      <c r="Y11" s="1167">
        <f t="shared" ref="Y11:Y13" si="10">IF(W11&gt;0,X11/W11,IF(W11&lt;0,1,0))</f>
        <v>0.99999999999999911</v>
      </c>
      <c r="Z11" s="1161">
        <f t="shared" ref="Z11:Z13" si="11">IF(ISNUMBER($P11),$P11*Y11,0)</f>
        <v>3344.9999999999968</v>
      </c>
      <c r="AA11" s="1161"/>
      <c r="AB11" s="1164">
        <f>AB$10</f>
        <v>16</v>
      </c>
      <c r="AC11" s="1164">
        <f>AC$10</f>
        <v>19</v>
      </c>
      <c r="AD11" s="1166">
        <f t="shared" ref="AD11:AD23" si="12">VLOOKUP(AB11,loads_summ,AD$9+$T11,FALSE)</f>
        <v>2.7961137635228099</v>
      </c>
      <c r="AE11" s="1166">
        <f t="shared" ref="AE11:AE23" si="13">VLOOKUP(AC11,loads_summ,AE$9+$T11,FALSE)</f>
        <v>2.7961137635228113</v>
      </c>
      <c r="AF11" s="1167">
        <f t="shared" ref="AF11:AF13" si="14">IF(AD11&gt;0,AE11/AD11,IF(AD11&lt;0,1,0))</f>
        <v>1.0000000000000004</v>
      </c>
      <c r="AG11" s="1161">
        <f t="shared" ref="AG11:AG23" si="15">IF(ISNUMBER($O11),$O11*AF11,0)</f>
        <v>535.00000000000023</v>
      </c>
    </row>
    <row r="12" spans="1:33" s="1136" customFormat="1">
      <c r="A12" s="1137" t="str">
        <f t="shared" si="0"/>
        <v>CRE 19</v>
      </c>
      <c r="B12" s="330" t="str">
        <f t="shared" si="1"/>
        <v>Harns Marsh Improvements, Phase II</v>
      </c>
      <c r="C12" s="325" t="str">
        <f t="shared" si="2"/>
        <v>Tidal Cal.</v>
      </c>
      <c r="D12" s="1176">
        <f t="shared" ref="D12:D23" si="16">IF(ISNUMBER($P12),$Z12/lb_mton,$P12)</f>
        <v>0.60645303879999934</v>
      </c>
      <c r="E12" s="1176">
        <f t="shared" si="3"/>
        <v>9.1172072400000026E-2</v>
      </c>
      <c r="F12" s="325"/>
      <c r="G12" s="1174">
        <f t="shared" si="4"/>
        <v>0.6064530387999999</v>
      </c>
      <c r="H12" s="1174">
        <f t="shared" si="5"/>
        <v>9.1172072399999984E-2</v>
      </c>
      <c r="I12" s="1176"/>
      <c r="J12" s="1247">
        <v>23</v>
      </c>
      <c r="K12" s="326" t="str">
        <f t="shared" si="6"/>
        <v>CRE 19</v>
      </c>
      <c r="L12" s="326" t="str">
        <f t="shared" si="6"/>
        <v>Harns Marsh Improvements, Phase II</v>
      </c>
      <c r="M12" s="327" t="str">
        <f t="shared" si="6"/>
        <v>Tidal</v>
      </c>
      <c r="N12" s="327" t="str">
        <f t="shared" si="6"/>
        <v>Local</v>
      </c>
      <c r="O12" s="1263">
        <f t="shared" si="6"/>
        <v>201</v>
      </c>
      <c r="P12" s="1263">
        <f t="shared" si="6"/>
        <v>1337</v>
      </c>
      <c r="Q12" s="327">
        <f t="shared" si="6"/>
        <v>1</v>
      </c>
      <c r="R12" s="326" t="str">
        <f t="shared" si="6"/>
        <v>Completed</v>
      </c>
      <c r="S12" s="329"/>
      <c r="T12" s="329">
        <f t="shared" si="7"/>
        <v>2</v>
      </c>
      <c r="U12" s="1164">
        <f t="shared" ref="U12:V23" si="17">U$10</f>
        <v>16</v>
      </c>
      <c r="V12" s="1164">
        <f t="shared" si="17"/>
        <v>19</v>
      </c>
      <c r="W12" s="1166">
        <f t="shared" si="8"/>
        <v>16.12034766599767</v>
      </c>
      <c r="X12" s="1166">
        <f t="shared" si="9"/>
        <v>16.120347665997656</v>
      </c>
      <c r="Y12" s="1167">
        <f t="shared" si="10"/>
        <v>0.99999999999999911</v>
      </c>
      <c r="Z12" s="1161">
        <f t="shared" si="11"/>
        <v>1336.9999999999989</v>
      </c>
      <c r="AA12" s="1161"/>
      <c r="AB12" s="1164">
        <f t="shared" ref="AB12:AC23" si="18">AB$10</f>
        <v>16</v>
      </c>
      <c r="AC12" s="1164">
        <f t="shared" si="18"/>
        <v>19</v>
      </c>
      <c r="AD12" s="1166">
        <f t="shared" si="12"/>
        <v>2.7961137635228099</v>
      </c>
      <c r="AE12" s="1166">
        <f t="shared" si="13"/>
        <v>2.7961137635228113</v>
      </c>
      <c r="AF12" s="1167">
        <f t="shared" si="14"/>
        <v>1.0000000000000004</v>
      </c>
      <c r="AG12" s="1161">
        <f t="shared" si="15"/>
        <v>201.00000000000009</v>
      </c>
    </row>
    <row r="13" spans="1:33" s="1136" customFormat="1">
      <c r="A13" s="1137" t="str">
        <f t="shared" ref="A13" si="19">K13</f>
        <v>CRE 20</v>
      </c>
      <c r="B13" s="330" t="str">
        <f t="shared" ref="B13" si="20">L13</f>
        <v>Yellowtail Structure Construction - ECWCD</v>
      </c>
      <c r="C13" s="325" t="str">
        <f t="shared" si="2"/>
        <v>Tidal Cal.</v>
      </c>
      <c r="D13" s="1176">
        <f t="shared" si="16"/>
        <v>0.32386497359999966</v>
      </c>
      <c r="E13" s="1176">
        <f t="shared" si="3"/>
        <v>2.7215544000000008E-2</v>
      </c>
      <c r="F13" s="325"/>
      <c r="G13" s="1174">
        <f t="shared" si="4"/>
        <v>0.32386497359999994</v>
      </c>
      <c r="H13" s="1174">
        <f t="shared" si="5"/>
        <v>2.7215543999999994E-2</v>
      </c>
      <c r="I13" s="1176"/>
      <c r="J13" s="1247">
        <v>24</v>
      </c>
      <c r="K13" s="326" t="str">
        <f t="shared" si="6"/>
        <v>CRE 20</v>
      </c>
      <c r="L13" s="326" t="str">
        <f t="shared" si="6"/>
        <v>Yellowtail Structure Construction - ECWCD</v>
      </c>
      <c r="M13" s="327" t="str">
        <f t="shared" si="6"/>
        <v>Tidal</v>
      </c>
      <c r="N13" s="327" t="str">
        <f t="shared" si="6"/>
        <v>Local</v>
      </c>
      <c r="O13" s="1263">
        <f t="shared" si="6"/>
        <v>60</v>
      </c>
      <c r="P13" s="1263">
        <f t="shared" si="6"/>
        <v>714</v>
      </c>
      <c r="Q13" s="327">
        <f t="shared" si="6"/>
        <v>1</v>
      </c>
      <c r="R13" s="326" t="str">
        <f t="shared" si="6"/>
        <v>Completed</v>
      </c>
      <c r="S13" s="329"/>
      <c r="T13" s="329">
        <f t="shared" si="7"/>
        <v>2</v>
      </c>
      <c r="U13" s="1164">
        <f t="shared" si="17"/>
        <v>16</v>
      </c>
      <c r="V13" s="1164">
        <f t="shared" si="17"/>
        <v>19</v>
      </c>
      <c r="W13" s="1166">
        <f t="shared" si="8"/>
        <v>16.12034766599767</v>
      </c>
      <c r="X13" s="1166">
        <f t="shared" si="9"/>
        <v>16.120347665997656</v>
      </c>
      <c r="Y13" s="1167">
        <f t="shared" si="10"/>
        <v>0.99999999999999911</v>
      </c>
      <c r="Z13" s="1161">
        <f t="shared" si="11"/>
        <v>713.99999999999932</v>
      </c>
      <c r="AA13" s="1161"/>
      <c r="AB13" s="1164">
        <f t="shared" si="18"/>
        <v>16</v>
      </c>
      <c r="AC13" s="1164">
        <f t="shared" si="18"/>
        <v>19</v>
      </c>
      <c r="AD13" s="1166">
        <f t="shared" si="12"/>
        <v>2.7961137635228099</v>
      </c>
      <c r="AE13" s="1166">
        <f t="shared" si="13"/>
        <v>2.7961137635228113</v>
      </c>
      <c r="AF13" s="1167">
        <f t="shared" si="14"/>
        <v>1.0000000000000004</v>
      </c>
      <c r="AG13" s="1161">
        <f t="shared" ref="AG13" si="21">IF(ISNUMBER($O13),$O13*AF13,0)</f>
        <v>60.000000000000028</v>
      </c>
    </row>
    <row r="14" spans="1:33" s="1136" customFormat="1">
      <c r="A14" s="1137" t="str">
        <f t="shared" si="0"/>
        <v>CRE 29-1</v>
      </c>
      <c r="B14" s="330" t="str">
        <f t="shared" si="1"/>
        <v>Lehigh Acres Centralized WWT and Stormwater Retrofit, Phase I</v>
      </c>
      <c r="C14" s="325" t="str">
        <f t="shared" si="2"/>
        <v>Tidal Cal.</v>
      </c>
      <c r="D14" s="1176" t="str">
        <f t="shared" si="16"/>
        <v>TBD</v>
      </c>
      <c r="E14" s="1176" t="str">
        <f t="shared" si="3"/>
        <v>TBD</v>
      </c>
      <c r="F14" s="325"/>
      <c r="G14" s="1174" t="str">
        <f t="shared" si="4"/>
        <v>TBD</v>
      </c>
      <c r="H14" s="1174" t="str">
        <f t="shared" si="5"/>
        <v>TBD</v>
      </c>
      <c r="I14" s="1176"/>
      <c r="J14" s="1247">
        <v>27</v>
      </c>
      <c r="K14" s="326" t="str">
        <f t="shared" si="6"/>
        <v>CRE 29-1</v>
      </c>
      <c r="L14" s="326" t="str">
        <f t="shared" si="6"/>
        <v>Lehigh Acres Centralized WWT and Stormwater Retrofit, Phase I</v>
      </c>
      <c r="M14" s="327" t="str">
        <f t="shared" si="6"/>
        <v>Tidal</v>
      </c>
      <c r="N14" s="327" t="str">
        <f t="shared" si="6"/>
        <v>Local</v>
      </c>
      <c r="O14" s="1263" t="str">
        <f t="shared" si="6"/>
        <v>TBD</v>
      </c>
      <c r="P14" s="1263" t="str">
        <f t="shared" si="6"/>
        <v>TBD</v>
      </c>
      <c r="Q14" s="327">
        <f t="shared" si="6"/>
        <v>1</v>
      </c>
      <c r="R14" s="326" t="str">
        <f t="shared" si="6"/>
        <v>Completed</v>
      </c>
      <c r="S14" s="329"/>
      <c r="T14" s="329">
        <f t="shared" si="7"/>
        <v>2</v>
      </c>
      <c r="U14" s="1164">
        <f t="shared" si="17"/>
        <v>16</v>
      </c>
      <c r="V14" s="1164">
        <f t="shared" si="17"/>
        <v>19</v>
      </c>
      <c r="W14" s="1166">
        <f t="shared" si="8"/>
        <v>16.12034766599767</v>
      </c>
      <c r="X14" s="1166">
        <f t="shared" si="9"/>
        <v>16.120347665997656</v>
      </c>
      <c r="Y14" s="1167">
        <f t="shared" ref="Y14:Y78" si="22">IF(W14&gt;0,X14/W14,IF(W14&lt;0,1,0))</f>
        <v>0.99999999999999911</v>
      </c>
      <c r="Z14" s="1161">
        <f t="shared" ref="Z14:Z78" si="23">IF(ISNUMBER($P14),$P14*Y14,0)</f>
        <v>0</v>
      </c>
      <c r="AA14" s="1161"/>
      <c r="AB14" s="1164">
        <f t="shared" si="18"/>
        <v>16</v>
      </c>
      <c r="AC14" s="1164">
        <f t="shared" si="18"/>
        <v>19</v>
      </c>
      <c r="AD14" s="1166">
        <f t="shared" si="12"/>
        <v>2.7961137635228099</v>
      </c>
      <c r="AE14" s="1166">
        <f t="shared" si="13"/>
        <v>2.7961137635228113</v>
      </c>
      <c r="AF14" s="1167">
        <f t="shared" ref="AF14:AF78" si="24">IF(AD14&gt;0,AE14/AD14,IF(AD14&lt;0,1,0))</f>
        <v>1.0000000000000004</v>
      </c>
      <c r="AG14" s="1161">
        <f t="shared" si="15"/>
        <v>0</v>
      </c>
    </row>
    <row r="15" spans="1:33" s="1136" customFormat="1">
      <c r="A15" s="1137" t="str">
        <f t="shared" si="0"/>
        <v>CRE 45</v>
      </c>
      <c r="B15" s="330" t="str">
        <f t="shared" si="1"/>
        <v>Billy Creek Filter Marsh, Phase I and II</v>
      </c>
      <c r="C15" s="325" t="str">
        <f t="shared" si="2"/>
        <v>Tidal Cal.</v>
      </c>
      <c r="D15" s="1176">
        <f t="shared" si="16"/>
        <v>2.0461553163999979</v>
      </c>
      <c r="E15" s="1176">
        <f t="shared" si="3"/>
        <v>0.51346659680000017</v>
      </c>
      <c r="F15" s="325"/>
      <c r="G15" s="1174">
        <f t="shared" si="4"/>
        <v>2.0461553163999997</v>
      </c>
      <c r="H15" s="1174">
        <f t="shared" si="5"/>
        <v>0.51346659679999995</v>
      </c>
      <c r="I15" s="1176"/>
      <c r="J15" s="1247">
        <v>32</v>
      </c>
      <c r="K15" s="326" t="str">
        <f t="shared" si="6"/>
        <v>CRE 45</v>
      </c>
      <c r="L15" s="326" t="str">
        <f t="shared" si="6"/>
        <v>Billy Creek Filter Marsh, Phase I and II</v>
      </c>
      <c r="M15" s="327" t="str">
        <f t="shared" si="6"/>
        <v>Tidal</v>
      </c>
      <c r="N15" s="327" t="str">
        <f t="shared" si="6"/>
        <v>Local</v>
      </c>
      <c r="O15" s="1263">
        <f t="shared" si="6"/>
        <v>1132</v>
      </c>
      <c r="P15" s="1263">
        <f t="shared" si="6"/>
        <v>4511</v>
      </c>
      <c r="Q15" s="327">
        <f t="shared" si="6"/>
        <v>1</v>
      </c>
      <c r="R15" s="326" t="str">
        <f t="shared" si="6"/>
        <v>Completed</v>
      </c>
      <c r="S15" s="329"/>
      <c r="T15" s="329">
        <f t="shared" si="7"/>
        <v>2</v>
      </c>
      <c r="U15" s="1164">
        <f t="shared" si="17"/>
        <v>16</v>
      </c>
      <c r="V15" s="1164">
        <f t="shared" si="17"/>
        <v>19</v>
      </c>
      <c r="W15" s="1166">
        <f t="shared" si="8"/>
        <v>16.12034766599767</v>
      </c>
      <c r="X15" s="1166">
        <f t="shared" si="9"/>
        <v>16.120347665997656</v>
      </c>
      <c r="Y15" s="1167">
        <f t="shared" si="22"/>
        <v>0.99999999999999911</v>
      </c>
      <c r="Z15" s="1161">
        <f t="shared" si="23"/>
        <v>4510.9999999999964</v>
      </c>
      <c r="AA15" s="1161"/>
      <c r="AB15" s="1164">
        <f t="shared" si="18"/>
        <v>16</v>
      </c>
      <c r="AC15" s="1164">
        <f t="shared" si="18"/>
        <v>19</v>
      </c>
      <c r="AD15" s="1166">
        <f t="shared" si="12"/>
        <v>2.7961137635228099</v>
      </c>
      <c r="AE15" s="1166">
        <f t="shared" si="13"/>
        <v>2.7961137635228113</v>
      </c>
      <c r="AF15" s="1167">
        <f t="shared" si="24"/>
        <v>1.0000000000000004</v>
      </c>
      <c r="AG15" s="1161">
        <f t="shared" si="15"/>
        <v>1132.0000000000005</v>
      </c>
    </row>
    <row r="16" spans="1:33" s="1136" customFormat="1">
      <c r="A16" s="1137" t="str">
        <f t="shared" si="0"/>
        <v>CRE 48</v>
      </c>
      <c r="B16" s="330" t="str">
        <f t="shared" si="1"/>
        <v>Manuel's Branch Silt Reduction Structure</v>
      </c>
      <c r="C16" s="325" t="str">
        <f t="shared" si="2"/>
        <v>Tidal Cal.</v>
      </c>
      <c r="D16" s="1176">
        <f t="shared" si="16"/>
        <v>0.13607771999999985</v>
      </c>
      <c r="E16" s="1176">
        <f t="shared" si="3"/>
        <v>0.10886217600000003</v>
      </c>
      <c r="F16" s="325"/>
      <c r="G16" s="1174">
        <f t="shared" si="4"/>
        <v>0.13607771999999999</v>
      </c>
      <c r="H16" s="1174">
        <f t="shared" si="5"/>
        <v>0.10886217599999998</v>
      </c>
      <c r="I16" s="1176"/>
      <c r="J16" s="1247">
        <v>33</v>
      </c>
      <c r="K16" s="326" t="str">
        <f t="shared" si="6"/>
        <v>CRE 48</v>
      </c>
      <c r="L16" s="326" t="str">
        <f t="shared" si="6"/>
        <v>Manuel's Branch Silt Reduction Structure</v>
      </c>
      <c r="M16" s="327" t="str">
        <f t="shared" si="6"/>
        <v>Tidal</v>
      </c>
      <c r="N16" s="327" t="str">
        <f t="shared" si="6"/>
        <v>Local</v>
      </c>
      <c r="O16" s="1263">
        <f t="shared" si="6"/>
        <v>240</v>
      </c>
      <c r="P16" s="1263">
        <f t="shared" si="6"/>
        <v>300</v>
      </c>
      <c r="Q16" s="327">
        <f t="shared" si="6"/>
        <v>1</v>
      </c>
      <c r="R16" s="326" t="str">
        <f t="shared" si="6"/>
        <v>Completed</v>
      </c>
      <c r="S16" s="329"/>
      <c r="T16" s="329">
        <f t="shared" si="7"/>
        <v>2</v>
      </c>
      <c r="U16" s="1164">
        <f t="shared" si="17"/>
        <v>16</v>
      </c>
      <c r="V16" s="1164">
        <f t="shared" si="17"/>
        <v>19</v>
      </c>
      <c r="W16" s="1166">
        <f t="shared" si="8"/>
        <v>16.12034766599767</v>
      </c>
      <c r="X16" s="1166">
        <f t="shared" si="9"/>
        <v>16.120347665997656</v>
      </c>
      <c r="Y16" s="1167">
        <f t="shared" si="22"/>
        <v>0.99999999999999911</v>
      </c>
      <c r="Z16" s="1161">
        <f t="shared" si="23"/>
        <v>299.99999999999972</v>
      </c>
      <c r="AA16" s="1161"/>
      <c r="AB16" s="1164">
        <f t="shared" si="18"/>
        <v>16</v>
      </c>
      <c r="AC16" s="1164">
        <f t="shared" si="18"/>
        <v>19</v>
      </c>
      <c r="AD16" s="1166">
        <f t="shared" si="12"/>
        <v>2.7961137635228099</v>
      </c>
      <c r="AE16" s="1166">
        <f t="shared" si="13"/>
        <v>2.7961137635228113</v>
      </c>
      <c r="AF16" s="1167">
        <f t="shared" si="24"/>
        <v>1.0000000000000004</v>
      </c>
      <c r="AG16" s="1161">
        <f t="shared" si="15"/>
        <v>240.00000000000011</v>
      </c>
    </row>
    <row r="17" spans="1:33" s="1136" customFormat="1">
      <c r="A17" s="1137" t="str">
        <f t="shared" si="0"/>
        <v>CRE 49</v>
      </c>
      <c r="B17" s="330" t="str">
        <f t="shared" si="1"/>
        <v>Manuel's Branch East and West Weirs</v>
      </c>
      <c r="C17" s="325" t="str">
        <f t="shared" si="2"/>
        <v>Tidal Cal.</v>
      </c>
      <c r="D17" s="1176">
        <f t="shared" si="16"/>
        <v>0.41730500799999959</v>
      </c>
      <c r="E17" s="1176">
        <f t="shared" si="3"/>
        <v>0.16147889440000004</v>
      </c>
      <c r="F17" s="325"/>
      <c r="G17" s="1174">
        <f t="shared" si="4"/>
        <v>0.41730500799999992</v>
      </c>
      <c r="H17" s="1174">
        <f t="shared" si="5"/>
        <v>0.16147889439999996</v>
      </c>
      <c r="I17" s="1176"/>
      <c r="J17" s="1247">
        <v>34</v>
      </c>
      <c r="K17" s="326" t="str">
        <f t="shared" si="6"/>
        <v>CRE 49</v>
      </c>
      <c r="L17" s="326" t="str">
        <f t="shared" si="6"/>
        <v>Manuel's Branch East and West Weirs</v>
      </c>
      <c r="M17" s="327" t="str">
        <f t="shared" si="6"/>
        <v>Tidal</v>
      </c>
      <c r="N17" s="327" t="str">
        <f t="shared" si="6"/>
        <v>Local</v>
      </c>
      <c r="O17" s="1263">
        <f t="shared" si="6"/>
        <v>356</v>
      </c>
      <c r="P17" s="1263">
        <f t="shared" si="6"/>
        <v>920</v>
      </c>
      <c r="Q17" s="327">
        <f t="shared" si="6"/>
        <v>1</v>
      </c>
      <c r="R17" s="326" t="str">
        <f t="shared" si="6"/>
        <v>Completed</v>
      </c>
      <c r="S17" s="329"/>
      <c r="T17" s="329">
        <f t="shared" si="7"/>
        <v>2</v>
      </c>
      <c r="U17" s="1164">
        <f t="shared" si="17"/>
        <v>16</v>
      </c>
      <c r="V17" s="1164">
        <f t="shared" si="17"/>
        <v>19</v>
      </c>
      <c r="W17" s="1166">
        <f t="shared" si="8"/>
        <v>16.12034766599767</v>
      </c>
      <c r="X17" s="1166">
        <f t="shared" si="9"/>
        <v>16.120347665997656</v>
      </c>
      <c r="Y17" s="1167">
        <f t="shared" si="22"/>
        <v>0.99999999999999911</v>
      </c>
      <c r="Z17" s="1161">
        <f t="shared" si="23"/>
        <v>919.9999999999992</v>
      </c>
      <c r="AA17" s="1161"/>
      <c r="AB17" s="1164">
        <f t="shared" si="18"/>
        <v>16</v>
      </c>
      <c r="AC17" s="1164">
        <f t="shared" si="18"/>
        <v>19</v>
      </c>
      <c r="AD17" s="1166">
        <f t="shared" si="12"/>
        <v>2.7961137635228099</v>
      </c>
      <c r="AE17" s="1166">
        <f t="shared" si="13"/>
        <v>2.7961137635228113</v>
      </c>
      <c r="AF17" s="1167">
        <f t="shared" si="24"/>
        <v>1.0000000000000004</v>
      </c>
      <c r="AG17" s="1161">
        <f t="shared" si="15"/>
        <v>356.00000000000017</v>
      </c>
    </row>
    <row r="18" spans="1:33" s="1136" customFormat="1">
      <c r="A18" s="1137" t="str">
        <f t="shared" si="0"/>
        <v>CRE 53</v>
      </c>
      <c r="B18" s="330" t="str">
        <f t="shared" si="1"/>
        <v>Caloosahatchee Creeks Preserve Hydrological Restoration</v>
      </c>
      <c r="C18" s="325" t="str">
        <f t="shared" si="2"/>
        <v>Tidal Cal.</v>
      </c>
      <c r="D18" s="1176">
        <f t="shared" si="16"/>
        <v>3.8283198559999962</v>
      </c>
      <c r="E18" s="1176">
        <f t="shared" si="3"/>
        <v>0.95707996400000028</v>
      </c>
      <c r="F18" s="325"/>
      <c r="G18" s="1174">
        <f t="shared" si="4"/>
        <v>3.8283198559999994</v>
      </c>
      <c r="H18" s="1174">
        <f t="shared" si="5"/>
        <v>0.95707996399999984</v>
      </c>
      <c r="I18" s="1176"/>
      <c r="J18" s="1247">
        <v>35</v>
      </c>
      <c r="K18" s="326" t="str">
        <f t="shared" si="6"/>
        <v>CRE 53</v>
      </c>
      <c r="L18" s="326" t="str">
        <f t="shared" si="6"/>
        <v>Caloosahatchee Creeks Preserve Hydrological Restoration</v>
      </c>
      <c r="M18" s="327" t="str">
        <f t="shared" si="6"/>
        <v>Tidal</v>
      </c>
      <c r="N18" s="327" t="str">
        <f t="shared" si="6"/>
        <v>Local</v>
      </c>
      <c r="O18" s="1263">
        <f t="shared" si="6"/>
        <v>2110</v>
      </c>
      <c r="P18" s="1263">
        <f t="shared" si="6"/>
        <v>8440</v>
      </c>
      <c r="Q18" s="327">
        <f t="shared" si="6"/>
        <v>1</v>
      </c>
      <c r="R18" s="326" t="str">
        <f t="shared" si="6"/>
        <v>Completed</v>
      </c>
      <c r="S18" s="329"/>
      <c r="T18" s="329">
        <f t="shared" si="7"/>
        <v>2</v>
      </c>
      <c r="U18" s="1164">
        <f t="shared" si="17"/>
        <v>16</v>
      </c>
      <c r="V18" s="1164">
        <f t="shared" si="17"/>
        <v>19</v>
      </c>
      <c r="W18" s="1166">
        <f t="shared" si="8"/>
        <v>16.12034766599767</v>
      </c>
      <c r="X18" s="1166">
        <f t="shared" si="9"/>
        <v>16.120347665997656</v>
      </c>
      <c r="Y18" s="1167">
        <f t="shared" si="22"/>
        <v>0.99999999999999911</v>
      </c>
      <c r="Z18" s="1161">
        <f t="shared" si="23"/>
        <v>8439.9999999999927</v>
      </c>
      <c r="AA18" s="1161"/>
      <c r="AB18" s="1164">
        <f t="shared" si="18"/>
        <v>16</v>
      </c>
      <c r="AC18" s="1164">
        <f t="shared" si="18"/>
        <v>19</v>
      </c>
      <c r="AD18" s="1166">
        <f t="shared" si="12"/>
        <v>2.7961137635228099</v>
      </c>
      <c r="AE18" s="1166">
        <f t="shared" si="13"/>
        <v>2.7961137635228113</v>
      </c>
      <c r="AF18" s="1167">
        <f t="shared" si="24"/>
        <v>1.0000000000000004</v>
      </c>
      <c r="AG18" s="1161">
        <f t="shared" si="15"/>
        <v>2110.0000000000009</v>
      </c>
    </row>
    <row r="19" spans="1:33" s="1136" customFormat="1">
      <c r="A19" s="1137" t="str">
        <f t="shared" ref="A19" si="25">K19</f>
        <v>CRE 59</v>
      </c>
      <c r="B19" s="330" t="str">
        <f t="shared" ref="B19" si="26">L19</f>
        <v>North Fort Myers Surface Water Restoration</v>
      </c>
      <c r="C19" s="325" t="str">
        <f t="shared" si="2"/>
        <v>Tidal Cal.</v>
      </c>
      <c r="D19" s="1176">
        <f t="shared" si="16"/>
        <v>0.68492452399999926</v>
      </c>
      <c r="E19" s="1176">
        <f t="shared" si="3"/>
        <v>6.1234974000000018E-2</v>
      </c>
      <c r="F19" s="325"/>
      <c r="G19" s="1174">
        <f t="shared" si="4"/>
        <v>0.68492452399999992</v>
      </c>
      <c r="H19" s="1174">
        <f t="shared" si="5"/>
        <v>6.1234973999999991E-2</v>
      </c>
      <c r="I19" s="1176"/>
      <c r="J19" s="1247">
        <v>36</v>
      </c>
      <c r="K19" s="326" t="str">
        <f t="shared" si="6"/>
        <v>CRE 59</v>
      </c>
      <c r="L19" s="326" t="str">
        <f t="shared" si="6"/>
        <v>North Fort Myers Surface Water Restoration</v>
      </c>
      <c r="M19" s="327" t="str">
        <f t="shared" si="6"/>
        <v>Tidal</v>
      </c>
      <c r="N19" s="327" t="str">
        <f t="shared" si="6"/>
        <v>Local</v>
      </c>
      <c r="O19" s="1263">
        <f t="shared" si="6"/>
        <v>135</v>
      </c>
      <c r="P19" s="1263">
        <f t="shared" si="6"/>
        <v>1510</v>
      </c>
      <c r="Q19" s="327">
        <f t="shared" si="6"/>
        <v>1</v>
      </c>
      <c r="R19" s="326" t="str">
        <f t="shared" si="6"/>
        <v>Completed</v>
      </c>
      <c r="S19" s="329"/>
      <c r="T19" s="329">
        <f t="shared" si="7"/>
        <v>2</v>
      </c>
      <c r="U19" s="1164">
        <f t="shared" si="17"/>
        <v>16</v>
      </c>
      <c r="V19" s="1164">
        <f t="shared" si="17"/>
        <v>19</v>
      </c>
      <c r="W19" s="1166">
        <f t="shared" si="8"/>
        <v>16.12034766599767</v>
      </c>
      <c r="X19" s="1166">
        <f t="shared" si="9"/>
        <v>16.120347665997656</v>
      </c>
      <c r="Y19" s="1167">
        <f t="shared" ref="Y19" si="27">IF(W19&gt;0,X19/W19,IF(W19&lt;0,1,0))</f>
        <v>0.99999999999999911</v>
      </c>
      <c r="Z19" s="1161">
        <f t="shared" ref="Z19" si="28">IF(ISNUMBER($P19),$P19*Y19,0)</f>
        <v>1509.9999999999986</v>
      </c>
      <c r="AA19" s="1161"/>
      <c r="AB19" s="1164">
        <f t="shared" si="18"/>
        <v>16</v>
      </c>
      <c r="AC19" s="1164">
        <f t="shared" si="18"/>
        <v>19</v>
      </c>
      <c r="AD19" s="1166">
        <f t="shared" si="12"/>
        <v>2.7961137635228099</v>
      </c>
      <c r="AE19" s="1166">
        <f t="shared" si="13"/>
        <v>2.7961137635228113</v>
      </c>
      <c r="AF19" s="1167">
        <f t="shared" ref="AF19" si="29">IF(AD19&gt;0,AE19/AD19,IF(AD19&lt;0,1,0))</f>
        <v>1.0000000000000004</v>
      </c>
      <c r="AG19" s="1161">
        <f t="shared" si="15"/>
        <v>135.00000000000006</v>
      </c>
    </row>
    <row r="20" spans="1:33" s="1136" customFormat="1">
      <c r="A20" s="1137" t="str">
        <f>K20</f>
        <v>CRE 132</v>
      </c>
      <c r="B20" s="330" t="str">
        <f>L20</f>
        <v>West Arcade Ave. Drainage and Water Quality Improvement Project - Clewiston</v>
      </c>
      <c r="C20" s="325" t="str">
        <f t="shared" si="2"/>
        <v>S-4</v>
      </c>
      <c r="D20" s="1176">
        <f t="shared" si="16"/>
        <v>4.9441571600000022E-3</v>
      </c>
      <c r="E20" s="1176">
        <f t="shared" si="3"/>
        <v>2.8440243479999992E-3</v>
      </c>
      <c r="F20" s="325"/>
      <c r="G20" s="1174">
        <f t="shared" si="4"/>
        <v>4.9441571599999996E-3</v>
      </c>
      <c r="H20" s="1174">
        <f t="shared" si="5"/>
        <v>2.8440243479999992E-3</v>
      </c>
      <c r="I20" s="1176"/>
      <c r="J20" s="1247">
        <v>8</v>
      </c>
      <c r="K20" s="326" t="str">
        <f t="shared" si="6"/>
        <v>CRE 132</v>
      </c>
      <c r="L20" s="326" t="str">
        <f t="shared" si="6"/>
        <v>West Arcade Ave. Drainage and Water Quality Improvement Project - Clewiston</v>
      </c>
      <c r="M20" s="327" t="str">
        <f t="shared" si="6"/>
        <v>S-4</v>
      </c>
      <c r="N20" s="327" t="str">
        <f t="shared" si="6"/>
        <v>Local</v>
      </c>
      <c r="O20" s="1263">
        <f t="shared" si="6"/>
        <v>6.27</v>
      </c>
      <c r="P20" s="1263">
        <f t="shared" si="6"/>
        <v>10.9</v>
      </c>
      <c r="Q20" s="327">
        <f t="shared" si="6"/>
        <v>1</v>
      </c>
      <c r="R20" s="326" t="str">
        <f t="shared" si="6"/>
        <v>Completed</v>
      </c>
      <c r="S20" s="329"/>
      <c r="T20" s="329">
        <f t="shared" si="7"/>
        <v>5</v>
      </c>
      <c r="U20" s="1164">
        <f t="shared" si="17"/>
        <v>16</v>
      </c>
      <c r="V20" s="1164">
        <f t="shared" si="17"/>
        <v>19</v>
      </c>
      <c r="W20" s="1166">
        <f t="shared" si="8"/>
        <v>33.720337616486511</v>
      </c>
      <c r="X20" s="1166">
        <f t="shared" si="9"/>
        <v>33.720337616486532</v>
      </c>
      <c r="Y20" s="1167">
        <f>IF(W20&gt;0,X20/W20,IF(W20&lt;0,1,0))</f>
        <v>1.0000000000000007</v>
      </c>
      <c r="Z20" s="1161">
        <f>IF(ISNUMBER($P20),$P20*Y20,0)</f>
        <v>10.900000000000007</v>
      </c>
      <c r="AA20" s="1161"/>
      <c r="AB20" s="1164">
        <f t="shared" si="18"/>
        <v>16</v>
      </c>
      <c r="AC20" s="1164">
        <f t="shared" si="18"/>
        <v>19</v>
      </c>
      <c r="AD20" s="1166">
        <f t="shared" si="12"/>
        <v>1.6228751720356893</v>
      </c>
      <c r="AE20" s="1166">
        <f t="shared" si="13"/>
        <v>1.6228751720356893</v>
      </c>
      <c r="AF20" s="1167">
        <f>IF(AD20&gt;0,AE20/AD20,IF(AD20&lt;0,1,0))</f>
        <v>1</v>
      </c>
      <c r="AG20" s="1161">
        <f t="shared" si="15"/>
        <v>6.27</v>
      </c>
    </row>
    <row r="21" spans="1:33" s="1136" customFormat="1">
      <c r="A21" s="1137" t="str">
        <f t="shared" ref="A21:A23" si="30">K21</f>
        <v>CRE 133</v>
      </c>
      <c r="B21" s="330" t="str">
        <f t="shared" ref="B21:B23" si="31">L21</f>
        <v>Ventura Ave. Stormwater Improvement and Drainage Upgrade Project - Clewiston</v>
      </c>
      <c r="C21" s="325" t="str">
        <f t="shared" si="2"/>
        <v>S-4</v>
      </c>
      <c r="D21" s="1176">
        <f t="shared" si="16"/>
        <v>2.8258806520000015E-3</v>
      </c>
      <c r="E21" s="1176">
        <f t="shared" si="3"/>
        <v>1.6238607919999998E-3</v>
      </c>
      <c r="F21" s="325"/>
      <c r="G21" s="1174">
        <f t="shared" si="4"/>
        <v>2.8258806519999998E-3</v>
      </c>
      <c r="H21" s="1174">
        <f t="shared" si="5"/>
        <v>1.6238607919999998E-3</v>
      </c>
      <c r="I21" s="1176"/>
      <c r="J21" s="1247">
        <v>9</v>
      </c>
      <c r="K21" s="326" t="str">
        <f t="shared" si="6"/>
        <v>CRE 133</v>
      </c>
      <c r="L21" s="326" t="str">
        <f t="shared" si="6"/>
        <v>Ventura Ave. Stormwater Improvement and Drainage Upgrade Project - Clewiston</v>
      </c>
      <c r="M21" s="327" t="str">
        <f t="shared" si="6"/>
        <v>S-4</v>
      </c>
      <c r="N21" s="327" t="str">
        <f t="shared" si="6"/>
        <v>Local</v>
      </c>
      <c r="O21" s="1263">
        <f t="shared" si="6"/>
        <v>3.58</v>
      </c>
      <c r="P21" s="1263">
        <f t="shared" si="6"/>
        <v>6.23</v>
      </c>
      <c r="Q21" s="327">
        <f t="shared" si="6"/>
        <v>1</v>
      </c>
      <c r="R21" s="326" t="str">
        <f t="shared" si="6"/>
        <v>Completed</v>
      </c>
      <c r="S21" s="329"/>
      <c r="T21" s="329">
        <f t="shared" si="7"/>
        <v>5</v>
      </c>
      <c r="U21" s="1164">
        <f t="shared" si="17"/>
        <v>16</v>
      </c>
      <c r="V21" s="1164">
        <f t="shared" si="17"/>
        <v>19</v>
      </c>
      <c r="W21" s="1166">
        <f t="shared" si="8"/>
        <v>33.720337616486511</v>
      </c>
      <c r="X21" s="1166">
        <f t="shared" si="9"/>
        <v>33.720337616486532</v>
      </c>
      <c r="Y21" s="1167">
        <f t="shared" ref="Y21:Y23" si="32">IF(W21&gt;0,X21/W21,IF(W21&lt;0,1,0))</f>
        <v>1.0000000000000007</v>
      </c>
      <c r="Z21" s="1161">
        <f t="shared" ref="Z21:Z23" si="33">IF(ISNUMBER($P21),$P21*Y21,0)</f>
        <v>6.2300000000000049</v>
      </c>
      <c r="AA21" s="1161"/>
      <c r="AB21" s="1164">
        <f t="shared" si="18"/>
        <v>16</v>
      </c>
      <c r="AC21" s="1164">
        <f t="shared" si="18"/>
        <v>19</v>
      </c>
      <c r="AD21" s="1166">
        <f t="shared" si="12"/>
        <v>1.6228751720356893</v>
      </c>
      <c r="AE21" s="1166">
        <f t="shared" si="13"/>
        <v>1.6228751720356893</v>
      </c>
      <c r="AF21" s="1167">
        <f t="shared" ref="AF21:AF23" si="34">IF(AD21&gt;0,AE21/AD21,IF(AD21&lt;0,1,0))</f>
        <v>1</v>
      </c>
      <c r="AG21" s="1161">
        <f t="shared" si="15"/>
        <v>3.58</v>
      </c>
    </row>
    <row r="22" spans="1:33" s="1136" customFormat="1">
      <c r="A22" s="1137" t="str">
        <f t="shared" si="30"/>
        <v>CRE 137</v>
      </c>
      <c r="B22" s="330" t="str">
        <f t="shared" si="31"/>
        <v>Kickapoo Creek Stormwater System Analysis</v>
      </c>
      <c r="C22" s="325" t="str">
        <f t="shared" si="2"/>
        <v>Tidal Cal.</v>
      </c>
      <c r="D22" s="1176">
        <f t="shared" si="16"/>
        <v>0.33928711519999966</v>
      </c>
      <c r="E22" s="1176">
        <f t="shared" si="3"/>
        <v>4.3408792680000016E-2</v>
      </c>
      <c r="F22" s="325"/>
      <c r="G22" s="1174">
        <f t="shared" si="4"/>
        <v>0.33928711519999993</v>
      </c>
      <c r="H22" s="1174">
        <f t="shared" si="5"/>
        <v>4.3408792679999995E-2</v>
      </c>
      <c r="I22" s="1176"/>
      <c r="J22" s="1247">
        <v>11</v>
      </c>
      <c r="K22" s="326" t="str">
        <f t="shared" si="6"/>
        <v>CRE 137</v>
      </c>
      <c r="L22" s="326" t="str">
        <f t="shared" si="6"/>
        <v>Kickapoo Creek Stormwater System Analysis</v>
      </c>
      <c r="M22" s="327" t="str">
        <f t="shared" si="6"/>
        <v>Tidal</v>
      </c>
      <c r="N22" s="327" t="str">
        <f t="shared" si="6"/>
        <v>Local</v>
      </c>
      <c r="O22" s="1263">
        <f t="shared" si="6"/>
        <v>95.7</v>
      </c>
      <c r="P22" s="1263">
        <f t="shared" si="6"/>
        <v>748</v>
      </c>
      <c r="Q22" s="327">
        <f t="shared" si="6"/>
        <v>1</v>
      </c>
      <c r="R22" s="326" t="str">
        <f t="shared" si="6"/>
        <v>Completed</v>
      </c>
      <c r="S22" s="329"/>
      <c r="T22" s="329">
        <f t="shared" si="7"/>
        <v>2</v>
      </c>
      <c r="U22" s="1164">
        <f t="shared" si="17"/>
        <v>16</v>
      </c>
      <c r="V22" s="1164">
        <f t="shared" si="17"/>
        <v>19</v>
      </c>
      <c r="W22" s="1166">
        <f t="shared" si="8"/>
        <v>16.12034766599767</v>
      </c>
      <c r="X22" s="1166">
        <f t="shared" si="9"/>
        <v>16.120347665997656</v>
      </c>
      <c r="Y22" s="1167">
        <f t="shared" si="32"/>
        <v>0.99999999999999911</v>
      </c>
      <c r="Z22" s="1161">
        <f t="shared" si="33"/>
        <v>747.99999999999932</v>
      </c>
      <c r="AA22" s="1161"/>
      <c r="AB22" s="1164">
        <f t="shared" si="18"/>
        <v>16</v>
      </c>
      <c r="AC22" s="1164">
        <f t="shared" si="18"/>
        <v>19</v>
      </c>
      <c r="AD22" s="1166">
        <f t="shared" si="12"/>
        <v>2.7961137635228099</v>
      </c>
      <c r="AE22" s="1166">
        <f t="shared" si="13"/>
        <v>2.7961137635228113</v>
      </c>
      <c r="AF22" s="1167">
        <f t="shared" si="34"/>
        <v>1.0000000000000004</v>
      </c>
      <c r="AG22" s="1161">
        <f t="shared" si="15"/>
        <v>95.700000000000045</v>
      </c>
    </row>
    <row r="23" spans="1:33" s="1136" customFormat="1">
      <c r="A23" s="1137" t="str">
        <f t="shared" si="30"/>
        <v>CRE 145</v>
      </c>
      <c r="B23" s="330" t="str">
        <f t="shared" si="31"/>
        <v>Popash Creek Preserve Restoration</v>
      </c>
      <c r="C23" s="325" t="str">
        <f t="shared" si="2"/>
        <v>Tidal Cal.</v>
      </c>
      <c r="D23" s="1176">
        <f t="shared" si="16"/>
        <v>1.3970645919999984</v>
      </c>
      <c r="E23" s="1176">
        <f t="shared" si="3"/>
        <v>0.34926614800000011</v>
      </c>
      <c r="F23" s="325"/>
      <c r="G23" s="1174">
        <f t="shared" si="4"/>
        <v>1.3970645919999998</v>
      </c>
      <c r="H23" s="1174">
        <f t="shared" si="5"/>
        <v>0.34926614799999994</v>
      </c>
      <c r="I23" s="1176"/>
      <c r="J23" s="1247">
        <v>19</v>
      </c>
      <c r="K23" s="326" t="str">
        <f t="shared" si="6"/>
        <v>CRE 145</v>
      </c>
      <c r="L23" s="326" t="str">
        <f t="shared" si="6"/>
        <v>Popash Creek Preserve Restoration</v>
      </c>
      <c r="M23" s="327" t="str">
        <f t="shared" si="6"/>
        <v>Tidal</v>
      </c>
      <c r="N23" s="327" t="str">
        <f t="shared" si="6"/>
        <v>Local</v>
      </c>
      <c r="O23" s="1263">
        <f t="shared" si="6"/>
        <v>770</v>
      </c>
      <c r="P23" s="1263">
        <f t="shared" si="6"/>
        <v>3080</v>
      </c>
      <c r="Q23" s="327">
        <f t="shared" si="6"/>
        <v>1</v>
      </c>
      <c r="R23" s="326" t="str">
        <f t="shared" si="6"/>
        <v>Completed</v>
      </c>
      <c r="S23" s="329"/>
      <c r="T23" s="329">
        <f t="shared" si="7"/>
        <v>2</v>
      </c>
      <c r="U23" s="1164">
        <f t="shared" si="17"/>
        <v>16</v>
      </c>
      <c r="V23" s="1164">
        <f t="shared" si="17"/>
        <v>19</v>
      </c>
      <c r="W23" s="1166">
        <f t="shared" si="8"/>
        <v>16.12034766599767</v>
      </c>
      <c r="X23" s="1166">
        <f t="shared" si="9"/>
        <v>16.120347665997656</v>
      </c>
      <c r="Y23" s="1167">
        <f t="shared" si="32"/>
        <v>0.99999999999999911</v>
      </c>
      <c r="Z23" s="1161">
        <f t="shared" si="33"/>
        <v>3079.9999999999973</v>
      </c>
      <c r="AA23" s="1161"/>
      <c r="AB23" s="1164">
        <f t="shared" si="18"/>
        <v>16</v>
      </c>
      <c r="AC23" s="1164">
        <f t="shared" si="18"/>
        <v>19</v>
      </c>
      <c r="AD23" s="1166">
        <f t="shared" si="12"/>
        <v>2.7961137635228099</v>
      </c>
      <c r="AE23" s="1166">
        <f t="shared" si="13"/>
        <v>2.7961137635228113</v>
      </c>
      <c r="AF23" s="1167">
        <f t="shared" si="34"/>
        <v>1.0000000000000004</v>
      </c>
      <c r="AG23" s="1161">
        <f t="shared" si="15"/>
        <v>770.00000000000034</v>
      </c>
    </row>
    <row r="24" spans="1:33" s="437" customFormat="1">
      <c r="A24" s="1138" t="s">
        <v>156</v>
      </c>
      <c r="B24" s="1148"/>
      <c r="C24" s="325"/>
      <c r="D24" s="1175">
        <f>SUM(D11:D23)</f>
        <v>11.304488759811989</v>
      </c>
      <c r="E24" s="1175">
        <f>SUM(E11:E23)</f>
        <v>2.5603249814200009</v>
      </c>
      <c r="F24" s="1234"/>
      <c r="G24" s="1175">
        <f>SUM(G11:G23)</f>
        <v>11.304488759811997</v>
      </c>
      <c r="H24" s="1175">
        <f>SUM(H11:H23)</f>
        <v>2.56032498142</v>
      </c>
      <c r="I24" s="1177"/>
      <c r="J24" s="1248"/>
      <c r="K24" s="1144"/>
      <c r="L24" s="1145"/>
      <c r="M24" s="1145"/>
      <c r="N24" s="1145"/>
      <c r="O24" s="1264"/>
      <c r="P24" s="1264"/>
      <c r="Q24" s="1146"/>
      <c r="S24" s="1145"/>
      <c r="T24" s="1145"/>
      <c r="U24" s="1165"/>
      <c r="V24" s="1165"/>
      <c r="W24" s="1166"/>
      <c r="X24" s="1166"/>
      <c r="Y24" s="1167"/>
      <c r="Z24" s="1161"/>
      <c r="AA24" s="1161"/>
      <c r="AB24" s="1165"/>
      <c r="AC24" s="1165"/>
      <c r="AD24" s="1166"/>
      <c r="AE24" s="1166"/>
      <c r="AF24" s="1167"/>
      <c r="AG24" s="1161"/>
    </row>
    <row r="25" spans="1:33" s="1136" customFormat="1">
      <c r="A25" s="1140"/>
      <c r="B25" s="326"/>
      <c r="C25" s="325"/>
      <c r="D25" s="1176"/>
      <c r="E25" s="1176"/>
      <c r="F25" s="325"/>
      <c r="G25" s="1174"/>
      <c r="H25" s="1174"/>
      <c r="I25" s="1176"/>
      <c r="J25" s="1247"/>
      <c r="K25" s="325"/>
      <c r="L25" s="329"/>
      <c r="M25" s="329"/>
      <c r="N25" s="329"/>
      <c r="O25" s="1265"/>
      <c r="P25" s="1265"/>
      <c r="Q25" s="1129"/>
      <c r="S25" s="329"/>
      <c r="T25" s="329"/>
      <c r="U25" s="436"/>
      <c r="V25" s="436"/>
      <c r="W25" s="1166"/>
      <c r="X25" s="1166"/>
      <c r="Y25" s="1167"/>
      <c r="Z25" s="1161"/>
      <c r="AA25" s="1161"/>
      <c r="AB25" s="436"/>
      <c r="AC25" s="436"/>
      <c r="AD25" s="1166"/>
      <c r="AE25" s="1166"/>
      <c r="AF25" s="1167"/>
      <c r="AG25" s="1161"/>
    </row>
    <row r="26" spans="1:33" s="1136" customFormat="1">
      <c r="A26" s="1141" t="s">
        <v>1209</v>
      </c>
      <c r="B26" s="326"/>
      <c r="C26" s="325"/>
      <c r="D26" s="1176"/>
      <c r="E26" s="1176"/>
      <c r="F26" s="325"/>
      <c r="G26" s="1174"/>
      <c r="H26" s="1174"/>
      <c r="I26" s="1176"/>
      <c r="J26" s="1247"/>
      <c r="K26" s="325"/>
      <c r="L26" s="329"/>
      <c r="M26" s="329"/>
      <c r="N26" s="329"/>
      <c r="O26" s="1265"/>
      <c r="P26" s="1265"/>
      <c r="Q26" s="1129"/>
      <c r="S26" s="329"/>
      <c r="T26" s="329"/>
      <c r="U26" s="436"/>
      <c r="V26" s="436"/>
      <c r="W26" s="1166"/>
      <c r="X26" s="1166"/>
      <c r="Y26" s="1167"/>
      <c r="Z26" s="1161"/>
      <c r="AA26" s="1161"/>
      <c r="AB26" s="436"/>
      <c r="AC26" s="436"/>
      <c r="AD26" s="1166"/>
      <c r="AE26" s="1166"/>
      <c r="AF26" s="1167"/>
      <c r="AG26" s="1161"/>
    </row>
    <row r="27" spans="1:33" s="1136" customFormat="1">
      <c r="A27" s="337" t="s">
        <v>393</v>
      </c>
      <c r="B27" s="326"/>
      <c r="C27" s="325"/>
      <c r="D27" s="1176"/>
      <c r="E27" s="1176"/>
      <c r="F27" s="325"/>
      <c r="G27" s="1174"/>
      <c r="H27" s="1174"/>
      <c r="I27" s="1176"/>
      <c r="J27" s="1247"/>
      <c r="K27" s="325"/>
      <c r="L27" s="329"/>
      <c r="M27" s="329"/>
      <c r="N27" s="329"/>
      <c r="O27" s="1265"/>
      <c r="P27" s="1265"/>
      <c r="Q27" s="1129"/>
      <c r="S27" s="329"/>
      <c r="T27" s="329"/>
      <c r="U27" s="1253">
        <v>31</v>
      </c>
      <c r="V27" s="1253">
        <v>34</v>
      </c>
      <c r="W27" s="1166"/>
      <c r="X27" s="1166"/>
      <c r="Y27" s="1167"/>
      <c r="Z27" s="1161"/>
      <c r="AA27" s="1161"/>
      <c r="AB27" s="1253">
        <v>31</v>
      </c>
      <c r="AC27" s="1253">
        <v>34</v>
      </c>
      <c r="AD27" s="1166"/>
      <c r="AE27" s="1166"/>
      <c r="AF27" s="1167"/>
      <c r="AG27" s="1161"/>
    </row>
    <row r="28" spans="1:33" s="1136" customFormat="1">
      <c r="A28" s="1137" t="str">
        <f t="shared" ref="A28" si="35">K28</f>
        <v>CRE 29-2</v>
      </c>
      <c r="B28" s="330" t="str">
        <f t="shared" ref="B28" si="36">L28</f>
        <v>Lehigh Acres Centralized WWT and Stormwater Retrofit, Phase II</v>
      </c>
      <c r="C28" s="325" t="str">
        <f t="shared" ref="C28:C35" si="37">VLOOKUP($T28,subwatgeog,2,FALSE)</f>
        <v>Tidal Cal.</v>
      </c>
      <c r="D28" s="1176" t="str">
        <f t="shared" ref="D28:D35" si="38">IF(ISNUMBER($P28),$Z28/lb_mton,$P28)</f>
        <v>TBD</v>
      </c>
      <c r="E28" s="1176" t="str">
        <f t="shared" ref="E28:E35" si="39">IF(ISNUMBER($O28),$AG28/lb_mton,$O28)</f>
        <v>TBD</v>
      </c>
      <c r="F28" s="325"/>
      <c r="G28" s="1174" t="str">
        <f t="shared" ref="G28:G35" si="40">IF(ISNUMBER($P28),$P28/lb_mton,$P28)</f>
        <v>TBD</v>
      </c>
      <c r="H28" s="1174" t="str">
        <f t="shared" ref="H28:H35" si="41">IF(ISNUMBER($O28),$O28/lb_mton,$O28)</f>
        <v>TBD</v>
      </c>
      <c r="I28" s="1176"/>
      <c r="J28" s="1247">
        <v>28</v>
      </c>
      <c r="K28" s="326" t="str">
        <f t="shared" ref="K28:R35" si="42">VLOOKUP($J28,MM_List,K$9,FALSE)</f>
        <v>CRE 29-2</v>
      </c>
      <c r="L28" s="326" t="str">
        <f t="shared" si="42"/>
        <v>Lehigh Acres Centralized WWT and Stormwater Retrofit, Phase II</v>
      </c>
      <c r="M28" s="327" t="str">
        <f t="shared" si="42"/>
        <v>Tidal</v>
      </c>
      <c r="N28" s="327" t="str">
        <f t="shared" si="42"/>
        <v>Local</v>
      </c>
      <c r="O28" s="1263" t="str">
        <f t="shared" si="42"/>
        <v>TBD</v>
      </c>
      <c r="P28" s="1263" t="str">
        <f t="shared" si="42"/>
        <v>TBD</v>
      </c>
      <c r="Q28" s="327">
        <f t="shared" si="42"/>
        <v>2</v>
      </c>
      <c r="R28" s="326" t="str">
        <f t="shared" si="42"/>
        <v>Near-Term</v>
      </c>
      <c r="S28" s="329"/>
      <c r="T28" s="329">
        <f t="shared" ref="T28:T35" si="43">VLOOKUP($M28,subwatindex,3,FALSE)</f>
        <v>2</v>
      </c>
      <c r="U28" s="1164">
        <f>U$27</f>
        <v>31</v>
      </c>
      <c r="V28" s="1164">
        <f>V$27</f>
        <v>34</v>
      </c>
      <c r="W28" s="1166">
        <f t="shared" ref="W28:X35" si="44">VLOOKUP(U28,loads_summ,W$9+$T28,FALSE)</f>
        <v>24.824757888751655</v>
      </c>
      <c r="X28" s="1166">
        <f t="shared" si="44"/>
        <v>24.824757888751492</v>
      </c>
      <c r="Y28" s="1167">
        <f t="shared" ref="Y28" si="45">IF(W28&gt;0,X28/W28,IF(W28&lt;0,1,0))</f>
        <v>0.99999999999999345</v>
      </c>
      <c r="Z28" s="1161">
        <f t="shared" ref="Z28" si="46">IF(ISNUMBER($P28),$P28*Y28,0)</f>
        <v>0</v>
      </c>
      <c r="AA28" s="1161"/>
      <c r="AB28" s="1164">
        <f>AB$27</f>
        <v>31</v>
      </c>
      <c r="AC28" s="1164">
        <f>AC$27</f>
        <v>34</v>
      </c>
      <c r="AD28" s="1166">
        <f t="shared" ref="AD28:AE35" si="47">VLOOKUP(AB28,loads_summ,AD$9+$T28,FALSE)</f>
        <v>4.6600942473857501</v>
      </c>
      <c r="AE28" s="1166">
        <f t="shared" si="47"/>
        <v>4.660094247385743</v>
      </c>
      <c r="AF28" s="1167">
        <f t="shared" ref="AF28" si="48">IF(AD28&gt;0,AE28/AD28,IF(AD28&lt;0,1,0))</f>
        <v>0.99999999999999845</v>
      </c>
      <c r="AG28" s="1161">
        <f t="shared" ref="AG28:AG35" si="49">IF(ISNUMBER($O28),$O28*AF28,0)</f>
        <v>0</v>
      </c>
    </row>
    <row r="29" spans="1:33" s="1136" customFormat="1">
      <c r="A29" s="1137" t="str">
        <f>K29</f>
        <v>CRE 122-1</v>
      </c>
      <c r="B29" s="330" t="str">
        <f>L29</f>
        <v>Mirror Lakes Stormwater Retention Facility, Phase I</v>
      </c>
      <c r="C29" s="325" t="str">
        <f t="shared" si="37"/>
        <v>Tidal Cal.</v>
      </c>
      <c r="D29" s="1176">
        <f t="shared" si="38"/>
        <v>0.61552488679999584</v>
      </c>
      <c r="E29" s="1176">
        <f t="shared" si="39"/>
        <v>6.1688566399999901E-2</v>
      </c>
      <c r="F29" s="325"/>
      <c r="G29" s="1174">
        <f t="shared" si="40"/>
        <v>0.61552488679999995</v>
      </c>
      <c r="H29" s="1174">
        <f t="shared" si="41"/>
        <v>6.1688566399999992E-2</v>
      </c>
      <c r="I29" s="1178"/>
      <c r="J29" s="1249">
        <v>2</v>
      </c>
      <c r="K29" s="326" t="str">
        <f t="shared" si="42"/>
        <v>CRE 122-1</v>
      </c>
      <c r="L29" s="326" t="str">
        <f t="shared" si="42"/>
        <v>Mirror Lakes Stormwater Retention Facility, Phase I</v>
      </c>
      <c r="M29" s="327" t="str">
        <f t="shared" si="42"/>
        <v>Tidal</v>
      </c>
      <c r="N29" s="327" t="str">
        <f t="shared" si="42"/>
        <v>Local</v>
      </c>
      <c r="O29" s="1263">
        <f t="shared" si="42"/>
        <v>136</v>
      </c>
      <c r="P29" s="1263">
        <f t="shared" si="42"/>
        <v>1357</v>
      </c>
      <c r="Q29" s="327">
        <f t="shared" si="42"/>
        <v>2</v>
      </c>
      <c r="R29" s="326" t="str">
        <f t="shared" si="42"/>
        <v>Near-Term</v>
      </c>
      <c r="S29" s="329"/>
      <c r="T29" s="329">
        <f t="shared" si="43"/>
        <v>2</v>
      </c>
      <c r="U29" s="1164">
        <f t="shared" ref="U29:V35" si="50">U$27</f>
        <v>31</v>
      </c>
      <c r="V29" s="1164">
        <f t="shared" si="50"/>
        <v>34</v>
      </c>
      <c r="W29" s="1166">
        <f t="shared" si="44"/>
        <v>24.824757888751655</v>
      </c>
      <c r="X29" s="1166">
        <f t="shared" si="44"/>
        <v>24.824757888751492</v>
      </c>
      <c r="Y29" s="1167">
        <f t="shared" ref="Y29:Y35" si="51">IF(W29&gt;0,X29/W29,IF(W29&lt;0,1,0))</f>
        <v>0.99999999999999345</v>
      </c>
      <c r="Z29" s="1161">
        <f t="shared" ref="Z29:Z35" si="52">IF(ISNUMBER($P29),$P29*Y29,0)</f>
        <v>1356.9999999999911</v>
      </c>
      <c r="AA29" s="1161"/>
      <c r="AB29" s="1164">
        <f t="shared" ref="AB29:AC35" si="53">AB$27</f>
        <v>31</v>
      </c>
      <c r="AC29" s="1164">
        <f t="shared" si="53"/>
        <v>34</v>
      </c>
      <c r="AD29" s="1166">
        <f t="shared" si="47"/>
        <v>4.6600942473857501</v>
      </c>
      <c r="AE29" s="1166">
        <f t="shared" si="47"/>
        <v>4.660094247385743</v>
      </c>
      <c r="AF29" s="1167">
        <f t="shared" ref="AF29:AF35" si="54">IF(AD29&gt;0,AE29/AD29,IF(AD29&lt;0,1,0))</f>
        <v>0.99999999999999845</v>
      </c>
      <c r="AG29" s="1161">
        <f t="shared" si="49"/>
        <v>135.9999999999998</v>
      </c>
    </row>
    <row r="30" spans="1:33" s="1136" customFormat="1">
      <c r="A30" s="1137" t="str">
        <f t="shared" ref="A30:A35" si="55">K30</f>
        <v>CRE 138</v>
      </c>
      <c r="B30" s="330" t="str">
        <f t="shared" ref="B30:B35" si="56">L30</f>
        <v>Pollywog Creek</v>
      </c>
      <c r="C30" s="325" t="str">
        <f t="shared" si="37"/>
        <v>West Cal.</v>
      </c>
      <c r="D30" s="1176">
        <f t="shared" si="38"/>
        <v>8.9811295199999953E-3</v>
      </c>
      <c r="E30" s="1176">
        <f t="shared" si="39"/>
        <v>5.715264239999995E-3</v>
      </c>
      <c r="F30" s="325"/>
      <c r="G30" s="1174">
        <f t="shared" si="40"/>
        <v>8.9811295199999988E-3</v>
      </c>
      <c r="H30" s="1174">
        <f t="shared" si="41"/>
        <v>5.7152642399999985E-3</v>
      </c>
      <c r="I30" s="1176"/>
      <c r="J30" s="1247">
        <v>12</v>
      </c>
      <c r="K30" s="326" t="str">
        <f t="shared" si="42"/>
        <v>CRE 138</v>
      </c>
      <c r="L30" s="326" t="str">
        <f t="shared" si="42"/>
        <v>Pollywog Creek</v>
      </c>
      <c r="M30" s="327" t="str">
        <f t="shared" si="42"/>
        <v>West</v>
      </c>
      <c r="N30" s="327" t="str">
        <f t="shared" si="42"/>
        <v>Local</v>
      </c>
      <c r="O30" s="1263">
        <f t="shared" si="42"/>
        <v>12.6</v>
      </c>
      <c r="P30" s="1263">
        <f t="shared" si="42"/>
        <v>19.8</v>
      </c>
      <c r="Q30" s="327">
        <f t="shared" si="42"/>
        <v>2</v>
      </c>
      <c r="R30" s="326" t="str">
        <f t="shared" si="42"/>
        <v>Near-Term</v>
      </c>
      <c r="S30" s="329"/>
      <c r="T30" s="329">
        <f t="shared" si="43"/>
        <v>3</v>
      </c>
      <c r="U30" s="1164">
        <f t="shared" si="50"/>
        <v>31</v>
      </c>
      <c r="V30" s="1164">
        <f t="shared" si="50"/>
        <v>34</v>
      </c>
      <c r="W30" s="1166">
        <f t="shared" si="44"/>
        <v>42.459909933253144</v>
      </c>
      <c r="X30" s="1166">
        <f t="shared" si="44"/>
        <v>42.45990993325313</v>
      </c>
      <c r="Y30" s="1167">
        <f t="shared" si="51"/>
        <v>0.99999999999999967</v>
      </c>
      <c r="Z30" s="1161">
        <f t="shared" si="52"/>
        <v>19.799999999999994</v>
      </c>
      <c r="AA30" s="1161"/>
      <c r="AB30" s="1164">
        <f t="shared" si="53"/>
        <v>31</v>
      </c>
      <c r="AC30" s="1164">
        <f t="shared" si="53"/>
        <v>34</v>
      </c>
      <c r="AD30" s="1166">
        <f t="shared" si="47"/>
        <v>6.2540685313659923</v>
      </c>
      <c r="AE30" s="1166">
        <f t="shared" si="47"/>
        <v>6.2540685313659878</v>
      </c>
      <c r="AF30" s="1167">
        <f t="shared" si="54"/>
        <v>0.99999999999999933</v>
      </c>
      <c r="AG30" s="1161">
        <f t="shared" si="49"/>
        <v>12.599999999999991</v>
      </c>
    </row>
    <row r="31" spans="1:33" s="1136" customFormat="1">
      <c r="A31" s="1137" t="str">
        <f t="shared" si="55"/>
        <v>CRE 139</v>
      </c>
      <c r="B31" s="330" t="str">
        <f t="shared" si="56"/>
        <v>Ford Canal Filter Marsh (a.k.a. Ford Street Preserve)</v>
      </c>
      <c r="C31" s="325" t="str">
        <f t="shared" si="37"/>
        <v>Tidal Cal.</v>
      </c>
      <c r="D31" s="1176">
        <f t="shared" si="38"/>
        <v>0.54022854839999646</v>
      </c>
      <c r="E31" s="1176">
        <f t="shared" si="39"/>
        <v>0.20683813439999965</v>
      </c>
      <c r="F31" s="325"/>
      <c r="G31" s="1174">
        <f t="shared" si="40"/>
        <v>0.5402285483999999</v>
      </c>
      <c r="H31" s="1174">
        <f t="shared" si="41"/>
        <v>0.20683813439999996</v>
      </c>
      <c r="I31" s="1176"/>
      <c r="J31" s="1247">
        <v>13</v>
      </c>
      <c r="K31" s="326" t="str">
        <f t="shared" si="42"/>
        <v>CRE 139</v>
      </c>
      <c r="L31" s="326" t="str">
        <f t="shared" si="42"/>
        <v>Ford Canal Filter Marsh (a.k.a. Ford Street Preserve)</v>
      </c>
      <c r="M31" s="327" t="str">
        <f t="shared" si="42"/>
        <v>Tidal</v>
      </c>
      <c r="N31" s="327" t="str">
        <f t="shared" si="42"/>
        <v>Local</v>
      </c>
      <c r="O31" s="1263">
        <f t="shared" si="42"/>
        <v>456</v>
      </c>
      <c r="P31" s="1263">
        <f t="shared" si="42"/>
        <v>1191</v>
      </c>
      <c r="Q31" s="327">
        <f t="shared" si="42"/>
        <v>2</v>
      </c>
      <c r="R31" s="326" t="str">
        <f t="shared" si="42"/>
        <v>Near-Term</v>
      </c>
      <c r="S31" s="329"/>
      <c r="T31" s="329">
        <f t="shared" si="43"/>
        <v>2</v>
      </c>
      <c r="U31" s="1164">
        <f t="shared" si="50"/>
        <v>31</v>
      </c>
      <c r="V31" s="1164">
        <f t="shared" si="50"/>
        <v>34</v>
      </c>
      <c r="W31" s="1166">
        <f t="shared" si="44"/>
        <v>24.824757888751655</v>
      </c>
      <c r="X31" s="1166">
        <f t="shared" si="44"/>
        <v>24.824757888751492</v>
      </c>
      <c r="Y31" s="1167">
        <f t="shared" si="51"/>
        <v>0.99999999999999345</v>
      </c>
      <c r="Z31" s="1161">
        <f t="shared" si="52"/>
        <v>1190.9999999999923</v>
      </c>
      <c r="AA31" s="1161"/>
      <c r="AB31" s="1164">
        <f t="shared" si="53"/>
        <v>31</v>
      </c>
      <c r="AC31" s="1164">
        <f t="shared" si="53"/>
        <v>34</v>
      </c>
      <c r="AD31" s="1166">
        <f t="shared" si="47"/>
        <v>4.6600942473857501</v>
      </c>
      <c r="AE31" s="1166">
        <f t="shared" si="47"/>
        <v>4.660094247385743</v>
      </c>
      <c r="AF31" s="1167">
        <f t="shared" si="54"/>
        <v>0.99999999999999845</v>
      </c>
      <c r="AG31" s="1161">
        <f t="shared" si="49"/>
        <v>455.99999999999932</v>
      </c>
    </row>
    <row r="32" spans="1:33" s="1136" customFormat="1">
      <c r="A32" s="1137" t="str">
        <f t="shared" si="55"/>
        <v>CRE 140</v>
      </c>
      <c r="B32" s="330" t="str">
        <f t="shared" si="56"/>
        <v>Fichters Creek Restoration</v>
      </c>
      <c r="C32" s="325" t="str">
        <f t="shared" si="37"/>
        <v>West Cal.</v>
      </c>
      <c r="D32" s="1176">
        <f t="shared" si="38"/>
        <v>9.0264887599999954E-2</v>
      </c>
      <c r="E32" s="1176">
        <f t="shared" si="39"/>
        <v>2.267961999999998E-2</v>
      </c>
      <c r="F32" s="325"/>
      <c r="G32" s="1174">
        <f t="shared" si="40"/>
        <v>9.0264887599999982E-2</v>
      </c>
      <c r="H32" s="1174">
        <f t="shared" si="41"/>
        <v>2.2679619999999998E-2</v>
      </c>
      <c r="I32" s="1176"/>
      <c r="J32" s="1247">
        <v>14</v>
      </c>
      <c r="K32" s="326" t="str">
        <f t="shared" si="42"/>
        <v>CRE 140</v>
      </c>
      <c r="L32" s="326" t="str">
        <f t="shared" si="42"/>
        <v>Fichters Creek Restoration</v>
      </c>
      <c r="M32" s="327" t="str">
        <f t="shared" si="42"/>
        <v>West</v>
      </c>
      <c r="N32" s="327" t="str">
        <f t="shared" si="42"/>
        <v>Local</v>
      </c>
      <c r="O32" s="1263">
        <f t="shared" si="42"/>
        <v>50</v>
      </c>
      <c r="P32" s="1263">
        <f t="shared" si="42"/>
        <v>199</v>
      </c>
      <c r="Q32" s="327">
        <f t="shared" si="42"/>
        <v>2</v>
      </c>
      <c r="R32" s="326" t="str">
        <f t="shared" si="42"/>
        <v>Near-Term</v>
      </c>
      <c r="S32" s="329"/>
      <c r="T32" s="329">
        <f t="shared" si="43"/>
        <v>3</v>
      </c>
      <c r="U32" s="1164">
        <f t="shared" si="50"/>
        <v>31</v>
      </c>
      <c r="V32" s="1164">
        <f t="shared" si="50"/>
        <v>34</v>
      </c>
      <c r="W32" s="1166">
        <f t="shared" si="44"/>
        <v>42.459909933253144</v>
      </c>
      <c r="X32" s="1166">
        <f t="shared" si="44"/>
        <v>42.45990993325313</v>
      </c>
      <c r="Y32" s="1167">
        <f t="shared" si="51"/>
        <v>0.99999999999999967</v>
      </c>
      <c r="Z32" s="1161">
        <f t="shared" si="52"/>
        <v>198.99999999999994</v>
      </c>
      <c r="AA32" s="1161"/>
      <c r="AB32" s="1164">
        <f t="shared" si="53"/>
        <v>31</v>
      </c>
      <c r="AC32" s="1164">
        <f t="shared" si="53"/>
        <v>34</v>
      </c>
      <c r="AD32" s="1166">
        <f t="shared" si="47"/>
        <v>6.2540685313659923</v>
      </c>
      <c r="AE32" s="1166">
        <f t="shared" si="47"/>
        <v>6.2540685313659878</v>
      </c>
      <c r="AF32" s="1167">
        <f t="shared" si="54"/>
        <v>0.99999999999999933</v>
      </c>
      <c r="AG32" s="1161">
        <f t="shared" si="49"/>
        <v>49.999999999999964</v>
      </c>
    </row>
    <row r="33" spans="1:33" s="1136" customFormat="1">
      <c r="A33" s="1137" t="str">
        <f t="shared" si="55"/>
        <v>CRE 143</v>
      </c>
      <c r="B33" s="330" t="str">
        <f t="shared" si="56"/>
        <v>Greenbriar Preserve</v>
      </c>
      <c r="C33" s="325" t="str">
        <f t="shared" si="37"/>
        <v>West Cal.</v>
      </c>
      <c r="D33" s="1176">
        <f t="shared" si="38"/>
        <v>1.4514956799999994</v>
      </c>
      <c r="E33" s="1176">
        <f t="shared" si="39"/>
        <v>0.36287391999999968</v>
      </c>
      <c r="F33" s="325"/>
      <c r="G33" s="1174">
        <f t="shared" si="40"/>
        <v>1.4514956799999998</v>
      </c>
      <c r="H33" s="1174">
        <f t="shared" si="41"/>
        <v>0.36287391999999996</v>
      </c>
      <c r="I33" s="1176"/>
      <c r="J33" s="1247">
        <v>17</v>
      </c>
      <c r="K33" s="326" t="str">
        <f t="shared" si="42"/>
        <v>CRE 143</v>
      </c>
      <c r="L33" s="326" t="str">
        <f t="shared" si="42"/>
        <v>Greenbriar Preserve</v>
      </c>
      <c r="M33" s="327" t="str">
        <f t="shared" si="42"/>
        <v>West</v>
      </c>
      <c r="N33" s="327" t="str">
        <f t="shared" si="42"/>
        <v>Local</v>
      </c>
      <c r="O33" s="1263">
        <f t="shared" si="42"/>
        <v>800</v>
      </c>
      <c r="P33" s="1263">
        <f t="shared" si="42"/>
        <v>3200</v>
      </c>
      <c r="Q33" s="327">
        <f t="shared" si="42"/>
        <v>2</v>
      </c>
      <c r="R33" s="326" t="str">
        <f t="shared" si="42"/>
        <v>Near-Term</v>
      </c>
      <c r="S33" s="329"/>
      <c r="T33" s="329">
        <f t="shared" si="43"/>
        <v>3</v>
      </c>
      <c r="U33" s="1164">
        <f t="shared" si="50"/>
        <v>31</v>
      </c>
      <c r="V33" s="1164">
        <f t="shared" si="50"/>
        <v>34</v>
      </c>
      <c r="W33" s="1166">
        <f t="shared" si="44"/>
        <v>42.459909933253144</v>
      </c>
      <c r="X33" s="1166">
        <f t="shared" si="44"/>
        <v>42.45990993325313</v>
      </c>
      <c r="Y33" s="1167">
        <f t="shared" si="51"/>
        <v>0.99999999999999967</v>
      </c>
      <c r="Z33" s="1161">
        <f t="shared" si="52"/>
        <v>3199.9999999999991</v>
      </c>
      <c r="AA33" s="1161"/>
      <c r="AB33" s="1164">
        <f t="shared" si="53"/>
        <v>31</v>
      </c>
      <c r="AC33" s="1164">
        <f t="shared" si="53"/>
        <v>34</v>
      </c>
      <c r="AD33" s="1166">
        <f t="shared" si="47"/>
        <v>6.2540685313659923</v>
      </c>
      <c r="AE33" s="1166">
        <f t="shared" si="47"/>
        <v>6.2540685313659878</v>
      </c>
      <c r="AF33" s="1167">
        <f t="shared" si="54"/>
        <v>0.99999999999999933</v>
      </c>
      <c r="AG33" s="1161">
        <f t="shared" si="49"/>
        <v>799.99999999999943</v>
      </c>
    </row>
    <row r="34" spans="1:33" s="1136" customFormat="1">
      <c r="A34" s="1137" t="str">
        <f t="shared" si="55"/>
        <v>CRE 146</v>
      </c>
      <c r="B34" s="330" t="str">
        <f t="shared" si="56"/>
        <v>Powell Creek Filter Marsh</v>
      </c>
      <c r="C34" s="325" t="str">
        <f t="shared" si="37"/>
        <v>Tidal Cal.</v>
      </c>
      <c r="D34" s="1176">
        <f t="shared" si="38"/>
        <v>0.27306262479999815</v>
      </c>
      <c r="E34" s="1176">
        <f t="shared" si="39"/>
        <v>7.6203523199999873E-2</v>
      </c>
      <c r="F34" s="325"/>
      <c r="G34" s="1174">
        <f t="shared" si="40"/>
        <v>0.27306262479999993</v>
      </c>
      <c r="H34" s="1174">
        <f t="shared" si="41"/>
        <v>7.6203523199999984E-2</v>
      </c>
      <c r="I34" s="1176"/>
      <c r="J34" s="1247">
        <v>20</v>
      </c>
      <c r="K34" s="326" t="str">
        <f t="shared" si="42"/>
        <v>CRE 146</v>
      </c>
      <c r="L34" s="326" t="str">
        <f t="shared" si="42"/>
        <v>Powell Creek Filter Marsh</v>
      </c>
      <c r="M34" s="327" t="str">
        <f t="shared" si="42"/>
        <v>Tidal</v>
      </c>
      <c r="N34" s="327" t="str">
        <f t="shared" si="42"/>
        <v>Local</v>
      </c>
      <c r="O34" s="1263">
        <f t="shared" si="42"/>
        <v>168</v>
      </c>
      <c r="P34" s="1263">
        <f t="shared" si="42"/>
        <v>602</v>
      </c>
      <c r="Q34" s="327">
        <f t="shared" si="42"/>
        <v>2</v>
      </c>
      <c r="R34" s="326" t="str">
        <f t="shared" si="42"/>
        <v>Near-Term</v>
      </c>
      <c r="S34" s="329"/>
      <c r="T34" s="329">
        <f t="shared" si="43"/>
        <v>2</v>
      </c>
      <c r="U34" s="1164">
        <f t="shared" si="50"/>
        <v>31</v>
      </c>
      <c r="V34" s="1164">
        <f t="shared" si="50"/>
        <v>34</v>
      </c>
      <c r="W34" s="1166">
        <f t="shared" si="44"/>
        <v>24.824757888751655</v>
      </c>
      <c r="X34" s="1166">
        <f t="shared" si="44"/>
        <v>24.824757888751492</v>
      </c>
      <c r="Y34" s="1167">
        <f t="shared" si="51"/>
        <v>0.99999999999999345</v>
      </c>
      <c r="Z34" s="1161">
        <f t="shared" si="52"/>
        <v>601.99999999999602</v>
      </c>
      <c r="AA34" s="1161"/>
      <c r="AB34" s="1164">
        <f t="shared" si="53"/>
        <v>31</v>
      </c>
      <c r="AC34" s="1164">
        <f t="shared" si="53"/>
        <v>34</v>
      </c>
      <c r="AD34" s="1166">
        <f t="shared" si="47"/>
        <v>4.6600942473857501</v>
      </c>
      <c r="AE34" s="1166">
        <f t="shared" si="47"/>
        <v>4.660094247385743</v>
      </c>
      <c r="AF34" s="1167">
        <f t="shared" si="54"/>
        <v>0.99999999999999845</v>
      </c>
      <c r="AG34" s="1161">
        <f t="shared" si="49"/>
        <v>167.99999999999974</v>
      </c>
    </row>
    <row r="35" spans="1:33" s="1136" customFormat="1">
      <c r="A35" s="1137" t="str">
        <f t="shared" si="55"/>
        <v>CRE 147</v>
      </c>
      <c r="B35" s="330" t="str">
        <f t="shared" si="56"/>
        <v>Nalle Grade Stormwater Park</v>
      </c>
      <c r="C35" s="325" t="str">
        <f t="shared" si="37"/>
        <v>Tidal Cal.</v>
      </c>
      <c r="D35" s="1176">
        <f t="shared" si="38"/>
        <v>0.54431087999999628</v>
      </c>
      <c r="E35" s="1176">
        <f t="shared" si="39"/>
        <v>0.13607771999999976</v>
      </c>
      <c r="F35" s="325"/>
      <c r="G35" s="1174">
        <f t="shared" si="40"/>
        <v>0.54431087999999994</v>
      </c>
      <c r="H35" s="1174">
        <f t="shared" si="41"/>
        <v>0.13607771999999999</v>
      </c>
      <c r="I35" s="1176"/>
      <c r="J35" s="1247">
        <v>21</v>
      </c>
      <c r="K35" s="326" t="str">
        <f t="shared" si="42"/>
        <v>CRE 147</v>
      </c>
      <c r="L35" s="326" t="str">
        <f t="shared" si="42"/>
        <v>Nalle Grade Stormwater Park</v>
      </c>
      <c r="M35" s="327" t="str">
        <f t="shared" si="42"/>
        <v>Tidal</v>
      </c>
      <c r="N35" s="327" t="str">
        <f t="shared" si="42"/>
        <v>Local</v>
      </c>
      <c r="O35" s="1263">
        <f t="shared" si="42"/>
        <v>300</v>
      </c>
      <c r="P35" s="1263">
        <f t="shared" si="42"/>
        <v>1200</v>
      </c>
      <c r="Q35" s="327">
        <f t="shared" si="42"/>
        <v>2</v>
      </c>
      <c r="R35" s="326" t="str">
        <f t="shared" si="42"/>
        <v>Near-Term</v>
      </c>
      <c r="S35" s="329"/>
      <c r="T35" s="329">
        <f t="shared" si="43"/>
        <v>2</v>
      </c>
      <c r="U35" s="1164">
        <f t="shared" si="50"/>
        <v>31</v>
      </c>
      <c r="V35" s="1164">
        <f t="shared" si="50"/>
        <v>34</v>
      </c>
      <c r="W35" s="1166">
        <f t="shared" si="44"/>
        <v>24.824757888751655</v>
      </c>
      <c r="X35" s="1166">
        <f t="shared" si="44"/>
        <v>24.824757888751492</v>
      </c>
      <c r="Y35" s="1167">
        <f t="shared" si="51"/>
        <v>0.99999999999999345</v>
      </c>
      <c r="Z35" s="1161">
        <f t="shared" si="52"/>
        <v>1199.999999999992</v>
      </c>
      <c r="AA35" s="1161"/>
      <c r="AB35" s="1164">
        <f t="shared" si="53"/>
        <v>31</v>
      </c>
      <c r="AC35" s="1164">
        <f t="shared" si="53"/>
        <v>34</v>
      </c>
      <c r="AD35" s="1166">
        <f t="shared" si="47"/>
        <v>4.6600942473857501</v>
      </c>
      <c r="AE35" s="1166">
        <f t="shared" si="47"/>
        <v>4.660094247385743</v>
      </c>
      <c r="AF35" s="1167">
        <f t="shared" si="54"/>
        <v>0.99999999999999845</v>
      </c>
      <c r="AG35" s="1161">
        <f t="shared" si="49"/>
        <v>299.99999999999955</v>
      </c>
    </row>
    <row r="36" spans="1:33" s="437" customFormat="1">
      <c r="A36" s="1143" t="s">
        <v>156</v>
      </c>
      <c r="B36" s="1144"/>
      <c r="C36" s="325"/>
      <c r="D36" s="1175">
        <f>SUM(D28:D35)</f>
        <v>3.5238686371199863</v>
      </c>
      <c r="E36" s="1175">
        <f>SUM(E28:E35)</f>
        <v>0.87207674823999881</v>
      </c>
      <c r="F36" s="1234"/>
      <c r="G36" s="1175">
        <f>SUM(G28:G35)</f>
        <v>3.5238686371199996</v>
      </c>
      <c r="H36" s="1175">
        <f>SUM(H28:H35)</f>
        <v>0.87207674823999992</v>
      </c>
      <c r="I36" s="1177"/>
      <c r="J36" s="1248"/>
      <c r="K36" s="1144"/>
      <c r="L36" s="326" t="s">
        <v>1253</v>
      </c>
      <c r="M36" s="1145"/>
      <c r="N36" s="1145"/>
      <c r="O36" s="1264"/>
      <c r="P36" s="1264"/>
      <c r="Q36" s="1146"/>
      <c r="S36" s="1145"/>
      <c r="T36" s="329"/>
      <c r="U36" s="1165"/>
      <c r="V36" s="1165"/>
      <c r="W36" s="1166"/>
      <c r="X36" s="1166"/>
      <c r="Y36" s="1167"/>
      <c r="Z36" s="1161"/>
      <c r="AA36" s="1161"/>
      <c r="AB36" s="1165"/>
      <c r="AC36" s="1165"/>
      <c r="AD36" s="1166"/>
      <c r="AE36" s="1166"/>
      <c r="AF36" s="1167"/>
      <c r="AG36" s="1161"/>
    </row>
    <row r="37" spans="1:33" s="1136" customFormat="1">
      <c r="A37" s="325"/>
      <c r="B37" s="325"/>
      <c r="C37" s="325"/>
      <c r="D37" s="1176"/>
      <c r="E37" s="1176"/>
      <c r="F37" s="325"/>
      <c r="G37" s="1174"/>
      <c r="H37" s="1174"/>
      <c r="I37" s="1176"/>
      <c r="J37" s="1247"/>
      <c r="K37" s="325"/>
      <c r="L37" s="329"/>
      <c r="M37" s="329"/>
      <c r="N37" s="329"/>
      <c r="O37" s="1265"/>
      <c r="P37" s="1265"/>
      <c r="Q37" s="1129"/>
      <c r="S37" s="329"/>
      <c r="T37" s="329"/>
      <c r="U37" s="436"/>
      <c r="V37" s="436"/>
      <c r="W37" s="1166"/>
      <c r="X37" s="1166"/>
      <c r="Y37" s="1167"/>
      <c r="Z37" s="1161"/>
      <c r="AA37" s="1161"/>
      <c r="AB37" s="436"/>
      <c r="AC37" s="436"/>
      <c r="AD37" s="1166"/>
      <c r="AE37" s="1166"/>
      <c r="AF37" s="1167"/>
      <c r="AG37" s="1161"/>
    </row>
    <row r="38" spans="1:33" s="1136" customFormat="1">
      <c r="A38" s="1147" t="s">
        <v>1211</v>
      </c>
      <c r="B38" s="325"/>
      <c r="C38" s="325"/>
      <c r="D38" s="1176"/>
      <c r="E38" s="1176"/>
      <c r="F38" s="325"/>
      <c r="G38" s="1174"/>
      <c r="H38" s="1174"/>
      <c r="I38" s="1176"/>
      <c r="J38" s="1247"/>
      <c r="K38" s="325"/>
      <c r="L38" s="329"/>
      <c r="M38" s="329"/>
      <c r="N38" s="329"/>
      <c r="O38" s="1265"/>
      <c r="P38" s="1265"/>
      <c r="Q38" s="1129"/>
      <c r="S38" s="329"/>
      <c r="T38" s="329"/>
      <c r="U38" s="1253">
        <v>31</v>
      </c>
      <c r="V38" s="1253">
        <v>34</v>
      </c>
      <c r="W38" s="1166"/>
      <c r="X38" s="1166"/>
      <c r="Y38" s="1167"/>
      <c r="Z38" s="1161"/>
      <c r="AA38" s="1161"/>
      <c r="AB38" s="1253">
        <v>31</v>
      </c>
      <c r="AC38" s="1253">
        <v>34</v>
      </c>
      <c r="AD38" s="1166"/>
      <c r="AE38" s="1166"/>
      <c r="AF38" s="1167"/>
      <c r="AG38" s="1161"/>
    </row>
    <row r="39" spans="1:33" s="1136" customFormat="1">
      <c r="A39" s="1137" t="str">
        <f>K39</f>
        <v>CRE 04-1</v>
      </c>
      <c r="B39" s="330" t="str">
        <f>L39</f>
        <v>Caloosahatchee Area Lakes Restoration (Lake Hicpochee) - North</v>
      </c>
      <c r="C39" s="325" t="str">
        <f>VLOOKUP($T39,subwatgeog,2,FALSE)</f>
        <v>East Cal.</v>
      </c>
      <c r="D39" s="1176">
        <f>IF(ISNUMBER($P39),$Z39/lb_mton,$P39)</f>
        <v>41.287341025200014</v>
      </c>
      <c r="E39" s="1176">
        <f>IF(ISNUMBER($O39),$AG39/lb_mton,$O39)</f>
        <v>9.1107155818997132</v>
      </c>
      <c r="F39" s="325"/>
      <c r="G39" s="1174">
        <f>IF(ISNUMBER($P39),$P39/lb_mton,$P39)</f>
        <v>41.287341025199993</v>
      </c>
      <c r="H39" s="1174">
        <f>IF(ISNUMBER($O39),$O39/lb_mton,$O39)</f>
        <v>10.116471297199999</v>
      </c>
      <c r="I39" s="1178"/>
      <c r="J39" s="1249">
        <v>46</v>
      </c>
      <c r="K39" s="326" t="str">
        <f t="shared" ref="K39:R40" si="57">VLOOKUP($J39,MM_List,K$9,FALSE)</f>
        <v>CRE 04-1</v>
      </c>
      <c r="L39" s="326" t="str">
        <f t="shared" si="57"/>
        <v>Caloosahatchee Area Lakes Restoration (Lake Hicpochee) - North</v>
      </c>
      <c r="M39" s="327" t="str">
        <f t="shared" si="57"/>
        <v>East</v>
      </c>
      <c r="N39" s="327" t="str">
        <f t="shared" si="57"/>
        <v>Regional</v>
      </c>
      <c r="O39" s="1263">
        <f t="shared" si="57"/>
        <v>22303</v>
      </c>
      <c r="P39" s="1263">
        <f t="shared" si="57"/>
        <v>91023</v>
      </c>
      <c r="Q39" s="327">
        <f t="shared" si="57"/>
        <v>2</v>
      </c>
      <c r="R39" s="326" t="str">
        <f t="shared" si="57"/>
        <v>Near-Term</v>
      </c>
      <c r="S39" s="329"/>
      <c r="T39" s="329">
        <f>VLOOKUP($M39,subwatindex,3,FALSE)</f>
        <v>4</v>
      </c>
      <c r="U39" s="1164">
        <f>U$38</f>
        <v>31</v>
      </c>
      <c r="V39" s="1164">
        <f>V$38</f>
        <v>34</v>
      </c>
      <c r="W39" s="1166">
        <f t="shared" ref="W39:X40" si="58">VLOOKUP(U39,loads_summ,W$9+$T39,FALSE)</f>
        <v>64.359539002539435</v>
      </c>
      <c r="X39" s="1166">
        <f t="shared" si="58"/>
        <v>64.359539002539464</v>
      </c>
      <c r="Y39" s="1167">
        <f t="shared" si="22"/>
        <v>1.0000000000000004</v>
      </c>
      <c r="Z39" s="1161">
        <f t="shared" si="23"/>
        <v>91023.000000000044</v>
      </c>
      <c r="AA39" s="1161"/>
      <c r="AB39" s="1164">
        <f>AB$38</f>
        <v>31</v>
      </c>
      <c r="AC39" s="1164">
        <f>AC$38</f>
        <v>34</v>
      </c>
      <c r="AD39" s="1166">
        <f t="shared" ref="AD39:AE40" si="59">VLOOKUP(AB39,loads_summ,AD$9+$T39,FALSE)</f>
        <v>12.564505904924985</v>
      </c>
      <c r="AE39" s="1166">
        <f t="shared" si="59"/>
        <v>11.315372362945773</v>
      </c>
      <c r="AF39" s="1167">
        <f t="shared" si="24"/>
        <v>0.90058235863540148</v>
      </c>
      <c r="AG39" s="1161">
        <f>IF(ISNUMBER($O39),$O39*AF39,0)</f>
        <v>20085.688344645358</v>
      </c>
    </row>
    <row r="40" spans="1:33" s="1136" customFormat="1">
      <c r="A40" s="1137" t="str">
        <f t="shared" ref="A40" si="60">K40</f>
        <v>CRE 44-A</v>
      </c>
      <c r="B40" s="330" t="str">
        <f t="shared" ref="B40" si="61">L40</f>
        <v>County Line Ditch Improvements</v>
      </c>
      <c r="C40" s="325" t="str">
        <f>VLOOKUP($T40,subwatgeog,2,FALSE)</f>
        <v>West Cal.</v>
      </c>
      <c r="D40" s="1176">
        <f>IF(ISNUMBER($P40),$Z40/lb_mton,$P40)</f>
        <v>2.5401174399999986</v>
      </c>
      <c r="E40" s="1176">
        <f>IF(ISNUMBER($O40),$AG40/lb_mton,$O40)</f>
        <v>0.63502935999999943</v>
      </c>
      <c r="F40" s="325"/>
      <c r="G40" s="1174">
        <f>IF(ISNUMBER($P40),$P40/lb_mton,$P40)</f>
        <v>2.5401174399999995</v>
      </c>
      <c r="H40" s="1174">
        <f>IF(ISNUMBER($O40),$O40/lb_mton,$O40)</f>
        <v>0.63502935999999988</v>
      </c>
      <c r="I40" s="1178"/>
      <c r="J40" s="1249">
        <v>55</v>
      </c>
      <c r="K40" s="326" t="str">
        <f t="shared" si="57"/>
        <v>CRE 44-A</v>
      </c>
      <c r="L40" s="326" t="str">
        <f t="shared" si="57"/>
        <v>County Line Ditch Improvements</v>
      </c>
      <c r="M40" s="327" t="str">
        <f t="shared" si="57"/>
        <v>West</v>
      </c>
      <c r="N40" s="327" t="str">
        <f t="shared" si="57"/>
        <v>Regional</v>
      </c>
      <c r="O40" s="1263">
        <f t="shared" si="57"/>
        <v>1400</v>
      </c>
      <c r="P40" s="1263">
        <f t="shared" si="57"/>
        <v>5600</v>
      </c>
      <c r="Q40" s="327">
        <f t="shared" si="57"/>
        <v>2</v>
      </c>
      <c r="R40" s="326" t="str">
        <f t="shared" si="57"/>
        <v>Near-Term</v>
      </c>
      <c r="S40" s="329"/>
      <c r="T40" s="329">
        <f>VLOOKUP($M40,subwatindex,3,FALSE)</f>
        <v>3</v>
      </c>
      <c r="U40" s="1164">
        <f t="shared" ref="U40:V40" si="62">U$38</f>
        <v>31</v>
      </c>
      <c r="V40" s="1164">
        <f t="shared" si="62"/>
        <v>34</v>
      </c>
      <c r="W40" s="1166">
        <f t="shared" si="58"/>
        <v>42.459909933253144</v>
      </c>
      <c r="X40" s="1166">
        <f t="shared" si="58"/>
        <v>42.45990993325313</v>
      </c>
      <c r="Y40" s="1167">
        <f t="shared" si="22"/>
        <v>0.99999999999999967</v>
      </c>
      <c r="Z40" s="1161">
        <f t="shared" si="23"/>
        <v>5599.9999999999982</v>
      </c>
      <c r="AA40" s="1161"/>
      <c r="AB40" s="1164">
        <f t="shared" ref="AB40:AC40" si="63">AB$38</f>
        <v>31</v>
      </c>
      <c r="AC40" s="1164">
        <f t="shared" si="63"/>
        <v>34</v>
      </c>
      <c r="AD40" s="1166">
        <f t="shared" si="59"/>
        <v>6.2540685313659923</v>
      </c>
      <c r="AE40" s="1166">
        <f t="shared" si="59"/>
        <v>6.2540685313659878</v>
      </c>
      <c r="AF40" s="1167">
        <f t="shared" si="24"/>
        <v>0.99999999999999933</v>
      </c>
      <c r="AG40" s="1161">
        <f>IF(ISNUMBER($O40),$O40*AF40,0)</f>
        <v>1399.9999999999991</v>
      </c>
    </row>
    <row r="41" spans="1:33" s="437" customFormat="1">
      <c r="A41" s="1149" t="s">
        <v>156</v>
      </c>
      <c r="B41" s="1121"/>
      <c r="C41" s="325"/>
      <c r="D41" s="1175">
        <f>SUM(D39:D40)</f>
        <v>43.82745846520001</v>
      </c>
      <c r="E41" s="1175">
        <f>SUM(E39:E40)</f>
        <v>9.7457449418997122</v>
      </c>
      <c r="F41" s="1234"/>
      <c r="G41" s="1175">
        <f>SUM(G39:G40)</f>
        <v>43.827458465199996</v>
      </c>
      <c r="H41" s="1175">
        <f>SUM(H39:H40)</f>
        <v>10.751500657199998</v>
      </c>
      <c r="I41" s="1180"/>
      <c r="J41" s="1251"/>
      <c r="K41" s="1152"/>
      <c r="L41" s="1150"/>
      <c r="M41" s="1122"/>
      <c r="N41" s="1145"/>
      <c r="O41" s="1266"/>
      <c r="P41" s="1266"/>
      <c r="Q41" s="1146"/>
      <c r="S41" s="1145"/>
      <c r="T41" s="329"/>
      <c r="U41" s="1165"/>
      <c r="V41" s="1165"/>
      <c r="X41" s="1166"/>
      <c r="Y41" s="1167"/>
      <c r="Z41" s="1161"/>
      <c r="AA41" s="1161"/>
      <c r="AB41" s="1165"/>
      <c r="AC41" s="1165"/>
      <c r="AE41" s="1166"/>
      <c r="AF41" s="1167"/>
      <c r="AG41" s="1161"/>
    </row>
    <row r="42" spans="1:33" s="1136" customFormat="1">
      <c r="A42" s="1151"/>
      <c r="B42" s="1131"/>
      <c r="C42" s="325"/>
      <c r="D42" s="1176"/>
      <c r="E42" s="1176"/>
      <c r="F42" s="325"/>
      <c r="G42" s="1174"/>
      <c r="H42" s="1174"/>
      <c r="I42" s="1179"/>
      <c r="J42" s="1250"/>
      <c r="K42" s="1151"/>
      <c r="L42" s="1123"/>
      <c r="M42" s="1156"/>
      <c r="N42" s="329"/>
      <c r="O42" s="1267"/>
      <c r="P42" s="1267"/>
      <c r="Q42" s="1129"/>
      <c r="S42" s="329"/>
      <c r="T42" s="329"/>
      <c r="U42" s="436"/>
      <c r="V42" s="436"/>
      <c r="X42" s="1166"/>
      <c r="Y42" s="1167"/>
      <c r="Z42" s="1161"/>
      <c r="AA42" s="1161"/>
      <c r="AB42" s="436"/>
      <c r="AC42" s="436"/>
      <c r="AE42" s="1166"/>
      <c r="AF42" s="1167"/>
      <c r="AG42" s="1161"/>
    </row>
    <row r="43" spans="1:33" s="1136" customFormat="1">
      <c r="A43" s="1152" t="s">
        <v>1210</v>
      </c>
      <c r="B43" s="1131"/>
      <c r="C43" s="325"/>
      <c r="D43" s="1176"/>
      <c r="E43" s="1176"/>
      <c r="F43" s="325"/>
      <c r="G43" s="1174"/>
      <c r="H43" s="1174"/>
      <c r="I43" s="1179"/>
      <c r="J43" s="1250"/>
      <c r="K43" s="1151"/>
      <c r="L43" s="1123"/>
      <c r="M43" s="1156"/>
      <c r="N43" s="329"/>
      <c r="O43" s="1267"/>
      <c r="P43" s="1267"/>
      <c r="Q43" s="1129"/>
      <c r="S43" s="329"/>
      <c r="T43" s="329"/>
      <c r="U43" s="436"/>
      <c r="V43" s="436"/>
      <c r="X43" s="1166"/>
      <c r="Y43" s="1167"/>
      <c r="Z43" s="1161"/>
      <c r="AA43" s="1161"/>
      <c r="AB43" s="436"/>
      <c r="AC43" s="436"/>
      <c r="AE43" s="1166"/>
      <c r="AF43" s="1167"/>
      <c r="AG43" s="1161"/>
    </row>
    <row r="44" spans="1:33" s="1136" customFormat="1">
      <c r="A44" s="343" t="s">
        <v>393</v>
      </c>
      <c r="B44" s="1131"/>
      <c r="C44" s="325"/>
      <c r="D44" s="1176"/>
      <c r="E44" s="1176"/>
      <c r="F44" s="325"/>
      <c r="G44" s="1174"/>
      <c r="H44" s="1174"/>
      <c r="I44" s="1179"/>
      <c r="J44" s="1250"/>
      <c r="K44" s="1151"/>
      <c r="L44" s="1123"/>
      <c r="M44" s="1156"/>
      <c r="N44" s="329"/>
      <c r="O44" s="1267"/>
      <c r="P44" s="1267"/>
      <c r="Q44" s="1129"/>
      <c r="S44" s="329"/>
      <c r="T44" s="329"/>
      <c r="U44" s="1253">
        <v>53</v>
      </c>
      <c r="V44" s="1253">
        <v>54</v>
      </c>
      <c r="X44" s="1166"/>
      <c r="Y44" s="1167"/>
      <c r="Z44" s="1161"/>
      <c r="AA44" s="1161"/>
      <c r="AB44" s="1253">
        <v>53</v>
      </c>
      <c r="AC44" s="1253">
        <v>54</v>
      </c>
      <c r="AE44" s="1166"/>
      <c r="AF44" s="1167"/>
      <c r="AG44" s="1161"/>
    </row>
    <row r="45" spans="1:33" s="1136" customFormat="1">
      <c r="A45" s="1137" t="str">
        <f t="shared" ref="A45:A53" si="64">K45</f>
        <v>CRE 21</v>
      </c>
      <c r="B45" s="330" t="str">
        <f t="shared" ref="B45:B53" si="65">L45</f>
        <v>Hendry County Storage</v>
      </c>
      <c r="C45" s="325" t="str">
        <f t="shared" ref="C45:C64" si="66">VLOOKUP($T45,subwatgeog,2,FALSE)</f>
        <v>West Cal.</v>
      </c>
      <c r="D45" s="1176">
        <f t="shared" ref="D45:D64" si="67">IF(ISNUMBER($P45),$Z45/lb_mton,$P45)</f>
        <v>2.7215543999999978</v>
      </c>
      <c r="E45" s="1176">
        <f t="shared" ref="E45:E64" si="68">IF(ISNUMBER($O45),$AG45/lb_mton,$O45)</f>
        <v>0.68038860000000112</v>
      </c>
      <c r="F45" s="325"/>
      <c r="G45" s="1174">
        <f t="shared" ref="G45:G64" si="69">IF(ISNUMBER($P45),$P45/lb_mton,$P45)</f>
        <v>2.7215543999999996</v>
      </c>
      <c r="H45" s="1174">
        <f t="shared" ref="H45:H64" si="70">IF(ISNUMBER($O45),$O45/lb_mton,$O45)</f>
        <v>0.6803885999999999</v>
      </c>
      <c r="I45" s="1176"/>
      <c r="J45" s="1247">
        <v>25</v>
      </c>
      <c r="K45" s="326" t="str">
        <f t="shared" ref="K45:R54" si="71">VLOOKUP($J45,MM_List,K$9,FALSE)</f>
        <v>CRE 21</v>
      </c>
      <c r="L45" s="326" t="str">
        <f t="shared" si="71"/>
        <v>Hendry County Storage</v>
      </c>
      <c r="M45" s="327" t="str">
        <f t="shared" si="71"/>
        <v>West</v>
      </c>
      <c r="N45" s="327" t="str">
        <f t="shared" si="71"/>
        <v>Local</v>
      </c>
      <c r="O45" s="1263">
        <f t="shared" si="71"/>
        <v>1500</v>
      </c>
      <c r="P45" s="1263">
        <f t="shared" si="71"/>
        <v>6000</v>
      </c>
      <c r="Q45" s="327">
        <f t="shared" si="71"/>
        <v>3</v>
      </c>
      <c r="R45" s="326" t="str">
        <f t="shared" si="71"/>
        <v>Long-Term</v>
      </c>
      <c r="S45" s="329"/>
      <c r="T45" s="329">
        <f t="shared" ref="T45:T64" si="72">VLOOKUP($M45,subwatindex,3,FALSE)</f>
        <v>3</v>
      </c>
      <c r="U45" s="1164">
        <f>U$44</f>
        <v>53</v>
      </c>
      <c r="V45" s="1164">
        <f>V$44</f>
        <v>54</v>
      </c>
      <c r="W45" s="1166">
        <f t="shared" ref="W45:W64" si="73">VLOOKUP(U45,loads_summ,W$9+$T45,FALSE)</f>
        <v>39.703396364399993</v>
      </c>
      <c r="X45" s="1166">
        <f t="shared" ref="X45:X64" si="74">VLOOKUP(V45,loads_summ,X$9+$T45,FALSE)</f>
        <v>39.703396364399964</v>
      </c>
      <c r="Y45" s="1167">
        <f t="shared" si="22"/>
        <v>0.99999999999999933</v>
      </c>
      <c r="Z45" s="1161">
        <f t="shared" si="23"/>
        <v>5999.9999999999964</v>
      </c>
      <c r="AA45" s="1161"/>
      <c r="AB45" s="1164">
        <f>AB$44</f>
        <v>53</v>
      </c>
      <c r="AC45" s="1164">
        <f>AC$44</f>
        <v>54</v>
      </c>
      <c r="AD45" s="1166">
        <f t="shared" ref="AD45:AD64" si="75">VLOOKUP(AB45,loads_summ,AD$9+$T45,FALSE)</f>
        <v>7.027507053199999</v>
      </c>
      <c r="AE45" s="1166">
        <f t="shared" ref="AE45:AE64" si="76">VLOOKUP(AC45,loads_summ,AE$9+$T45,FALSE)</f>
        <v>7.0275070532000115</v>
      </c>
      <c r="AF45" s="1167">
        <f t="shared" si="24"/>
        <v>1.0000000000000018</v>
      </c>
      <c r="AG45" s="1161">
        <f t="shared" ref="AG45:AG63" si="77">IF(ISNUMBER($O45),$O45*AF45,0)</f>
        <v>1500.0000000000027</v>
      </c>
    </row>
    <row r="46" spans="1:33" s="1136" customFormat="1">
      <c r="A46" s="1137" t="str">
        <f t="shared" si="64"/>
        <v>CRE 22</v>
      </c>
      <c r="B46" s="330" t="str">
        <f t="shared" si="65"/>
        <v>Hendry Extension Canal Widening (Construction) - ECWCD</v>
      </c>
      <c r="C46" s="325" t="str">
        <f t="shared" si="66"/>
        <v>West Cal.</v>
      </c>
      <c r="D46" s="1176">
        <f t="shared" si="67"/>
        <v>0.36287391999999968</v>
      </c>
      <c r="E46" s="1176">
        <f t="shared" si="68"/>
        <v>9.0718480000000143E-2</v>
      </c>
      <c r="F46" s="325"/>
      <c r="G46" s="1174">
        <f t="shared" si="69"/>
        <v>0.36287391999999996</v>
      </c>
      <c r="H46" s="1174">
        <f t="shared" si="70"/>
        <v>9.071847999999999E-2</v>
      </c>
      <c r="I46" s="1176"/>
      <c r="J46" s="1247">
        <v>26</v>
      </c>
      <c r="K46" s="326" t="str">
        <f t="shared" si="71"/>
        <v>CRE 22</v>
      </c>
      <c r="L46" s="326" t="str">
        <f t="shared" si="71"/>
        <v>Hendry Extension Canal Widening (Construction) - ECWCD</v>
      </c>
      <c r="M46" s="327" t="str">
        <f t="shared" si="71"/>
        <v>West</v>
      </c>
      <c r="N46" s="327" t="str">
        <f t="shared" si="71"/>
        <v>Local</v>
      </c>
      <c r="O46" s="1263">
        <f t="shared" si="71"/>
        <v>200</v>
      </c>
      <c r="P46" s="1263">
        <f t="shared" si="71"/>
        <v>800</v>
      </c>
      <c r="Q46" s="327">
        <f t="shared" si="71"/>
        <v>3</v>
      </c>
      <c r="R46" s="326" t="str">
        <f t="shared" si="71"/>
        <v>Long-Term</v>
      </c>
      <c r="S46" s="329"/>
      <c r="T46" s="329">
        <f t="shared" si="72"/>
        <v>3</v>
      </c>
      <c r="U46" s="1164">
        <f t="shared" ref="U46:V64" si="78">U$44</f>
        <v>53</v>
      </c>
      <c r="V46" s="1164">
        <f t="shared" si="78"/>
        <v>54</v>
      </c>
      <c r="W46" s="1166">
        <f t="shared" si="73"/>
        <v>39.703396364399993</v>
      </c>
      <c r="X46" s="1166">
        <f t="shared" si="74"/>
        <v>39.703396364399964</v>
      </c>
      <c r="Y46" s="1167">
        <f t="shared" si="22"/>
        <v>0.99999999999999933</v>
      </c>
      <c r="Z46" s="1161">
        <f t="shared" si="23"/>
        <v>799.99999999999943</v>
      </c>
      <c r="AA46" s="1161"/>
      <c r="AB46" s="1164">
        <f t="shared" ref="AB46:AC64" si="79">AB$44</f>
        <v>53</v>
      </c>
      <c r="AC46" s="1164">
        <f t="shared" si="79"/>
        <v>54</v>
      </c>
      <c r="AD46" s="1166">
        <f t="shared" si="75"/>
        <v>7.027507053199999</v>
      </c>
      <c r="AE46" s="1166">
        <f t="shared" si="76"/>
        <v>7.0275070532000115</v>
      </c>
      <c r="AF46" s="1167">
        <f t="shared" si="24"/>
        <v>1.0000000000000018</v>
      </c>
      <c r="AG46" s="1161">
        <f t="shared" si="77"/>
        <v>200.00000000000034</v>
      </c>
    </row>
    <row r="47" spans="1:33" s="1136" customFormat="1">
      <c r="A47" s="1137" t="str">
        <f t="shared" si="64"/>
        <v>CRE 29-3</v>
      </c>
      <c r="B47" s="330" t="str">
        <f t="shared" si="65"/>
        <v>Lehigh Acres Centralized WWT and Stormwater Retrofit, Phase III, Tidal Cal.</v>
      </c>
      <c r="C47" s="325" t="str">
        <f t="shared" si="66"/>
        <v>Tidal Cal.</v>
      </c>
      <c r="D47" s="1176" t="str">
        <f t="shared" si="67"/>
        <v>TBD</v>
      </c>
      <c r="E47" s="1176" t="str">
        <f t="shared" si="68"/>
        <v>TBD</v>
      </c>
      <c r="F47" s="325"/>
      <c r="G47" s="1174" t="str">
        <f t="shared" si="69"/>
        <v>TBD</v>
      </c>
      <c r="H47" s="1174" t="str">
        <f t="shared" si="70"/>
        <v>TBD</v>
      </c>
      <c r="I47" s="1176"/>
      <c r="J47" s="1247">
        <v>29</v>
      </c>
      <c r="K47" s="326" t="str">
        <f t="shared" si="71"/>
        <v>CRE 29-3</v>
      </c>
      <c r="L47" s="326" t="str">
        <f t="shared" si="71"/>
        <v>Lehigh Acres Centralized WWT and Stormwater Retrofit, Phase III, Tidal Cal.</v>
      </c>
      <c r="M47" s="327" t="str">
        <f t="shared" si="71"/>
        <v>Tidal</v>
      </c>
      <c r="N47" s="327" t="str">
        <f t="shared" si="71"/>
        <v>Local</v>
      </c>
      <c r="O47" s="1263" t="str">
        <f t="shared" si="71"/>
        <v>TBD</v>
      </c>
      <c r="P47" s="1263" t="str">
        <f t="shared" si="71"/>
        <v>TBD</v>
      </c>
      <c r="Q47" s="327">
        <f t="shared" si="71"/>
        <v>3</v>
      </c>
      <c r="R47" s="326" t="str">
        <f t="shared" si="71"/>
        <v>Long-Term</v>
      </c>
      <c r="S47" s="329"/>
      <c r="T47" s="329">
        <f t="shared" si="72"/>
        <v>2</v>
      </c>
      <c r="U47" s="1164">
        <f t="shared" si="78"/>
        <v>53</v>
      </c>
      <c r="V47" s="1164">
        <f t="shared" si="78"/>
        <v>54</v>
      </c>
      <c r="W47" s="1166">
        <f t="shared" si="73"/>
        <v>10.48551094775039</v>
      </c>
      <c r="X47" s="1166">
        <f t="shared" si="74"/>
        <v>10.485510947750413</v>
      </c>
      <c r="Y47" s="1167">
        <f t="shared" si="22"/>
        <v>1.0000000000000022</v>
      </c>
      <c r="Z47" s="1161">
        <f t="shared" si="23"/>
        <v>0</v>
      </c>
      <c r="AA47" s="1161"/>
      <c r="AB47" s="1164">
        <f t="shared" si="79"/>
        <v>53</v>
      </c>
      <c r="AC47" s="1164">
        <f t="shared" si="79"/>
        <v>54</v>
      </c>
      <c r="AD47" s="1166">
        <f t="shared" si="75"/>
        <v>1.7488427628037482</v>
      </c>
      <c r="AE47" s="1166">
        <f t="shared" si="76"/>
        <v>1.7488427628037471</v>
      </c>
      <c r="AF47" s="1167">
        <f t="shared" si="24"/>
        <v>0.99999999999999933</v>
      </c>
      <c r="AG47" s="1161">
        <f t="shared" si="77"/>
        <v>0</v>
      </c>
    </row>
    <row r="48" spans="1:33" s="1136" customFormat="1">
      <c r="A48" s="1137" t="str">
        <f t="shared" si="64"/>
        <v>CRE 29-4</v>
      </c>
      <c r="B48" s="330" t="str">
        <f t="shared" si="65"/>
        <v>Lehigh Acres Centralized WWT and Stormwater Retrofit, Phase III, West Cal.</v>
      </c>
      <c r="C48" s="325" t="str">
        <f t="shared" si="66"/>
        <v>West Cal.</v>
      </c>
      <c r="D48" s="1176" t="str">
        <f t="shared" si="67"/>
        <v>TBD</v>
      </c>
      <c r="E48" s="1176" t="str">
        <f t="shared" si="68"/>
        <v>TBD</v>
      </c>
      <c r="F48" s="325"/>
      <c r="G48" s="1174" t="str">
        <f t="shared" si="69"/>
        <v>TBD</v>
      </c>
      <c r="H48" s="1174" t="str">
        <f t="shared" si="70"/>
        <v>TBD</v>
      </c>
      <c r="I48" s="1176"/>
      <c r="J48" s="1247">
        <v>30</v>
      </c>
      <c r="K48" s="326" t="str">
        <f t="shared" si="71"/>
        <v>CRE 29-4</v>
      </c>
      <c r="L48" s="326" t="str">
        <f t="shared" si="71"/>
        <v>Lehigh Acres Centralized WWT and Stormwater Retrofit, Phase III, West Cal.</v>
      </c>
      <c r="M48" s="327" t="str">
        <f t="shared" si="71"/>
        <v>West</v>
      </c>
      <c r="N48" s="327" t="str">
        <f t="shared" si="71"/>
        <v>Local</v>
      </c>
      <c r="O48" s="1263" t="str">
        <f t="shared" si="71"/>
        <v>TBD</v>
      </c>
      <c r="P48" s="1263" t="str">
        <f t="shared" si="71"/>
        <v>TBD</v>
      </c>
      <c r="Q48" s="327">
        <f t="shared" si="71"/>
        <v>3</v>
      </c>
      <c r="R48" s="326" t="str">
        <f t="shared" si="71"/>
        <v>Long-Term</v>
      </c>
      <c r="S48" s="329"/>
      <c r="T48" s="329">
        <f t="shared" si="72"/>
        <v>3</v>
      </c>
      <c r="U48" s="1164">
        <f t="shared" si="78"/>
        <v>53</v>
      </c>
      <c r="V48" s="1164">
        <f t="shared" si="78"/>
        <v>54</v>
      </c>
      <c r="W48" s="1166">
        <f t="shared" si="73"/>
        <v>39.703396364399993</v>
      </c>
      <c r="X48" s="1166">
        <f t="shared" si="74"/>
        <v>39.703396364399964</v>
      </c>
      <c r="Y48" s="1167">
        <f t="shared" si="22"/>
        <v>0.99999999999999933</v>
      </c>
      <c r="Z48" s="1161">
        <f t="shared" si="23"/>
        <v>0</v>
      </c>
      <c r="AA48" s="1161"/>
      <c r="AB48" s="1164">
        <f t="shared" si="79"/>
        <v>53</v>
      </c>
      <c r="AC48" s="1164">
        <f t="shared" si="79"/>
        <v>54</v>
      </c>
      <c r="AD48" s="1166">
        <f t="shared" si="75"/>
        <v>7.027507053199999</v>
      </c>
      <c r="AE48" s="1166">
        <f t="shared" si="76"/>
        <v>7.0275070532000115</v>
      </c>
      <c r="AF48" s="1167">
        <f t="shared" si="24"/>
        <v>1.0000000000000018</v>
      </c>
      <c r="AG48" s="1161">
        <f t="shared" si="77"/>
        <v>0</v>
      </c>
    </row>
    <row r="49" spans="1:33" s="1136" customFormat="1">
      <c r="A49" s="1137" t="str">
        <f t="shared" si="64"/>
        <v>CRE 30</v>
      </c>
      <c r="B49" s="330" t="str">
        <f t="shared" si="65"/>
        <v>Aquifer Benefit and Storage for Orange River Basin (ABSORB) - ECWCD</v>
      </c>
      <c r="C49" s="325" t="str">
        <f t="shared" si="66"/>
        <v>Tidal Cal.</v>
      </c>
      <c r="D49" s="1176">
        <f t="shared" si="67"/>
        <v>3.7194576800000076</v>
      </c>
      <c r="E49" s="1176">
        <f t="shared" si="68"/>
        <v>0.37194576799999968</v>
      </c>
      <c r="F49" s="325"/>
      <c r="G49" s="1174">
        <f t="shared" si="69"/>
        <v>3.7194576799999992</v>
      </c>
      <c r="H49" s="1174">
        <f t="shared" si="70"/>
        <v>0.37194576799999995</v>
      </c>
      <c r="I49" s="1176"/>
      <c r="J49" s="1247">
        <v>31</v>
      </c>
      <c r="K49" s="326" t="str">
        <f t="shared" si="71"/>
        <v>CRE 30</v>
      </c>
      <c r="L49" s="326" t="str">
        <f t="shared" si="71"/>
        <v>Aquifer Benefit and Storage for Orange River Basin (ABSORB) - ECWCD</v>
      </c>
      <c r="M49" s="327" t="str">
        <f t="shared" si="71"/>
        <v>Tidal</v>
      </c>
      <c r="N49" s="327" t="str">
        <f t="shared" si="71"/>
        <v>Local</v>
      </c>
      <c r="O49" s="1263">
        <f t="shared" si="71"/>
        <v>820</v>
      </c>
      <c r="P49" s="1263">
        <f t="shared" si="71"/>
        <v>8200</v>
      </c>
      <c r="Q49" s="327">
        <f t="shared" si="71"/>
        <v>3</v>
      </c>
      <c r="R49" s="326" t="str">
        <f t="shared" si="71"/>
        <v>Long-Term</v>
      </c>
      <c r="S49" s="329"/>
      <c r="T49" s="329">
        <f t="shared" si="72"/>
        <v>2</v>
      </c>
      <c r="U49" s="1164">
        <f t="shared" si="78"/>
        <v>53</v>
      </c>
      <c r="V49" s="1164">
        <f t="shared" si="78"/>
        <v>54</v>
      </c>
      <c r="W49" s="1166">
        <f t="shared" si="73"/>
        <v>10.48551094775039</v>
      </c>
      <c r="X49" s="1166">
        <f t="shared" si="74"/>
        <v>10.485510947750413</v>
      </c>
      <c r="Y49" s="1167">
        <f t="shared" si="22"/>
        <v>1.0000000000000022</v>
      </c>
      <c r="Z49" s="1161">
        <f t="shared" si="23"/>
        <v>8200.0000000000182</v>
      </c>
      <c r="AA49" s="1161"/>
      <c r="AB49" s="1164">
        <f t="shared" si="79"/>
        <v>53</v>
      </c>
      <c r="AC49" s="1164">
        <f t="shared" si="79"/>
        <v>54</v>
      </c>
      <c r="AD49" s="1166">
        <f t="shared" si="75"/>
        <v>1.7488427628037482</v>
      </c>
      <c r="AE49" s="1166">
        <f t="shared" si="76"/>
        <v>1.7488427628037471</v>
      </c>
      <c r="AF49" s="1167">
        <f t="shared" si="24"/>
        <v>0.99999999999999933</v>
      </c>
      <c r="AG49" s="1161">
        <f t="shared" si="77"/>
        <v>819.99999999999943</v>
      </c>
    </row>
    <row r="50" spans="1:33" s="1136" customFormat="1">
      <c r="A50" s="1137" t="str">
        <f t="shared" si="64"/>
        <v>CRE 64-1</v>
      </c>
      <c r="B50" s="330" t="str">
        <f t="shared" si="65"/>
        <v>Yellow Fever Creek/Gator Slough Transfer Facility, from Tidal</v>
      </c>
      <c r="C50" s="325" t="str">
        <f t="shared" si="66"/>
        <v>Tidal Cal.</v>
      </c>
      <c r="D50" s="1176">
        <f t="shared" si="67"/>
        <v>1.2626166785503949</v>
      </c>
      <c r="E50" s="1176">
        <f t="shared" si="68"/>
        <v>0.15310469960374826</v>
      </c>
      <c r="F50" s="325"/>
      <c r="G50" s="1174">
        <f t="shared" si="69"/>
        <v>1.2626166785503921</v>
      </c>
      <c r="H50" s="1174">
        <f t="shared" si="70"/>
        <v>0.15310469960374834</v>
      </c>
      <c r="I50" s="1176"/>
      <c r="J50" s="1247">
        <v>37</v>
      </c>
      <c r="K50" s="326" t="str">
        <f t="shared" si="71"/>
        <v>CRE 64-1</v>
      </c>
      <c r="L50" s="326" t="str">
        <f t="shared" si="71"/>
        <v>Yellow Fever Creek/Gator Slough Transfer Facility, from Tidal</v>
      </c>
      <c r="M50" s="327" t="str">
        <f t="shared" si="71"/>
        <v>Tidal</v>
      </c>
      <c r="N50" s="327" t="str">
        <f t="shared" si="71"/>
        <v>Local</v>
      </c>
      <c r="O50" s="1263">
        <f t="shared" si="71"/>
        <v>337.53806193346355</v>
      </c>
      <c r="P50" s="1263">
        <f t="shared" si="71"/>
        <v>2783.5931081525887</v>
      </c>
      <c r="Q50" s="327">
        <f t="shared" si="71"/>
        <v>3</v>
      </c>
      <c r="R50" s="326" t="str">
        <f t="shared" si="71"/>
        <v>Long-Term</v>
      </c>
      <c r="S50" s="329"/>
      <c r="T50" s="329">
        <f t="shared" si="72"/>
        <v>2</v>
      </c>
      <c r="U50" s="1164">
        <f t="shared" si="78"/>
        <v>53</v>
      </c>
      <c r="V50" s="1164">
        <f t="shared" si="78"/>
        <v>54</v>
      </c>
      <c r="W50" s="1166">
        <f t="shared" si="73"/>
        <v>10.48551094775039</v>
      </c>
      <c r="X50" s="1166">
        <f t="shared" si="74"/>
        <v>10.485510947750413</v>
      </c>
      <c r="Y50" s="1167">
        <f t="shared" si="22"/>
        <v>1.0000000000000022</v>
      </c>
      <c r="Z50" s="1161">
        <f t="shared" si="23"/>
        <v>2783.5931081525951</v>
      </c>
      <c r="AA50" s="1161"/>
      <c r="AB50" s="1164">
        <f t="shared" si="79"/>
        <v>53</v>
      </c>
      <c r="AC50" s="1164">
        <f t="shared" si="79"/>
        <v>54</v>
      </c>
      <c r="AD50" s="1166">
        <f t="shared" si="75"/>
        <v>1.7488427628037482</v>
      </c>
      <c r="AE50" s="1166">
        <f t="shared" si="76"/>
        <v>1.7488427628037471</v>
      </c>
      <c r="AF50" s="1167">
        <f t="shared" si="24"/>
        <v>0.99999999999999933</v>
      </c>
      <c r="AG50" s="1161">
        <f t="shared" si="77"/>
        <v>337.53806193346333</v>
      </c>
    </row>
    <row r="51" spans="1:33" s="1136" customFormat="1">
      <c r="A51" s="1137" t="str">
        <f t="shared" si="64"/>
        <v>CRE 64-2</v>
      </c>
      <c r="B51" s="330" t="str">
        <f t="shared" si="65"/>
        <v>Yellow Fever Creek/Gator Slough Transfer Facility, to Coastal</v>
      </c>
      <c r="C51" s="325" t="str">
        <f t="shared" si="66"/>
        <v>Coastal</v>
      </c>
      <c r="D51" s="1176">
        <f t="shared" si="67"/>
        <v>-1.2626166785503914</v>
      </c>
      <c r="E51" s="1176">
        <f t="shared" si="68"/>
        <v>-0.10623896498837179</v>
      </c>
      <c r="F51" s="325"/>
      <c r="G51" s="1174">
        <f t="shared" si="69"/>
        <v>-1.2626166785503927</v>
      </c>
      <c r="H51" s="1174">
        <f t="shared" si="70"/>
        <v>-0.15310469960374856</v>
      </c>
      <c r="I51" s="1176"/>
      <c r="J51" s="1247">
        <v>38</v>
      </c>
      <c r="K51" s="326" t="str">
        <f t="shared" si="71"/>
        <v>CRE 64-2</v>
      </c>
      <c r="L51" s="326" t="str">
        <f t="shared" si="71"/>
        <v>Yellow Fever Creek/Gator Slough Transfer Facility, to Coastal</v>
      </c>
      <c r="M51" s="327" t="str">
        <f t="shared" si="71"/>
        <v>Coastal</v>
      </c>
      <c r="N51" s="327" t="str">
        <f t="shared" si="71"/>
        <v>Local</v>
      </c>
      <c r="O51" s="1263">
        <f t="shared" si="71"/>
        <v>-337.53806193346401</v>
      </c>
      <c r="P51" s="1263">
        <f t="shared" si="71"/>
        <v>-2783.59310815259</v>
      </c>
      <c r="Q51" s="327">
        <f t="shared" si="71"/>
        <v>3</v>
      </c>
      <c r="R51" s="326" t="str">
        <f t="shared" si="71"/>
        <v>Long-Term</v>
      </c>
      <c r="S51" s="329"/>
      <c r="T51" s="329">
        <f t="shared" si="72"/>
        <v>1</v>
      </c>
      <c r="U51" s="1164">
        <f t="shared" si="78"/>
        <v>53</v>
      </c>
      <c r="V51" s="1164">
        <f t="shared" si="78"/>
        <v>54</v>
      </c>
      <c r="W51" s="1166">
        <f t="shared" si="73"/>
        <v>27.862551325449601</v>
      </c>
      <c r="X51" s="1166">
        <f t="shared" si="74"/>
        <v>27.862551325449573</v>
      </c>
      <c r="Y51" s="1167">
        <f t="shared" si="22"/>
        <v>0.999999999999999</v>
      </c>
      <c r="Z51" s="1161">
        <f t="shared" si="23"/>
        <v>-2783.5931081525873</v>
      </c>
      <c r="AA51" s="1161"/>
      <c r="AB51" s="1164">
        <f t="shared" si="79"/>
        <v>53</v>
      </c>
      <c r="AC51" s="1164">
        <f t="shared" si="79"/>
        <v>54</v>
      </c>
      <c r="AD51" s="1166">
        <f t="shared" si="75"/>
        <v>5.6628570531962499</v>
      </c>
      <c r="AE51" s="1166">
        <f t="shared" si="76"/>
        <v>3.9294422298317286</v>
      </c>
      <c r="AF51" s="1167">
        <f t="shared" si="24"/>
        <v>0.69389747841398519</v>
      </c>
      <c r="AG51" s="1161">
        <f t="shared" si="77"/>
        <v>-234.21681004437423</v>
      </c>
    </row>
    <row r="52" spans="1:33" s="1136" customFormat="1">
      <c r="A52" s="1137" t="str">
        <f t="shared" si="64"/>
        <v>CRE 69-1</v>
      </c>
      <c r="B52" s="330" t="str">
        <f t="shared" si="65"/>
        <v>Cape Coral Wastewater Treatment and Stormwater Retrofit, East</v>
      </c>
      <c r="C52" s="325" t="str">
        <f t="shared" si="66"/>
        <v>Tidal Cal.</v>
      </c>
      <c r="D52" s="1176">
        <f t="shared" si="67"/>
        <v>1.9867347120000043</v>
      </c>
      <c r="E52" s="1176">
        <f t="shared" si="68"/>
        <v>0.39734694239999968</v>
      </c>
      <c r="F52" s="325"/>
      <c r="G52" s="1174">
        <f t="shared" si="69"/>
        <v>1.9867347119999996</v>
      </c>
      <c r="H52" s="1174">
        <f t="shared" si="70"/>
        <v>0.39734694239999996</v>
      </c>
      <c r="I52" s="1176"/>
      <c r="J52" s="1247">
        <v>39</v>
      </c>
      <c r="K52" s="326" t="str">
        <f t="shared" si="71"/>
        <v>CRE 69-1</v>
      </c>
      <c r="L52" s="326" t="str">
        <f t="shared" si="71"/>
        <v>Cape Coral Wastewater Treatment and Stormwater Retrofit, East</v>
      </c>
      <c r="M52" s="327" t="str">
        <f t="shared" si="71"/>
        <v>Tidal</v>
      </c>
      <c r="N52" s="327" t="str">
        <f t="shared" si="71"/>
        <v>Local</v>
      </c>
      <c r="O52" s="1263">
        <f t="shared" si="71"/>
        <v>876</v>
      </c>
      <c r="P52" s="1263">
        <f t="shared" si="71"/>
        <v>4380</v>
      </c>
      <c r="Q52" s="327">
        <f t="shared" si="71"/>
        <v>3</v>
      </c>
      <c r="R52" s="326" t="str">
        <f t="shared" si="71"/>
        <v>Long-Term</v>
      </c>
      <c r="S52" s="329"/>
      <c r="T52" s="329">
        <f t="shared" si="72"/>
        <v>2</v>
      </c>
      <c r="U52" s="1164">
        <f t="shared" si="78"/>
        <v>53</v>
      </c>
      <c r="V52" s="1164">
        <f t="shared" si="78"/>
        <v>54</v>
      </c>
      <c r="W52" s="1166">
        <f t="shared" si="73"/>
        <v>10.48551094775039</v>
      </c>
      <c r="X52" s="1166">
        <f t="shared" si="74"/>
        <v>10.485510947750413</v>
      </c>
      <c r="Y52" s="1167">
        <f t="shared" si="22"/>
        <v>1.0000000000000022</v>
      </c>
      <c r="Z52" s="1161">
        <f t="shared" si="23"/>
        <v>4380.00000000001</v>
      </c>
      <c r="AA52" s="1161"/>
      <c r="AB52" s="1164">
        <f t="shared" si="79"/>
        <v>53</v>
      </c>
      <c r="AC52" s="1164">
        <f t="shared" si="79"/>
        <v>54</v>
      </c>
      <c r="AD52" s="1166">
        <f t="shared" si="75"/>
        <v>1.7488427628037482</v>
      </c>
      <c r="AE52" s="1166">
        <f t="shared" si="76"/>
        <v>1.7488427628037471</v>
      </c>
      <c r="AF52" s="1167">
        <f t="shared" si="24"/>
        <v>0.99999999999999933</v>
      </c>
      <c r="AG52" s="1161">
        <f t="shared" si="77"/>
        <v>875.99999999999943</v>
      </c>
    </row>
    <row r="53" spans="1:33" s="1136" customFormat="1">
      <c r="A53" s="1137" t="str">
        <f t="shared" si="64"/>
        <v>CRE 69-2</v>
      </c>
      <c r="B53" s="330" t="str">
        <f t="shared" si="65"/>
        <v>Cape Coral Wastewater Treatment and Stormwater Retrofit, West</v>
      </c>
      <c r="C53" s="325" t="str">
        <f t="shared" si="66"/>
        <v>Coastal</v>
      </c>
      <c r="D53" s="1176">
        <f t="shared" si="67"/>
        <v>24.997477163999971</v>
      </c>
      <c r="E53" s="1176">
        <f t="shared" si="68"/>
        <v>3.4691372741621551</v>
      </c>
      <c r="F53" s="325"/>
      <c r="G53" s="1174">
        <f t="shared" si="69"/>
        <v>24.997477163999996</v>
      </c>
      <c r="H53" s="1174">
        <f t="shared" si="70"/>
        <v>4.999495432799999</v>
      </c>
      <c r="I53" s="1176"/>
      <c r="J53" s="1247">
        <v>40</v>
      </c>
      <c r="K53" s="326" t="str">
        <f t="shared" si="71"/>
        <v>CRE 69-2</v>
      </c>
      <c r="L53" s="326" t="str">
        <f t="shared" si="71"/>
        <v>Cape Coral Wastewater Treatment and Stormwater Retrofit, West</v>
      </c>
      <c r="M53" s="327" t="str">
        <f t="shared" si="71"/>
        <v>Coastal</v>
      </c>
      <c r="N53" s="327" t="str">
        <f t="shared" si="71"/>
        <v>Local</v>
      </c>
      <c r="O53" s="1263">
        <f t="shared" si="71"/>
        <v>11022</v>
      </c>
      <c r="P53" s="1263">
        <f t="shared" si="71"/>
        <v>55110</v>
      </c>
      <c r="Q53" s="327">
        <f t="shared" si="71"/>
        <v>3</v>
      </c>
      <c r="R53" s="326" t="str">
        <f t="shared" si="71"/>
        <v>Long-Term</v>
      </c>
      <c r="S53" s="329"/>
      <c r="T53" s="329">
        <f t="shared" si="72"/>
        <v>1</v>
      </c>
      <c r="U53" s="1164">
        <f t="shared" si="78"/>
        <v>53</v>
      </c>
      <c r="V53" s="1164">
        <f t="shared" si="78"/>
        <v>54</v>
      </c>
      <c r="W53" s="1166">
        <f t="shared" si="73"/>
        <v>27.862551325449601</v>
      </c>
      <c r="X53" s="1166">
        <f t="shared" si="74"/>
        <v>27.862551325449573</v>
      </c>
      <c r="Y53" s="1167">
        <f t="shared" si="22"/>
        <v>0.999999999999999</v>
      </c>
      <c r="Z53" s="1161">
        <f t="shared" si="23"/>
        <v>55109.999999999942</v>
      </c>
      <c r="AA53" s="1161"/>
      <c r="AB53" s="1164">
        <f t="shared" si="79"/>
        <v>53</v>
      </c>
      <c r="AC53" s="1164">
        <f t="shared" si="79"/>
        <v>54</v>
      </c>
      <c r="AD53" s="1166">
        <f t="shared" si="75"/>
        <v>5.6628570531962499</v>
      </c>
      <c r="AE53" s="1166">
        <f t="shared" si="76"/>
        <v>3.9294422298317286</v>
      </c>
      <c r="AF53" s="1167">
        <f t="shared" si="24"/>
        <v>0.69389747841398519</v>
      </c>
      <c r="AG53" s="1161">
        <f t="shared" si="77"/>
        <v>7648.1380070789446</v>
      </c>
    </row>
    <row r="54" spans="1:33" s="1136" customFormat="1">
      <c r="A54" s="1137" t="str">
        <f t="shared" ref="A54" si="80">K54</f>
        <v>CRE 77</v>
      </c>
      <c r="B54" s="330" t="str">
        <f t="shared" ref="B54" si="81">L54</f>
        <v>Cape Coral - Canal Stormwater Recovery by ASR</v>
      </c>
      <c r="C54" s="325" t="str">
        <f t="shared" si="66"/>
        <v>Coastal</v>
      </c>
      <c r="D54" s="1176">
        <f t="shared" si="67"/>
        <v>4.1276908399999952</v>
      </c>
      <c r="E54" s="1176">
        <f t="shared" si="68"/>
        <v>0.56654392065794579</v>
      </c>
      <c r="F54" s="325"/>
      <c r="G54" s="1174">
        <f t="shared" si="69"/>
        <v>4.1276908399999996</v>
      </c>
      <c r="H54" s="1174">
        <f t="shared" si="70"/>
        <v>0.81646631999999986</v>
      </c>
      <c r="I54" s="1176"/>
      <c r="J54" s="1247">
        <v>41</v>
      </c>
      <c r="K54" s="326" t="str">
        <f t="shared" si="71"/>
        <v>CRE 77</v>
      </c>
      <c r="L54" s="326" t="str">
        <f t="shared" si="71"/>
        <v>Cape Coral - Canal Stormwater Recovery by ASR</v>
      </c>
      <c r="M54" s="327" t="str">
        <f t="shared" si="71"/>
        <v>Coastal</v>
      </c>
      <c r="N54" s="327" t="str">
        <f t="shared" si="71"/>
        <v>Local</v>
      </c>
      <c r="O54" s="1263">
        <f t="shared" si="71"/>
        <v>1800</v>
      </c>
      <c r="P54" s="1263">
        <f t="shared" si="71"/>
        <v>9100</v>
      </c>
      <c r="Q54" s="327">
        <f t="shared" si="71"/>
        <v>3</v>
      </c>
      <c r="R54" s="326" t="str">
        <f t="shared" si="71"/>
        <v>Long-Term</v>
      </c>
      <c r="S54" s="329"/>
      <c r="T54" s="329">
        <f t="shared" si="72"/>
        <v>1</v>
      </c>
      <c r="U54" s="1164">
        <f t="shared" si="78"/>
        <v>53</v>
      </c>
      <c r="V54" s="1164">
        <f t="shared" si="78"/>
        <v>54</v>
      </c>
      <c r="W54" s="1166">
        <f t="shared" si="73"/>
        <v>27.862551325449601</v>
      </c>
      <c r="X54" s="1166">
        <f t="shared" si="74"/>
        <v>27.862551325449573</v>
      </c>
      <c r="Y54" s="1167">
        <f t="shared" ref="Y54" si="82">IF(W54&gt;0,X54/W54,IF(W54&lt;0,1,0))</f>
        <v>0.999999999999999</v>
      </c>
      <c r="Z54" s="1161">
        <f t="shared" ref="Z54" si="83">IF(ISNUMBER($P54),$P54*Y54,0)</f>
        <v>9099.9999999999909</v>
      </c>
      <c r="AA54" s="1161"/>
      <c r="AB54" s="1164">
        <f t="shared" si="79"/>
        <v>53</v>
      </c>
      <c r="AC54" s="1164">
        <f t="shared" si="79"/>
        <v>54</v>
      </c>
      <c r="AD54" s="1166">
        <f t="shared" si="75"/>
        <v>5.6628570531962499</v>
      </c>
      <c r="AE54" s="1166">
        <f t="shared" si="76"/>
        <v>3.9294422298317286</v>
      </c>
      <c r="AF54" s="1167">
        <f t="shared" ref="AF54" si="84">IF(AD54&gt;0,AE54/AD54,IF(AD54&lt;0,1,0))</f>
        <v>0.69389747841398519</v>
      </c>
      <c r="AG54" s="1161">
        <f t="shared" si="77"/>
        <v>1249.0154611451733</v>
      </c>
    </row>
    <row r="55" spans="1:33" s="1136" customFormat="1">
      <c r="A55" s="1137" t="str">
        <f>K55</f>
        <v>CRE 121</v>
      </c>
      <c r="B55" s="330" t="str">
        <f>L55</f>
        <v>City of LaBelle Stormwater Master Plan Implementation</v>
      </c>
      <c r="C55" s="325" t="str">
        <f t="shared" si="66"/>
        <v>West Cal.</v>
      </c>
      <c r="D55" s="1176">
        <f t="shared" si="67"/>
        <v>34.781465231999967</v>
      </c>
      <c r="E55" s="1176">
        <f t="shared" si="68"/>
        <v>5.7969108720000087</v>
      </c>
      <c r="F55" s="325"/>
      <c r="G55" s="1174">
        <f t="shared" si="69"/>
        <v>34.781465231999995</v>
      </c>
      <c r="H55" s="1174">
        <f t="shared" si="70"/>
        <v>5.7969108719999989</v>
      </c>
      <c r="I55" s="1178"/>
      <c r="J55" s="1249">
        <v>1</v>
      </c>
      <c r="K55" s="326" t="str">
        <f t="shared" ref="K55:R64" si="85">VLOOKUP($J55,MM_List,K$9,FALSE)</f>
        <v>CRE 121</v>
      </c>
      <c r="L55" s="326" t="str">
        <f t="shared" si="85"/>
        <v>City of LaBelle Stormwater Master Plan Implementation</v>
      </c>
      <c r="M55" s="327" t="str">
        <f t="shared" si="85"/>
        <v>West</v>
      </c>
      <c r="N55" s="327" t="str">
        <f t="shared" si="85"/>
        <v>Local</v>
      </c>
      <c r="O55" s="1263">
        <f t="shared" si="85"/>
        <v>12780</v>
      </c>
      <c r="P55" s="1263">
        <f t="shared" si="85"/>
        <v>76680</v>
      </c>
      <c r="Q55" s="327">
        <f t="shared" si="85"/>
        <v>3</v>
      </c>
      <c r="R55" s="326" t="str">
        <f t="shared" si="85"/>
        <v>Long-Term</v>
      </c>
      <c r="S55" s="329"/>
      <c r="T55" s="329">
        <f t="shared" si="72"/>
        <v>3</v>
      </c>
      <c r="U55" s="1164">
        <f t="shared" si="78"/>
        <v>53</v>
      </c>
      <c r="V55" s="1164">
        <f t="shared" si="78"/>
        <v>54</v>
      </c>
      <c r="W55" s="1166">
        <f t="shared" si="73"/>
        <v>39.703396364399993</v>
      </c>
      <c r="X55" s="1166">
        <f t="shared" si="74"/>
        <v>39.703396364399964</v>
      </c>
      <c r="Y55" s="1167">
        <f t="shared" ref="Y55:Y63" si="86">IF(W55&gt;0,X55/W55,IF(W55&lt;0,1,0))</f>
        <v>0.99999999999999933</v>
      </c>
      <c r="Z55" s="1161">
        <f t="shared" ref="Z55:Z63" si="87">IF(ISNUMBER($P55),$P55*Y55,0)</f>
        <v>76679.999999999942</v>
      </c>
      <c r="AA55" s="1161"/>
      <c r="AB55" s="1164">
        <f t="shared" si="79"/>
        <v>53</v>
      </c>
      <c r="AC55" s="1164">
        <f t="shared" si="79"/>
        <v>54</v>
      </c>
      <c r="AD55" s="1166">
        <f t="shared" si="75"/>
        <v>7.027507053199999</v>
      </c>
      <c r="AE55" s="1166">
        <f t="shared" si="76"/>
        <v>7.0275070532000115</v>
      </c>
      <c r="AF55" s="1167">
        <f t="shared" ref="AF55:AF63" si="88">IF(AD55&gt;0,AE55/AD55,IF(AD55&lt;0,1,0))</f>
        <v>1.0000000000000018</v>
      </c>
      <c r="AG55" s="1161">
        <f t="shared" si="77"/>
        <v>12780.000000000022</v>
      </c>
    </row>
    <row r="56" spans="1:33" s="1136" customFormat="1">
      <c r="A56" s="1137" t="str">
        <f t="shared" ref="A56:A64" si="89">K56</f>
        <v>CRE 122-2</v>
      </c>
      <c r="B56" s="330" t="str">
        <f t="shared" ref="B56:B64" si="90">L56</f>
        <v>Mirror Lakes Stormwater Retention Facility, Phase II and III</v>
      </c>
      <c r="C56" s="325" t="str">
        <f t="shared" si="66"/>
        <v>Tidal Cal.</v>
      </c>
      <c r="D56" s="1176">
        <f t="shared" si="67"/>
        <v>1.5390390132000034</v>
      </c>
      <c r="E56" s="1176">
        <f t="shared" si="68"/>
        <v>0.15376782359999988</v>
      </c>
      <c r="F56" s="325"/>
      <c r="G56" s="1174">
        <f t="shared" si="69"/>
        <v>1.5390390131999998</v>
      </c>
      <c r="H56" s="1174">
        <f t="shared" si="70"/>
        <v>0.15376782359999996</v>
      </c>
      <c r="I56" s="1178"/>
      <c r="J56" s="1249">
        <v>3</v>
      </c>
      <c r="K56" s="326" t="str">
        <f t="shared" si="85"/>
        <v>CRE 122-2</v>
      </c>
      <c r="L56" s="326" t="str">
        <f t="shared" si="85"/>
        <v>Mirror Lakes Stormwater Retention Facility, Phase II and III</v>
      </c>
      <c r="M56" s="327" t="str">
        <f t="shared" si="85"/>
        <v>Tidal</v>
      </c>
      <c r="N56" s="327" t="str">
        <f t="shared" si="85"/>
        <v>Local</v>
      </c>
      <c r="O56" s="1263">
        <f t="shared" si="85"/>
        <v>339</v>
      </c>
      <c r="P56" s="1263">
        <f t="shared" si="85"/>
        <v>3393</v>
      </c>
      <c r="Q56" s="327">
        <f t="shared" si="85"/>
        <v>3</v>
      </c>
      <c r="R56" s="326" t="str">
        <f t="shared" si="85"/>
        <v>Long-Term</v>
      </c>
      <c r="S56" s="329"/>
      <c r="T56" s="329">
        <f t="shared" si="72"/>
        <v>2</v>
      </c>
      <c r="U56" s="1164">
        <f t="shared" si="78"/>
        <v>53</v>
      </c>
      <c r="V56" s="1164">
        <f t="shared" si="78"/>
        <v>54</v>
      </c>
      <c r="W56" s="1166">
        <f t="shared" si="73"/>
        <v>10.48551094775039</v>
      </c>
      <c r="X56" s="1166">
        <f t="shared" si="74"/>
        <v>10.485510947750413</v>
      </c>
      <c r="Y56" s="1167">
        <f t="shared" si="86"/>
        <v>1.0000000000000022</v>
      </c>
      <c r="Z56" s="1161">
        <f t="shared" si="87"/>
        <v>3393.0000000000077</v>
      </c>
      <c r="AA56" s="1161"/>
      <c r="AB56" s="1164">
        <f t="shared" si="79"/>
        <v>53</v>
      </c>
      <c r="AC56" s="1164">
        <f t="shared" si="79"/>
        <v>54</v>
      </c>
      <c r="AD56" s="1166">
        <f t="shared" si="75"/>
        <v>1.7488427628037482</v>
      </c>
      <c r="AE56" s="1166">
        <f t="shared" si="76"/>
        <v>1.7488427628037471</v>
      </c>
      <c r="AF56" s="1167">
        <f t="shared" si="88"/>
        <v>0.99999999999999933</v>
      </c>
      <c r="AG56" s="1161">
        <f t="shared" si="77"/>
        <v>338.99999999999977</v>
      </c>
    </row>
    <row r="57" spans="1:33" s="1136" customFormat="1">
      <c r="A57" s="1137" t="str">
        <f t="shared" si="89"/>
        <v>CRE 123</v>
      </c>
      <c r="B57" s="330" t="str">
        <f t="shared" si="90"/>
        <v>North Ten Mile Canal Stormwater Treatment System</v>
      </c>
      <c r="C57" s="325" t="str">
        <f t="shared" si="66"/>
        <v>Tidal Cal.</v>
      </c>
      <c r="D57" s="1176">
        <f t="shared" si="67"/>
        <v>0.81646632000000174</v>
      </c>
      <c r="E57" s="1176">
        <f t="shared" si="68"/>
        <v>0.32658652799999977</v>
      </c>
      <c r="F57" s="325"/>
      <c r="G57" s="1174">
        <f t="shared" si="69"/>
        <v>0.81646631999999986</v>
      </c>
      <c r="H57" s="1174">
        <f t="shared" si="70"/>
        <v>0.32658652799999993</v>
      </c>
      <c r="I57" s="1178"/>
      <c r="J57" s="1249">
        <v>4</v>
      </c>
      <c r="K57" s="326" t="str">
        <f t="shared" si="85"/>
        <v>CRE 123</v>
      </c>
      <c r="L57" s="326" t="str">
        <f t="shared" si="85"/>
        <v>North Ten Mile Canal Stormwater Treatment System</v>
      </c>
      <c r="M57" s="327" t="str">
        <f t="shared" si="85"/>
        <v>Tidal</v>
      </c>
      <c r="N57" s="327" t="str">
        <f t="shared" si="85"/>
        <v>Local</v>
      </c>
      <c r="O57" s="1263">
        <f t="shared" si="85"/>
        <v>720</v>
      </c>
      <c r="P57" s="1263">
        <f t="shared" si="85"/>
        <v>1800</v>
      </c>
      <c r="Q57" s="327">
        <f t="shared" si="85"/>
        <v>3</v>
      </c>
      <c r="R57" s="326" t="str">
        <f t="shared" si="85"/>
        <v>Long-Term</v>
      </c>
      <c r="S57" s="329"/>
      <c r="T57" s="329">
        <f t="shared" si="72"/>
        <v>2</v>
      </c>
      <c r="U57" s="1164">
        <f t="shared" si="78"/>
        <v>53</v>
      </c>
      <c r="V57" s="1164">
        <f t="shared" si="78"/>
        <v>54</v>
      </c>
      <c r="W57" s="1166">
        <f t="shared" si="73"/>
        <v>10.48551094775039</v>
      </c>
      <c r="X57" s="1166">
        <f t="shared" si="74"/>
        <v>10.485510947750413</v>
      </c>
      <c r="Y57" s="1167">
        <f t="shared" si="86"/>
        <v>1.0000000000000022</v>
      </c>
      <c r="Z57" s="1161">
        <f t="shared" si="87"/>
        <v>1800.0000000000041</v>
      </c>
      <c r="AA57" s="1161"/>
      <c r="AB57" s="1164">
        <f t="shared" si="79"/>
        <v>53</v>
      </c>
      <c r="AC57" s="1164">
        <f t="shared" si="79"/>
        <v>54</v>
      </c>
      <c r="AD57" s="1166">
        <f t="shared" si="75"/>
        <v>1.7488427628037482</v>
      </c>
      <c r="AE57" s="1166">
        <f t="shared" si="76"/>
        <v>1.7488427628037471</v>
      </c>
      <c r="AF57" s="1167">
        <f t="shared" si="88"/>
        <v>0.99999999999999933</v>
      </c>
      <c r="AG57" s="1161">
        <f t="shared" si="77"/>
        <v>719.99999999999955</v>
      </c>
    </row>
    <row r="58" spans="1:33" s="1136" customFormat="1">
      <c r="A58" s="1137" t="str">
        <f t="shared" si="89"/>
        <v>CRE 124</v>
      </c>
      <c r="B58" s="330" t="str">
        <f t="shared" si="90"/>
        <v>Carrell Canal (FMCC) Water Quality Improvements</v>
      </c>
      <c r="C58" s="325" t="str">
        <f t="shared" si="66"/>
        <v>Tidal Cal.</v>
      </c>
      <c r="D58" s="1176">
        <f t="shared" si="67"/>
        <v>0.41911937760000084</v>
      </c>
      <c r="E58" s="1176">
        <f t="shared" si="68"/>
        <v>0.1342633503999999</v>
      </c>
      <c r="F58" s="325"/>
      <c r="G58" s="1174">
        <f t="shared" si="69"/>
        <v>0.41911937759999995</v>
      </c>
      <c r="H58" s="1174">
        <f t="shared" si="70"/>
        <v>0.13426335039999998</v>
      </c>
      <c r="I58" s="1178"/>
      <c r="J58" s="1249">
        <v>5</v>
      </c>
      <c r="K58" s="326" t="str">
        <f t="shared" si="85"/>
        <v>CRE 124</v>
      </c>
      <c r="L58" s="326" t="str">
        <f t="shared" si="85"/>
        <v>Carrell Canal (FMCC) Water Quality Improvements</v>
      </c>
      <c r="M58" s="327" t="str">
        <f t="shared" si="85"/>
        <v>Tidal</v>
      </c>
      <c r="N58" s="327" t="str">
        <f t="shared" si="85"/>
        <v>Local</v>
      </c>
      <c r="O58" s="1263">
        <f t="shared" si="85"/>
        <v>296</v>
      </c>
      <c r="P58" s="1263">
        <f t="shared" si="85"/>
        <v>924</v>
      </c>
      <c r="Q58" s="327">
        <f t="shared" si="85"/>
        <v>3</v>
      </c>
      <c r="R58" s="326" t="str">
        <f t="shared" si="85"/>
        <v>Long-Term</v>
      </c>
      <c r="S58" s="329"/>
      <c r="T58" s="329">
        <f t="shared" si="72"/>
        <v>2</v>
      </c>
      <c r="U58" s="1164">
        <f t="shared" si="78"/>
        <v>53</v>
      </c>
      <c r="V58" s="1164">
        <f t="shared" si="78"/>
        <v>54</v>
      </c>
      <c r="W58" s="1166">
        <f t="shared" si="73"/>
        <v>10.48551094775039</v>
      </c>
      <c r="X58" s="1166">
        <f t="shared" si="74"/>
        <v>10.485510947750413</v>
      </c>
      <c r="Y58" s="1167">
        <f t="shared" si="86"/>
        <v>1.0000000000000022</v>
      </c>
      <c r="Z58" s="1161">
        <f t="shared" si="87"/>
        <v>924.00000000000205</v>
      </c>
      <c r="AA58" s="1161"/>
      <c r="AB58" s="1164">
        <f t="shared" si="79"/>
        <v>53</v>
      </c>
      <c r="AC58" s="1164">
        <f t="shared" si="79"/>
        <v>54</v>
      </c>
      <c r="AD58" s="1166">
        <f t="shared" si="75"/>
        <v>1.7488427628037482</v>
      </c>
      <c r="AE58" s="1166">
        <f t="shared" si="76"/>
        <v>1.7488427628037471</v>
      </c>
      <c r="AF58" s="1167">
        <f t="shared" si="88"/>
        <v>0.99999999999999933</v>
      </c>
      <c r="AG58" s="1161">
        <f t="shared" si="77"/>
        <v>295.99999999999983</v>
      </c>
    </row>
    <row r="59" spans="1:33" s="1136" customFormat="1">
      <c r="A59" s="1137" t="str">
        <f t="shared" si="89"/>
        <v>CRE 125</v>
      </c>
      <c r="B59" s="330" t="str">
        <f t="shared" si="90"/>
        <v>Shoemaker-Zapato Canal Stormwater Treatment</v>
      </c>
      <c r="C59" s="325" t="str">
        <f t="shared" si="66"/>
        <v>Tidal Cal.</v>
      </c>
      <c r="D59" s="1176">
        <f t="shared" si="67"/>
        <v>0.54431088000000116</v>
      </c>
      <c r="E59" s="1176">
        <f t="shared" si="68"/>
        <v>0.13607771999999987</v>
      </c>
      <c r="F59" s="325"/>
      <c r="G59" s="1174">
        <f t="shared" si="69"/>
        <v>0.54431087999999994</v>
      </c>
      <c r="H59" s="1174">
        <f t="shared" si="70"/>
        <v>0.13607771999999999</v>
      </c>
      <c r="I59" s="1178"/>
      <c r="J59" s="1249">
        <v>6</v>
      </c>
      <c r="K59" s="326" t="str">
        <f t="shared" si="85"/>
        <v>CRE 125</v>
      </c>
      <c r="L59" s="326" t="str">
        <f t="shared" si="85"/>
        <v>Shoemaker-Zapato Canal Stormwater Treatment</v>
      </c>
      <c r="M59" s="327" t="str">
        <f t="shared" si="85"/>
        <v>Tidal</v>
      </c>
      <c r="N59" s="327" t="str">
        <f t="shared" si="85"/>
        <v>Local</v>
      </c>
      <c r="O59" s="1263">
        <f t="shared" si="85"/>
        <v>300</v>
      </c>
      <c r="P59" s="1263">
        <f t="shared" si="85"/>
        <v>1200</v>
      </c>
      <c r="Q59" s="327">
        <f t="shared" si="85"/>
        <v>3</v>
      </c>
      <c r="R59" s="326" t="str">
        <f t="shared" si="85"/>
        <v>Long-Term</v>
      </c>
      <c r="S59" s="329"/>
      <c r="T59" s="329">
        <f t="shared" si="72"/>
        <v>2</v>
      </c>
      <c r="U59" s="1164">
        <f t="shared" si="78"/>
        <v>53</v>
      </c>
      <c r="V59" s="1164">
        <f t="shared" si="78"/>
        <v>54</v>
      </c>
      <c r="W59" s="1166">
        <f t="shared" si="73"/>
        <v>10.48551094775039</v>
      </c>
      <c r="X59" s="1166">
        <f t="shared" si="74"/>
        <v>10.485510947750413</v>
      </c>
      <c r="Y59" s="1167">
        <f t="shared" si="86"/>
        <v>1.0000000000000022</v>
      </c>
      <c r="Z59" s="1161">
        <f t="shared" si="87"/>
        <v>1200.0000000000027</v>
      </c>
      <c r="AA59" s="1161"/>
      <c r="AB59" s="1164">
        <f t="shared" si="79"/>
        <v>53</v>
      </c>
      <c r="AC59" s="1164">
        <f t="shared" si="79"/>
        <v>54</v>
      </c>
      <c r="AD59" s="1166">
        <f t="shared" si="75"/>
        <v>1.7488427628037482</v>
      </c>
      <c r="AE59" s="1166">
        <f t="shared" si="76"/>
        <v>1.7488427628037471</v>
      </c>
      <c r="AF59" s="1167">
        <f t="shared" si="88"/>
        <v>0.99999999999999933</v>
      </c>
      <c r="AG59" s="1161">
        <f t="shared" si="77"/>
        <v>299.99999999999977</v>
      </c>
    </row>
    <row r="60" spans="1:33" s="1136" customFormat="1">
      <c r="A60" s="1137" t="str">
        <f t="shared" si="89"/>
        <v>CRE 126</v>
      </c>
      <c r="B60" s="330" t="str">
        <f t="shared" si="90"/>
        <v>Fort Myers-Cape Coral Reclaimed Water Interconnect</v>
      </c>
      <c r="C60" s="325" t="str">
        <f t="shared" si="66"/>
        <v>Tidal Cal.</v>
      </c>
      <c r="D60" s="1176">
        <f t="shared" si="67"/>
        <v>0</v>
      </c>
      <c r="E60" s="1176">
        <f t="shared" si="68"/>
        <v>0</v>
      </c>
      <c r="F60" s="325"/>
      <c r="G60" s="1174">
        <f t="shared" si="69"/>
        <v>0</v>
      </c>
      <c r="H60" s="1174">
        <f t="shared" si="70"/>
        <v>0</v>
      </c>
      <c r="I60" s="1178"/>
      <c r="J60" s="1249">
        <v>7</v>
      </c>
      <c r="K60" s="326" t="str">
        <f t="shared" si="85"/>
        <v>CRE 126</v>
      </c>
      <c r="L60" s="326" t="str">
        <f t="shared" si="85"/>
        <v>Fort Myers-Cape Coral Reclaimed Water Interconnect</v>
      </c>
      <c r="M60" s="327" t="str">
        <f t="shared" si="85"/>
        <v>Tidal</v>
      </c>
      <c r="N60" s="327" t="str">
        <f t="shared" si="85"/>
        <v>Local</v>
      </c>
      <c r="O60" s="1263">
        <f t="shared" si="85"/>
        <v>0</v>
      </c>
      <c r="P60" s="1263">
        <f t="shared" si="85"/>
        <v>0</v>
      </c>
      <c r="Q60" s="327">
        <f t="shared" si="85"/>
        <v>3</v>
      </c>
      <c r="R60" s="326" t="str">
        <f t="shared" si="85"/>
        <v>Long-Term</v>
      </c>
      <c r="S60" s="329"/>
      <c r="T60" s="329">
        <f t="shared" si="72"/>
        <v>2</v>
      </c>
      <c r="U60" s="1164">
        <f t="shared" si="78"/>
        <v>53</v>
      </c>
      <c r="V60" s="1164">
        <f t="shared" si="78"/>
        <v>54</v>
      </c>
      <c r="W60" s="1166">
        <f t="shared" si="73"/>
        <v>10.48551094775039</v>
      </c>
      <c r="X60" s="1166">
        <f t="shared" si="74"/>
        <v>10.485510947750413</v>
      </c>
      <c r="Y60" s="1167">
        <f t="shared" si="86"/>
        <v>1.0000000000000022</v>
      </c>
      <c r="Z60" s="1161">
        <f t="shared" si="87"/>
        <v>0</v>
      </c>
      <c r="AA60" s="1161"/>
      <c r="AB60" s="1164">
        <f t="shared" si="79"/>
        <v>53</v>
      </c>
      <c r="AC60" s="1164">
        <f t="shared" si="79"/>
        <v>54</v>
      </c>
      <c r="AD60" s="1166">
        <f t="shared" si="75"/>
        <v>1.7488427628037482</v>
      </c>
      <c r="AE60" s="1166">
        <f t="shared" si="76"/>
        <v>1.7488427628037471</v>
      </c>
      <c r="AF60" s="1167">
        <f t="shared" si="88"/>
        <v>0.99999999999999933</v>
      </c>
      <c r="AG60" s="1161">
        <f t="shared" si="77"/>
        <v>0</v>
      </c>
    </row>
    <row r="61" spans="1:33" s="1136" customFormat="1">
      <c r="A61" s="1137" t="str">
        <f t="shared" si="89"/>
        <v>CRE 135</v>
      </c>
      <c r="B61" s="330" t="str">
        <f t="shared" si="90"/>
        <v xml:space="preserve">Hickeys Creek Canal Widening </v>
      </c>
      <c r="C61" s="325" t="str">
        <f t="shared" si="66"/>
        <v>West Cal.</v>
      </c>
      <c r="D61" s="1176">
        <f t="shared" si="67"/>
        <v>0.20457017239999983</v>
      </c>
      <c r="E61" s="1176">
        <f t="shared" si="68"/>
        <v>5.1255941200000078E-2</v>
      </c>
      <c r="F61" s="325"/>
      <c r="G61" s="1174">
        <f t="shared" si="69"/>
        <v>0.20457017239999997</v>
      </c>
      <c r="H61" s="1174">
        <f t="shared" si="70"/>
        <v>5.1255941199999988E-2</v>
      </c>
      <c r="I61" s="1176"/>
      <c r="J61" s="1247">
        <v>10</v>
      </c>
      <c r="K61" s="326" t="str">
        <f t="shared" si="85"/>
        <v>CRE 135</v>
      </c>
      <c r="L61" s="326" t="str">
        <f t="shared" si="85"/>
        <v xml:space="preserve">Hickeys Creek Canal Widening </v>
      </c>
      <c r="M61" s="327" t="str">
        <f t="shared" si="85"/>
        <v>West</v>
      </c>
      <c r="N61" s="327" t="str">
        <f t="shared" si="85"/>
        <v>Local</v>
      </c>
      <c r="O61" s="1263">
        <f t="shared" si="85"/>
        <v>113</v>
      </c>
      <c r="P61" s="1263">
        <f t="shared" si="85"/>
        <v>451</v>
      </c>
      <c r="Q61" s="327">
        <f t="shared" si="85"/>
        <v>3</v>
      </c>
      <c r="R61" s="326" t="str">
        <f t="shared" si="85"/>
        <v>Long-Term</v>
      </c>
      <c r="S61" s="329"/>
      <c r="T61" s="329">
        <f t="shared" si="72"/>
        <v>3</v>
      </c>
      <c r="U61" s="1164">
        <f t="shared" si="78"/>
        <v>53</v>
      </c>
      <c r="V61" s="1164">
        <f t="shared" si="78"/>
        <v>54</v>
      </c>
      <c r="W61" s="1166">
        <f t="shared" si="73"/>
        <v>39.703396364399993</v>
      </c>
      <c r="X61" s="1166">
        <f t="shared" si="74"/>
        <v>39.703396364399964</v>
      </c>
      <c r="Y61" s="1167">
        <f t="shared" si="86"/>
        <v>0.99999999999999933</v>
      </c>
      <c r="Z61" s="1161">
        <f t="shared" si="87"/>
        <v>450.99999999999972</v>
      </c>
      <c r="AA61" s="1161"/>
      <c r="AB61" s="1164">
        <f t="shared" si="79"/>
        <v>53</v>
      </c>
      <c r="AC61" s="1164">
        <f t="shared" si="79"/>
        <v>54</v>
      </c>
      <c r="AD61" s="1166">
        <f t="shared" si="75"/>
        <v>7.027507053199999</v>
      </c>
      <c r="AE61" s="1166">
        <f t="shared" si="76"/>
        <v>7.0275070532000115</v>
      </c>
      <c r="AF61" s="1167">
        <f t="shared" si="88"/>
        <v>1.0000000000000018</v>
      </c>
      <c r="AG61" s="1161">
        <f t="shared" si="77"/>
        <v>113.0000000000002</v>
      </c>
    </row>
    <row r="62" spans="1:33" s="1136" customFormat="1">
      <c r="A62" s="1137" t="str">
        <f t="shared" si="89"/>
        <v>CRE 141</v>
      </c>
      <c r="B62" s="330" t="str">
        <f t="shared" si="90"/>
        <v>Winkler Canal Filter Marsh</v>
      </c>
      <c r="C62" s="325" t="str">
        <f t="shared" si="66"/>
        <v>Tidal Cal.</v>
      </c>
      <c r="D62" s="1176">
        <f t="shared" si="67"/>
        <v>0.19776628640000041</v>
      </c>
      <c r="E62" s="1176">
        <f t="shared" si="68"/>
        <v>7.5749930799999934E-2</v>
      </c>
      <c r="F62" s="325"/>
      <c r="G62" s="1174">
        <f t="shared" si="69"/>
        <v>0.19776628639999996</v>
      </c>
      <c r="H62" s="1174">
        <f t="shared" si="70"/>
        <v>7.574993079999999E-2</v>
      </c>
      <c r="I62" s="1176"/>
      <c r="J62" s="1247">
        <v>15</v>
      </c>
      <c r="K62" s="326" t="str">
        <f t="shared" si="85"/>
        <v>CRE 141</v>
      </c>
      <c r="L62" s="326" t="str">
        <f t="shared" si="85"/>
        <v>Winkler Canal Filter Marsh</v>
      </c>
      <c r="M62" s="327" t="str">
        <f t="shared" si="85"/>
        <v>Tidal</v>
      </c>
      <c r="N62" s="327" t="str">
        <f t="shared" si="85"/>
        <v>Local</v>
      </c>
      <c r="O62" s="1263">
        <f t="shared" si="85"/>
        <v>167</v>
      </c>
      <c r="P62" s="1263">
        <f t="shared" si="85"/>
        <v>436</v>
      </c>
      <c r="Q62" s="327">
        <f t="shared" si="85"/>
        <v>3</v>
      </c>
      <c r="R62" s="326" t="str">
        <f t="shared" si="85"/>
        <v>Long-Term</v>
      </c>
      <c r="S62" s="329"/>
      <c r="T62" s="329">
        <f t="shared" si="72"/>
        <v>2</v>
      </c>
      <c r="U62" s="1164">
        <f t="shared" si="78"/>
        <v>53</v>
      </c>
      <c r="V62" s="1164">
        <f t="shared" si="78"/>
        <v>54</v>
      </c>
      <c r="W62" s="1166">
        <f t="shared" si="73"/>
        <v>10.48551094775039</v>
      </c>
      <c r="X62" s="1166">
        <f t="shared" si="74"/>
        <v>10.485510947750413</v>
      </c>
      <c r="Y62" s="1167">
        <f t="shared" si="86"/>
        <v>1.0000000000000022</v>
      </c>
      <c r="Z62" s="1161">
        <f t="shared" si="87"/>
        <v>436.00000000000097</v>
      </c>
      <c r="AA62" s="1161"/>
      <c r="AB62" s="1164">
        <f t="shared" si="79"/>
        <v>53</v>
      </c>
      <c r="AC62" s="1164">
        <f t="shared" si="79"/>
        <v>54</v>
      </c>
      <c r="AD62" s="1166">
        <f t="shared" si="75"/>
        <v>1.7488427628037482</v>
      </c>
      <c r="AE62" s="1166">
        <f t="shared" si="76"/>
        <v>1.7488427628037471</v>
      </c>
      <c r="AF62" s="1167">
        <f t="shared" si="88"/>
        <v>0.99999999999999933</v>
      </c>
      <c r="AG62" s="1161">
        <f t="shared" si="77"/>
        <v>166.99999999999989</v>
      </c>
    </row>
    <row r="63" spans="1:33" s="1136" customFormat="1">
      <c r="A63" s="1137" t="str">
        <f t="shared" si="89"/>
        <v>CRE 142</v>
      </c>
      <c r="B63" s="330" t="str">
        <f t="shared" si="90"/>
        <v>Harns Marsh Improvements, Phase III, West Marsh</v>
      </c>
      <c r="C63" s="325" t="str">
        <f t="shared" si="66"/>
        <v>Tidal Cal.</v>
      </c>
      <c r="D63" s="1176" t="str">
        <f t="shared" si="67"/>
        <v>TBD</v>
      </c>
      <c r="E63" s="1176" t="str">
        <f t="shared" si="68"/>
        <v>TBD</v>
      </c>
      <c r="F63" s="325"/>
      <c r="G63" s="1174" t="str">
        <f t="shared" si="69"/>
        <v>TBD</v>
      </c>
      <c r="H63" s="1174" t="str">
        <f t="shared" si="70"/>
        <v>TBD</v>
      </c>
      <c r="I63" s="1176"/>
      <c r="J63" s="1247">
        <v>16</v>
      </c>
      <c r="K63" s="326" t="str">
        <f t="shared" si="85"/>
        <v>CRE 142</v>
      </c>
      <c r="L63" s="326" t="str">
        <f t="shared" si="85"/>
        <v>Harns Marsh Improvements, Phase III, West Marsh</v>
      </c>
      <c r="M63" s="327" t="str">
        <f t="shared" si="85"/>
        <v>Tidal</v>
      </c>
      <c r="N63" s="327" t="str">
        <f t="shared" si="85"/>
        <v>Local</v>
      </c>
      <c r="O63" s="1263" t="str">
        <f t="shared" si="85"/>
        <v>TBD</v>
      </c>
      <c r="P63" s="1263" t="str">
        <f t="shared" si="85"/>
        <v>TBD</v>
      </c>
      <c r="Q63" s="327">
        <f t="shared" si="85"/>
        <v>3</v>
      </c>
      <c r="R63" s="326" t="str">
        <f t="shared" si="85"/>
        <v>Long-Term</v>
      </c>
      <c r="S63" s="329"/>
      <c r="T63" s="329">
        <f t="shared" si="72"/>
        <v>2</v>
      </c>
      <c r="U63" s="1164">
        <f t="shared" si="78"/>
        <v>53</v>
      </c>
      <c r="V63" s="1164">
        <f t="shared" si="78"/>
        <v>54</v>
      </c>
      <c r="W63" s="1166">
        <f t="shared" si="73"/>
        <v>10.48551094775039</v>
      </c>
      <c r="X63" s="1166">
        <f t="shared" si="74"/>
        <v>10.485510947750413</v>
      </c>
      <c r="Y63" s="1167">
        <f t="shared" si="86"/>
        <v>1.0000000000000022</v>
      </c>
      <c r="Z63" s="1161">
        <f t="shared" si="87"/>
        <v>0</v>
      </c>
      <c r="AA63" s="1161"/>
      <c r="AB63" s="1164">
        <f t="shared" si="79"/>
        <v>53</v>
      </c>
      <c r="AC63" s="1164">
        <f t="shared" si="79"/>
        <v>54</v>
      </c>
      <c r="AD63" s="1166">
        <f t="shared" si="75"/>
        <v>1.7488427628037482</v>
      </c>
      <c r="AE63" s="1166">
        <f t="shared" si="76"/>
        <v>1.7488427628037471</v>
      </c>
      <c r="AF63" s="1167">
        <f t="shared" si="88"/>
        <v>0.99999999999999933</v>
      </c>
      <c r="AG63" s="1161">
        <f t="shared" si="77"/>
        <v>0</v>
      </c>
    </row>
    <row r="64" spans="1:33" s="1136" customFormat="1">
      <c r="A64" s="1137" t="str">
        <f t="shared" si="89"/>
        <v>CRE 144</v>
      </c>
      <c r="B64" s="330" t="str">
        <f t="shared" si="90"/>
        <v>ECWCD - Section 10 Storage Project</v>
      </c>
      <c r="C64" s="325" t="str">
        <f t="shared" si="66"/>
        <v>West Cal.</v>
      </c>
      <c r="D64" s="1176">
        <f t="shared" si="67"/>
        <v>1.6329326399999986</v>
      </c>
      <c r="E64" s="1176">
        <f t="shared" si="68"/>
        <v>0.40823316000000065</v>
      </c>
      <c r="F64" s="325"/>
      <c r="G64" s="1174">
        <f t="shared" si="69"/>
        <v>1.6329326399999997</v>
      </c>
      <c r="H64" s="1174">
        <f t="shared" si="70"/>
        <v>0.40823315999999993</v>
      </c>
      <c r="I64" s="1176"/>
      <c r="J64" s="1247">
        <v>18</v>
      </c>
      <c r="K64" s="326" t="str">
        <f t="shared" si="85"/>
        <v>CRE 144</v>
      </c>
      <c r="L64" s="326" t="str">
        <f t="shared" si="85"/>
        <v>ECWCD - Section 10 Storage Project</v>
      </c>
      <c r="M64" s="327" t="str">
        <f t="shared" si="85"/>
        <v>West</v>
      </c>
      <c r="N64" s="327" t="str">
        <f t="shared" si="85"/>
        <v>Local</v>
      </c>
      <c r="O64" s="1263">
        <f t="shared" si="85"/>
        <v>900</v>
      </c>
      <c r="P64" s="1263">
        <f t="shared" si="85"/>
        <v>3600</v>
      </c>
      <c r="Q64" s="327">
        <f t="shared" si="85"/>
        <v>3</v>
      </c>
      <c r="R64" s="326" t="str">
        <f t="shared" si="85"/>
        <v>Long-Term</v>
      </c>
      <c r="S64" s="329"/>
      <c r="T64" s="329">
        <f t="shared" si="72"/>
        <v>3</v>
      </c>
      <c r="U64" s="1164">
        <f t="shared" si="78"/>
        <v>53</v>
      </c>
      <c r="V64" s="1164">
        <f t="shared" si="78"/>
        <v>54</v>
      </c>
      <c r="W64" s="1166">
        <f t="shared" si="73"/>
        <v>39.703396364399993</v>
      </c>
      <c r="X64" s="1166">
        <f t="shared" si="74"/>
        <v>39.703396364399964</v>
      </c>
      <c r="Y64" s="1167">
        <f t="shared" ref="Y64" si="91">IF(W64&gt;0,X64/W64,IF(W64&lt;0,1,0))</f>
        <v>0.99999999999999933</v>
      </c>
      <c r="Z64" s="1161">
        <f t="shared" ref="Z64" si="92">IF(ISNUMBER($P64),$P64*Y64,0)</f>
        <v>3599.9999999999977</v>
      </c>
      <c r="AA64" s="1161"/>
      <c r="AB64" s="1164">
        <f t="shared" si="79"/>
        <v>53</v>
      </c>
      <c r="AC64" s="1164">
        <f t="shared" si="79"/>
        <v>54</v>
      </c>
      <c r="AD64" s="1166">
        <f t="shared" si="75"/>
        <v>7.027507053199999</v>
      </c>
      <c r="AE64" s="1166">
        <f t="shared" si="76"/>
        <v>7.0275070532000115</v>
      </c>
      <c r="AF64" s="1167">
        <f t="shared" ref="AF64" si="93">IF(AD64&gt;0,AE64/AD64,IF(AD64&lt;0,1,0))</f>
        <v>1.0000000000000018</v>
      </c>
      <c r="AG64" s="1161">
        <f t="shared" ref="AG64" si="94">IF(ISNUMBER($O64),$O64*AF64,0)</f>
        <v>900.00000000000159</v>
      </c>
    </row>
    <row r="65" spans="1:33" s="437" customFormat="1">
      <c r="A65" s="1138" t="s">
        <v>156</v>
      </c>
      <c r="B65" s="1148"/>
      <c r="C65" s="325"/>
      <c r="D65" s="1175">
        <f>SUM(D45:D64)</f>
        <v>78.051458637599922</v>
      </c>
      <c r="E65" s="1175">
        <f>SUM(E45:E64)</f>
        <v>12.705792045835485</v>
      </c>
      <c r="F65" s="1234"/>
      <c r="G65" s="1175">
        <f>SUM(G45:G64)</f>
        <v>78.051458637599978</v>
      </c>
      <c r="H65" s="1175">
        <f>SUM(H45:H64)</f>
        <v>14.439206869199994</v>
      </c>
      <c r="I65" s="1177"/>
      <c r="J65" s="1248"/>
      <c r="K65" s="1144"/>
      <c r="L65" s="326"/>
      <c r="M65" s="1145"/>
      <c r="N65" s="1145"/>
      <c r="O65" s="1264"/>
      <c r="P65" s="1264"/>
      <c r="Q65" s="1146"/>
      <c r="S65" s="1145"/>
      <c r="T65" s="329"/>
      <c r="U65" s="1165"/>
      <c r="V65" s="1165"/>
      <c r="X65" s="1166"/>
      <c r="Y65" s="1167"/>
      <c r="Z65" s="1161"/>
      <c r="AA65" s="1161"/>
      <c r="AB65" s="1165"/>
      <c r="AC65" s="1165"/>
      <c r="AE65" s="1166"/>
      <c r="AF65" s="1167"/>
      <c r="AG65" s="1161"/>
    </row>
    <row r="66" spans="1:33" s="1136" customFormat="1">
      <c r="A66" s="1140"/>
      <c r="B66" s="326"/>
      <c r="C66" s="325"/>
      <c r="D66" s="1176"/>
      <c r="E66" s="1176"/>
      <c r="F66" s="325"/>
      <c r="G66" s="1174"/>
      <c r="H66" s="1174"/>
      <c r="I66" s="1176"/>
      <c r="J66" s="1247"/>
      <c r="K66" s="325"/>
      <c r="L66" s="329"/>
      <c r="M66" s="329"/>
      <c r="N66" s="329"/>
      <c r="O66" s="1265"/>
      <c r="P66" s="1265"/>
      <c r="Q66" s="1129"/>
      <c r="S66" s="329"/>
      <c r="T66" s="329"/>
      <c r="U66" s="436"/>
      <c r="V66" s="436"/>
      <c r="X66" s="1166"/>
      <c r="Y66" s="1167"/>
      <c r="Z66" s="1161"/>
      <c r="AA66" s="1161"/>
      <c r="AB66" s="436"/>
      <c r="AC66" s="436"/>
      <c r="AE66" s="1166"/>
      <c r="AF66" s="1167"/>
      <c r="AG66" s="1161"/>
    </row>
    <row r="67" spans="1:33" s="1136" customFormat="1">
      <c r="A67" s="1147" t="s">
        <v>1211</v>
      </c>
      <c r="B67" s="326"/>
      <c r="C67" s="325"/>
      <c r="D67" s="1176"/>
      <c r="E67" s="1176"/>
      <c r="F67" s="325"/>
      <c r="G67" s="1174"/>
      <c r="H67" s="1174"/>
      <c r="I67" s="1176"/>
      <c r="J67" s="1247"/>
      <c r="K67" s="325"/>
      <c r="L67" s="329"/>
      <c r="M67" s="329"/>
      <c r="N67" s="329"/>
      <c r="O67" s="1265"/>
      <c r="P67" s="1265"/>
      <c r="Q67" s="1129"/>
      <c r="S67" s="329"/>
      <c r="T67" s="329"/>
      <c r="U67" s="1253">
        <v>58</v>
      </c>
      <c r="V67" s="1253">
        <v>59</v>
      </c>
      <c r="X67" s="1166"/>
      <c r="Y67" s="1167"/>
      <c r="Z67" s="1161"/>
      <c r="AA67" s="1161"/>
      <c r="AB67" s="1253">
        <v>58</v>
      </c>
      <c r="AC67" s="1253">
        <v>59</v>
      </c>
      <c r="AE67" s="1166"/>
      <c r="AF67" s="1167"/>
      <c r="AG67" s="1161"/>
    </row>
    <row r="68" spans="1:33" s="1136" customFormat="1">
      <c r="A68" s="1137" t="str">
        <f t="shared" ref="A68:A71" si="95">K68</f>
        <v>CRE-LO 40-1</v>
      </c>
      <c r="B68" s="330" t="str">
        <f t="shared" ref="B68:B71" si="96">L68</f>
        <v>West Lake Hicpochee Storage - I</v>
      </c>
      <c r="C68" s="325" t="str">
        <f t="shared" ref="C68:C83" si="97">VLOOKUP($T68,subwatgeog,2,FALSE)</f>
        <v>East Cal.</v>
      </c>
      <c r="D68" s="1176">
        <f t="shared" ref="D68:D83" si="98">IF(ISNUMBER($P68),$Z68/lb_mton,$P68)</f>
        <v>2.0500981576302069</v>
      </c>
      <c r="E68" s="1176">
        <f t="shared" ref="E68:E83" si="99">IF(ISNUMBER($O68),$AG68/lb_mton,$O68)</f>
        <v>0</v>
      </c>
      <c r="F68" s="325"/>
      <c r="G68" s="1174">
        <f t="shared" ref="G68:G85" si="100">IF(ISNUMBER($P68),$P68/lb_mton,$P68)</f>
        <v>13.113210525348428</v>
      </c>
      <c r="H68" s="1174">
        <f t="shared" ref="H68:H85" si="101">IF(ISNUMBER($O68),$O68/lb_mton,$O68)</f>
        <v>1.1344353511380469</v>
      </c>
      <c r="I68" s="1178"/>
      <c r="J68" s="1249">
        <v>57</v>
      </c>
      <c r="K68" s="326" t="str">
        <f t="shared" ref="K68:R77" si="102">VLOOKUP($J68,MM_List,K$9,FALSE)</f>
        <v>CRE-LO 40-1</v>
      </c>
      <c r="L68" s="326" t="str">
        <f t="shared" si="102"/>
        <v>West Lake Hicpochee Storage - I</v>
      </c>
      <c r="M68" s="327" t="str">
        <f t="shared" si="102"/>
        <v>East</v>
      </c>
      <c r="N68" s="327" t="str">
        <f t="shared" si="102"/>
        <v>Regional</v>
      </c>
      <c r="O68" s="1263">
        <f t="shared" si="102"/>
        <v>2501.0016727309521</v>
      </c>
      <c r="P68" s="1263">
        <f t="shared" si="102"/>
        <v>28909.678657200675</v>
      </c>
      <c r="Q68" s="327">
        <f t="shared" si="102"/>
        <v>3</v>
      </c>
      <c r="R68" s="326" t="str">
        <f t="shared" si="102"/>
        <v>Long-Term</v>
      </c>
      <c r="S68" s="329"/>
      <c r="T68" s="329">
        <f t="shared" ref="T68:T85" si="103">VLOOKUP($M68,subwatindex,3,FALSE)</f>
        <v>4</v>
      </c>
      <c r="U68" s="1164">
        <f>U$67</f>
        <v>58</v>
      </c>
      <c r="V68" s="1164">
        <f>V$67</f>
        <v>59</v>
      </c>
      <c r="W68" s="1166">
        <f t="shared" ref="W68:W85" si="104">VLOOKUP(U68,loads_summ,W$9+$T68,FALSE)</f>
        <v>360.71140872717206</v>
      </c>
      <c r="X68" s="1166">
        <f t="shared" ref="X68:X85" si="105">VLOOKUP(V68,loads_summ,X$9+$T68,FALSE)</f>
        <v>56.393039144631814</v>
      </c>
      <c r="Y68" s="1167">
        <f t="shared" si="22"/>
        <v>0.15633838514735002</v>
      </c>
      <c r="Z68" s="1161">
        <f t="shared" si="23"/>
        <v>4519.692476395564</v>
      </c>
      <c r="AA68" s="1161"/>
      <c r="AB68" s="1164">
        <f>AB$67</f>
        <v>58</v>
      </c>
      <c r="AC68" s="1164">
        <f>AC$67</f>
        <v>59</v>
      </c>
      <c r="AD68" s="1166">
        <f t="shared" ref="AD68:AD85" si="106">VLOOKUP(AB68,loads_summ,AD$9+$T68,FALSE)</f>
        <v>53.660756544758605</v>
      </c>
      <c r="AE68" s="1166">
        <f t="shared" ref="AE68:AE85" si="107">VLOOKUP(AC68,loads_summ,AE$9+$T68,FALSE)</f>
        <v>0</v>
      </c>
      <c r="AF68" s="1167">
        <f t="shared" si="24"/>
        <v>0</v>
      </c>
      <c r="AG68" s="1161">
        <f t="shared" ref="AG68:AG81" si="108">IF(ISNUMBER($O68),$O68*AF68,0)</f>
        <v>0</v>
      </c>
    </row>
    <row r="69" spans="1:33" s="1136" customFormat="1">
      <c r="A69" s="1137" t="str">
        <f t="shared" si="95"/>
        <v>CRE-LO 40-2</v>
      </c>
      <c r="B69" s="330" t="str">
        <f t="shared" si="96"/>
        <v>West Lake Hicpochee Storage - II</v>
      </c>
      <c r="C69" s="325" t="str">
        <f t="shared" si="97"/>
        <v>East Cal.</v>
      </c>
      <c r="D69" s="1176">
        <f t="shared" si="98"/>
        <v>2.2604649944734909</v>
      </c>
      <c r="E69" s="1176">
        <f t="shared" si="99"/>
        <v>0</v>
      </c>
      <c r="F69" s="325"/>
      <c r="G69" s="1174">
        <f t="shared" si="100"/>
        <v>14.458797129975386</v>
      </c>
      <c r="H69" s="1174">
        <f t="shared" si="101"/>
        <v>0.81356557641515082</v>
      </c>
      <c r="I69" s="1178"/>
      <c r="J69" s="1249">
        <v>58</v>
      </c>
      <c r="K69" s="326" t="str">
        <f t="shared" si="102"/>
        <v>CRE-LO 40-2</v>
      </c>
      <c r="L69" s="326" t="str">
        <f t="shared" si="102"/>
        <v>West Lake Hicpochee Storage - II</v>
      </c>
      <c r="M69" s="327" t="str">
        <f t="shared" si="102"/>
        <v>East</v>
      </c>
      <c r="N69" s="327" t="str">
        <f t="shared" si="102"/>
        <v>Regional</v>
      </c>
      <c r="O69" s="1263">
        <f t="shared" si="102"/>
        <v>1793.6049554956189</v>
      </c>
      <c r="P69" s="1263">
        <f t="shared" si="102"/>
        <v>31876.189129216866</v>
      </c>
      <c r="Q69" s="327">
        <f t="shared" si="102"/>
        <v>3</v>
      </c>
      <c r="R69" s="326" t="str">
        <f t="shared" si="102"/>
        <v>Long-Term</v>
      </c>
      <c r="S69" s="329"/>
      <c r="T69" s="329">
        <f t="shared" si="103"/>
        <v>4</v>
      </c>
      <c r="U69" s="1164">
        <f t="shared" ref="U69:V85" si="109">U$67</f>
        <v>58</v>
      </c>
      <c r="V69" s="1164">
        <f t="shared" si="109"/>
        <v>59</v>
      </c>
      <c r="W69" s="1166">
        <f t="shared" si="104"/>
        <v>360.71140872717206</v>
      </c>
      <c r="X69" s="1166">
        <f t="shared" si="105"/>
        <v>56.393039144631814</v>
      </c>
      <c r="Y69" s="1167">
        <f t="shared" si="22"/>
        <v>0.15633838514735002</v>
      </c>
      <c r="Z69" s="1161">
        <f t="shared" si="23"/>
        <v>4983.4719331132783</v>
      </c>
      <c r="AA69" s="1161"/>
      <c r="AB69" s="1164">
        <f t="shared" ref="AB69:AC85" si="110">AB$67</f>
        <v>58</v>
      </c>
      <c r="AC69" s="1164">
        <f t="shared" si="110"/>
        <v>59</v>
      </c>
      <c r="AD69" s="1166">
        <f t="shared" si="106"/>
        <v>53.660756544758605</v>
      </c>
      <c r="AE69" s="1166">
        <f t="shared" si="107"/>
        <v>0</v>
      </c>
      <c r="AF69" s="1167">
        <f t="shared" si="24"/>
        <v>0</v>
      </c>
      <c r="AG69" s="1161">
        <f t="shared" si="108"/>
        <v>0</v>
      </c>
    </row>
    <row r="70" spans="1:33" s="1136" customFormat="1">
      <c r="A70" s="1137" t="str">
        <f t="shared" si="95"/>
        <v>CRE-LO 41-1</v>
      </c>
      <c r="B70" s="330" t="str">
        <f t="shared" si="96"/>
        <v>C-43 Distributed Reservoirs - I</v>
      </c>
      <c r="C70" s="325" t="str">
        <f t="shared" si="97"/>
        <v>East Cal.</v>
      </c>
      <c r="D70" s="1176">
        <f t="shared" si="98"/>
        <v>4.697366490621298</v>
      </c>
      <c r="E70" s="1176">
        <f t="shared" si="99"/>
        <v>0</v>
      </c>
      <c r="F70" s="325"/>
      <c r="G70" s="1174">
        <f t="shared" si="100"/>
        <v>30.046149486538429</v>
      </c>
      <c r="H70" s="1174">
        <f t="shared" si="101"/>
        <v>2.0070220672820605</v>
      </c>
      <c r="I70" s="1178"/>
      <c r="J70" s="1249">
        <v>59</v>
      </c>
      <c r="K70" s="326" t="str">
        <f t="shared" si="102"/>
        <v>CRE-LO 41-1</v>
      </c>
      <c r="L70" s="326" t="str">
        <f t="shared" si="102"/>
        <v>C-43 Distributed Reservoirs - I</v>
      </c>
      <c r="M70" s="327" t="str">
        <f t="shared" si="102"/>
        <v>East</v>
      </c>
      <c r="N70" s="327" t="str">
        <f t="shared" si="102"/>
        <v>Regional</v>
      </c>
      <c r="O70" s="1263">
        <f t="shared" si="102"/>
        <v>4424.7259594341986</v>
      </c>
      <c r="P70" s="1263">
        <f t="shared" si="102"/>
        <v>66240.416476418992</v>
      </c>
      <c r="Q70" s="327">
        <f t="shared" si="102"/>
        <v>3</v>
      </c>
      <c r="R70" s="326" t="str">
        <f t="shared" si="102"/>
        <v>Long-Term</v>
      </c>
      <c r="S70" s="329"/>
      <c r="T70" s="329">
        <f t="shared" si="103"/>
        <v>4</v>
      </c>
      <c r="U70" s="1164">
        <f t="shared" si="109"/>
        <v>58</v>
      </c>
      <c r="V70" s="1164">
        <f t="shared" si="109"/>
        <v>59</v>
      </c>
      <c r="W70" s="1166">
        <f t="shared" si="104"/>
        <v>360.71140872717206</v>
      </c>
      <c r="X70" s="1166">
        <f t="shared" si="105"/>
        <v>56.393039144631814</v>
      </c>
      <c r="Y70" s="1167">
        <f t="shared" si="22"/>
        <v>0.15633838514735002</v>
      </c>
      <c r="Z70" s="1161">
        <f t="shared" si="23"/>
        <v>10355.919743411263</v>
      </c>
      <c r="AA70" s="1161"/>
      <c r="AB70" s="1164">
        <f t="shared" si="110"/>
        <v>58</v>
      </c>
      <c r="AC70" s="1164">
        <f t="shared" si="110"/>
        <v>59</v>
      </c>
      <c r="AD70" s="1166">
        <f t="shared" si="106"/>
        <v>53.660756544758605</v>
      </c>
      <c r="AE70" s="1166">
        <f t="shared" si="107"/>
        <v>0</v>
      </c>
      <c r="AF70" s="1167">
        <f t="shared" si="24"/>
        <v>0</v>
      </c>
      <c r="AG70" s="1161">
        <f t="shared" si="108"/>
        <v>0</v>
      </c>
    </row>
    <row r="71" spans="1:33" s="1136" customFormat="1">
      <c r="A71" s="1137" t="str">
        <f t="shared" si="95"/>
        <v>CRE-LO 41-2</v>
      </c>
      <c r="B71" s="330" t="str">
        <f t="shared" si="96"/>
        <v>C-43 Distributed Reservoirs - II</v>
      </c>
      <c r="C71" s="325" t="str">
        <f t="shared" si="97"/>
        <v>East Cal.</v>
      </c>
      <c r="D71" s="1176">
        <f t="shared" si="98"/>
        <v>1.4578849334142714</v>
      </c>
      <c r="E71" s="1176">
        <f t="shared" si="99"/>
        <v>0</v>
      </c>
      <c r="F71" s="325"/>
      <c r="G71" s="1174">
        <f t="shared" si="100"/>
        <v>9.3251886415495768</v>
      </c>
      <c r="H71" s="1174">
        <f t="shared" si="101"/>
        <v>0.64616755136193937</v>
      </c>
      <c r="I71" s="1178"/>
      <c r="J71" s="1249">
        <v>60</v>
      </c>
      <c r="K71" s="326" t="str">
        <f t="shared" si="102"/>
        <v>CRE-LO 41-2</v>
      </c>
      <c r="L71" s="326" t="str">
        <f t="shared" si="102"/>
        <v>C-43 Distributed Reservoirs - II</v>
      </c>
      <c r="M71" s="327" t="str">
        <f t="shared" si="102"/>
        <v>East</v>
      </c>
      <c r="N71" s="327" t="str">
        <f t="shared" si="102"/>
        <v>Regional</v>
      </c>
      <c r="O71" s="1263">
        <f t="shared" si="102"/>
        <v>1424.5555070189437</v>
      </c>
      <c r="P71" s="1263">
        <f t="shared" si="102"/>
        <v>20558.520472454074</v>
      </c>
      <c r="Q71" s="327">
        <f t="shared" si="102"/>
        <v>3</v>
      </c>
      <c r="R71" s="326" t="str">
        <f t="shared" si="102"/>
        <v>Long-Term</v>
      </c>
      <c r="S71" s="329"/>
      <c r="T71" s="329">
        <f t="shared" si="103"/>
        <v>4</v>
      </c>
      <c r="U71" s="1164">
        <f t="shared" si="109"/>
        <v>58</v>
      </c>
      <c r="V71" s="1164">
        <f t="shared" si="109"/>
        <v>59</v>
      </c>
      <c r="W71" s="1166">
        <f t="shared" si="104"/>
        <v>360.71140872717206</v>
      </c>
      <c r="X71" s="1166">
        <f t="shared" si="105"/>
        <v>56.393039144631814</v>
      </c>
      <c r="Y71" s="1167">
        <f t="shared" si="22"/>
        <v>0.15633838514735002</v>
      </c>
      <c r="Z71" s="1161">
        <f t="shared" si="23"/>
        <v>3214.0858916822053</v>
      </c>
      <c r="AA71" s="1161"/>
      <c r="AB71" s="1164">
        <f t="shared" si="110"/>
        <v>58</v>
      </c>
      <c r="AC71" s="1164">
        <f t="shared" si="110"/>
        <v>59</v>
      </c>
      <c r="AD71" s="1166">
        <f t="shared" si="106"/>
        <v>53.660756544758605</v>
      </c>
      <c r="AE71" s="1166">
        <f t="shared" si="107"/>
        <v>0</v>
      </c>
      <c r="AF71" s="1167">
        <f t="shared" si="24"/>
        <v>0</v>
      </c>
      <c r="AG71" s="1161">
        <f t="shared" si="108"/>
        <v>0</v>
      </c>
    </row>
    <row r="72" spans="1:33" s="1136" customFormat="1">
      <c r="A72" s="1137" t="str">
        <f>K72</f>
        <v>CRE 01-1</v>
      </c>
      <c r="B72" s="330" t="str">
        <f>L72</f>
        <v>Recyclable Water Containment Areas (RWCA) - I and II, East Cal.</v>
      </c>
      <c r="C72" s="325" t="str">
        <f t="shared" si="97"/>
        <v>East Cal.</v>
      </c>
      <c r="D72" s="1176">
        <f t="shared" si="98"/>
        <v>4.219880736914746</v>
      </c>
      <c r="E72" s="1176">
        <f t="shared" si="99"/>
        <v>0</v>
      </c>
      <c r="F72" s="325"/>
      <c r="G72" s="1174">
        <f t="shared" si="100"/>
        <v>26.991968306039997</v>
      </c>
      <c r="H72" s="1174">
        <f t="shared" si="101"/>
        <v>5.7346208420775984</v>
      </c>
      <c r="I72" s="1178"/>
      <c r="J72" s="1249">
        <v>42</v>
      </c>
      <c r="K72" s="326" t="str">
        <f t="shared" si="102"/>
        <v>CRE 01-1</v>
      </c>
      <c r="L72" s="326" t="str">
        <f t="shared" si="102"/>
        <v>Recyclable Water Containment Areas (RWCA) - I and II, East Cal.</v>
      </c>
      <c r="M72" s="327" t="str">
        <f t="shared" si="102"/>
        <v>East</v>
      </c>
      <c r="N72" s="327" t="str">
        <f t="shared" si="102"/>
        <v>Regional</v>
      </c>
      <c r="O72" s="1263">
        <f t="shared" si="102"/>
        <v>12642.673999999999</v>
      </c>
      <c r="P72" s="1263">
        <f t="shared" si="102"/>
        <v>59507.100000000006</v>
      </c>
      <c r="Q72" s="327">
        <f t="shared" si="102"/>
        <v>3</v>
      </c>
      <c r="R72" s="326" t="str">
        <f t="shared" si="102"/>
        <v>Long-Term</v>
      </c>
      <c r="S72" s="329"/>
      <c r="T72" s="329">
        <f t="shared" si="103"/>
        <v>4</v>
      </c>
      <c r="U72" s="1164">
        <f t="shared" si="109"/>
        <v>58</v>
      </c>
      <c r="V72" s="1164">
        <f t="shared" si="109"/>
        <v>59</v>
      </c>
      <c r="W72" s="1166">
        <f t="shared" si="104"/>
        <v>360.71140872717206</v>
      </c>
      <c r="X72" s="1166">
        <f t="shared" si="105"/>
        <v>56.393039144631814</v>
      </c>
      <c r="Y72" s="1167">
        <f t="shared" ref="Y72" si="111">IF(W72&gt;0,X72/W72,IF(W72&lt;0,1,0))</f>
        <v>0.15633838514735002</v>
      </c>
      <c r="Z72" s="1161">
        <f t="shared" ref="Z72" si="112">IF(ISNUMBER($P72),$P72*Y72,0)</f>
        <v>9303.2439188018725</v>
      </c>
      <c r="AA72" s="1161"/>
      <c r="AB72" s="1164">
        <f t="shared" si="110"/>
        <v>58</v>
      </c>
      <c r="AC72" s="1164">
        <f t="shared" si="110"/>
        <v>59</v>
      </c>
      <c r="AD72" s="1166">
        <f t="shared" si="106"/>
        <v>53.660756544758605</v>
      </c>
      <c r="AE72" s="1166">
        <f t="shared" si="107"/>
        <v>0</v>
      </c>
      <c r="AF72" s="1167">
        <f t="shared" ref="AF72" si="113">IF(AD72&gt;0,AE72/AD72,IF(AD72&lt;0,1,0))</f>
        <v>0</v>
      </c>
      <c r="AG72" s="1161">
        <f t="shared" si="108"/>
        <v>0</v>
      </c>
    </row>
    <row r="73" spans="1:33" s="1136" customFormat="1">
      <c r="A73" s="1137" t="str">
        <f t="shared" ref="A73:A85" si="114">K73</f>
        <v>CRE 01-2</v>
      </c>
      <c r="B73" s="330" t="str">
        <f t="shared" ref="B73:B85" si="115">L73</f>
        <v>Recyclable Water Containment Areas (RWCA) - III and IV, West Cal.</v>
      </c>
      <c r="C73" s="325" t="str">
        <f t="shared" si="97"/>
        <v>West Cal.</v>
      </c>
      <c r="D73" s="1176">
        <f t="shared" si="98"/>
        <v>20.233709585724451</v>
      </c>
      <c r="E73" s="1176">
        <f t="shared" si="99"/>
        <v>2.3975873716502103</v>
      </c>
      <c r="F73" s="325"/>
      <c r="G73" s="1174">
        <f t="shared" si="100"/>
        <v>26.991968306039997</v>
      </c>
      <c r="H73" s="1174">
        <f t="shared" si="101"/>
        <v>5.7346208420775984</v>
      </c>
      <c r="I73" s="1178"/>
      <c r="J73" s="1249">
        <v>43</v>
      </c>
      <c r="K73" s="326" t="str">
        <f t="shared" si="102"/>
        <v>CRE 01-2</v>
      </c>
      <c r="L73" s="326" t="str">
        <f t="shared" si="102"/>
        <v>Recyclable Water Containment Areas (RWCA) - III and IV, West Cal.</v>
      </c>
      <c r="M73" s="327" t="str">
        <f t="shared" si="102"/>
        <v>West</v>
      </c>
      <c r="N73" s="327" t="str">
        <f t="shared" si="102"/>
        <v>Regional</v>
      </c>
      <c r="O73" s="1263">
        <f t="shared" si="102"/>
        <v>12642.673999999999</v>
      </c>
      <c r="P73" s="1263">
        <f t="shared" si="102"/>
        <v>59507.100000000006</v>
      </c>
      <c r="Q73" s="327">
        <f t="shared" si="102"/>
        <v>3</v>
      </c>
      <c r="R73" s="326" t="str">
        <f t="shared" si="102"/>
        <v>Long-Term</v>
      </c>
      <c r="S73" s="329"/>
      <c r="T73" s="329">
        <f t="shared" si="103"/>
        <v>3</v>
      </c>
      <c r="U73" s="1164">
        <f t="shared" si="109"/>
        <v>58</v>
      </c>
      <c r="V73" s="1164">
        <f t="shared" si="109"/>
        <v>59</v>
      </c>
      <c r="W73" s="1166">
        <f t="shared" si="104"/>
        <v>183.97743260284918</v>
      </c>
      <c r="X73" s="1166">
        <f t="shared" si="105"/>
        <v>137.91309694077586</v>
      </c>
      <c r="Y73" s="1167">
        <f t="shared" si="22"/>
        <v>0.74961964078761723</v>
      </c>
      <c r="Z73" s="1161">
        <f t="shared" si="23"/>
        <v>44607.690926312818</v>
      </c>
      <c r="AA73" s="1161"/>
      <c r="AB73" s="1164">
        <f t="shared" si="110"/>
        <v>58</v>
      </c>
      <c r="AC73" s="1164">
        <f t="shared" si="110"/>
        <v>59</v>
      </c>
      <c r="AD73" s="1166">
        <f t="shared" si="106"/>
        <v>36.496031449610726</v>
      </c>
      <c r="AE73" s="1166">
        <f t="shared" si="107"/>
        <v>15.258624158181362</v>
      </c>
      <c r="AF73" s="1167">
        <f t="shared" si="24"/>
        <v>0.41808995532154264</v>
      </c>
      <c r="AG73" s="1161">
        <f t="shared" si="108"/>
        <v>5285.7750078048284</v>
      </c>
    </row>
    <row r="74" spans="1:33" s="1136" customFormat="1">
      <c r="A74" s="1137" t="str">
        <f t="shared" si="114"/>
        <v>CRE 01-3</v>
      </c>
      <c r="B74" s="330" t="str">
        <f t="shared" si="115"/>
        <v>Recyclable Water Containment Areas (RWCA) - V, Tidal Cal.</v>
      </c>
      <c r="C74" s="325" t="str">
        <f t="shared" si="97"/>
        <v>Tidal Cal.</v>
      </c>
      <c r="D74" s="1176">
        <f t="shared" si="98"/>
        <v>13.495984153020006</v>
      </c>
      <c r="E74" s="1176">
        <f t="shared" si="99"/>
        <v>2.8673104210387947</v>
      </c>
      <c r="F74" s="325"/>
      <c r="G74" s="1174">
        <f t="shared" si="100"/>
        <v>13.495984153019998</v>
      </c>
      <c r="H74" s="1174">
        <f t="shared" si="101"/>
        <v>2.8673104210387992</v>
      </c>
      <c r="I74" s="1178"/>
      <c r="J74" s="1249">
        <v>44</v>
      </c>
      <c r="K74" s="326" t="str">
        <f t="shared" si="102"/>
        <v>CRE 01-3</v>
      </c>
      <c r="L74" s="326" t="str">
        <f t="shared" si="102"/>
        <v>Recyclable Water Containment Areas (RWCA) - V, Tidal Cal.</v>
      </c>
      <c r="M74" s="327" t="str">
        <f t="shared" si="102"/>
        <v>Tidal</v>
      </c>
      <c r="N74" s="327" t="str">
        <f t="shared" si="102"/>
        <v>Regional</v>
      </c>
      <c r="O74" s="1263">
        <f t="shared" si="102"/>
        <v>6321.3369999999995</v>
      </c>
      <c r="P74" s="1263">
        <f t="shared" si="102"/>
        <v>29753.550000000003</v>
      </c>
      <c r="Q74" s="327">
        <f t="shared" si="102"/>
        <v>3</v>
      </c>
      <c r="R74" s="326" t="str">
        <f t="shared" si="102"/>
        <v>Long-Term</v>
      </c>
      <c r="S74" s="329"/>
      <c r="T74" s="329">
        <f t="shared" si="103"/>
        <v>2</v>
      </c>
      <c r="U74" s="1164">
        <f t="shared" si="109"/>
        <v>58</v>
      </c>
      <c r="V74" s="1164">
        <f t="shared" si="109"/>
        <v>59</v>
      </c>
      <c r="W74" s="1166">
        <f t="shared" si="104"/>
        <v>13.495984153019998</v>
      </c>
      <c r="X74" s="1166">
        <f t="shared" si="105"/>
        <v>13.495984153020004</v>
      </c>
      <c r="Y74" s="1167">
        <f t="shared" si="22"/>
        <v>1.0000000000000004</v>
      </c>
      <c r="Z74" s="1161">
        <f t="shared" si="23"/>
        <v>29753.550000000017</v>
      </c>
      <c r="AA74" s="1161"/>
      <c r="AB74" s="1164">
        <f t="shared" si="110"/>
        <v>58</v>
      </c>
      <c r="AC74" s="1164">
        <f t="shared" si="110"/>
        <v>59</v>
      </c>
      <c r="AD74" s="1166">
        <f t="shared" si="106"/>
        <v>2.8673104210387992</v>
      </c>
      <c r="AE74" s="1166">
        <f t="shared" si="107"/>
        <v>2.8673104210387947</v>
      </c>
      <c r="AF74" s="1167">
        <f t="shared" si="24"/>
        <v>0.99999999999999845</v>
      </c>
      <c r="AG74" s="1161">
        <f t="shared" si="108"/>
        <v>6321.3369999999895</v>
      </c>
    </row>
    <row r="75" spans="1:33" s="1136" customFormat="1">
      <c r="A75" s="1137" t="str">
        <f t="shared" si="114"/>
        <v>CRE 02</v>
      </c>
      <c r="B75" s="330" t="str">
        <f t="shared" si="115"/>
        <v>Recyclable Water Containment Areas (RWCA) in S-4 Basin</v>
      </c>
      <c r="C75" s="325" t="str">
        <f t="shared" si="97"/>
        <v>S-4</v>
      </c>
      <c r="D75" s="1176">
        <f t="shared" si="98"/>
        <v>11.851498514592009</v>
      </c>
      <c r="E75" s="1176">
        <f t="shared" si="99"/>
        <v>1.1272325501869214</v>
      </c>
      <c r="F75" s="325"/>
      <c r="G75" s="1174">
        <f t="shared" si="100"/>
        <v>11.851498514591999</v>
      </c>
      <c r="H75" s="1174">
        <f t="shared" si="101"/>
        <v>2.4090972752599993</v>
      </c>
      <c r="I75" s="1178"/>
      <c r="J75" s="1249">
        <v>45</v>
      </c>
      <c r="K75" s="326" t="str">
        <f t="shared" si="102"/>
        <v>CRE 02</v>
      </c>
      <c r="L75" s="326" t="str">
        <f t="shared" si="102"/>
        <v>Recyclable Water Containment Areas (RWCA) in S-4 Basin</v>
      </c>
      <c r="M75" s="327" t="str">
        <f t="shared" si="102"/>
        <v>S-4</v>
      </c>
      <c r="N75" s="327" t="str">
        <f t="shared" si="102"/>
        <v>Regional</v>
      </c>
      <c r="O75" s="1263">
        <f t="shared" si="102"/>
        <v>5311.15</v>
      </c>
      <c r="P75" s="1263">
        <f t="shared" si="102"/>
        <v>26128.080000000002</v>
      </c>
      <c r="Q75" s="327">
        <f t="shared" si="102"/>
        <v>3</v>
      </c>
      <c r="R75" s="326" t="str">
        <f t="shared" si="102"/>
        <v>Long-Term</v>
      </c>
      <c r="S75" s="329"/>
      <c r="T75" s="329">
        <f t="shared" si="103"/>
        <v>5</v>
      </c>
      <c r="U75" s="1164">
        <f t="shared" si="109"/>
        <v>58</v>
      </c>
      <c r="V75" s="1164">
        <f t="shared" si="109"/>
        <v>59</v>
      </c>
      <c r="W75" s="1166">
        <f t="shared" si="104"/>
        <v>11.851498514591999</v>
      </c>
      <c r="X75" s="1166">
        <f t="shared" si="105"/>
        <v>11.851498514592009</v>
      </c>
      <c r="Y75" s="1167">
        <f t="shared" si="22"/>
        <v>1.0000000000000009</v>
      </c>
      <c r="Z75" s="1161">
        <f t="shared" si="23"/>
        <v>26128.080000000024</v>
      </c>
      <c r="AA75" s="1161"/>
      <c r="AB75" s="1164">
        <f t="shared" si="110"/>
        <v>58</v>
      </c>
      <c r="AC75" s="1164">
        <f t="shared" si="110"/>
        <v>59</v>
      </c>
      <c r="AD75" s="1166">
        <f t="shared" si="106"/>
        <v>2.4090972752599993</v>
      </c>
      <c r="AE75" s="1166">
        <f t="shared" si="107"/>
        <v>1.1272325501869211</v>
      </c>
      <c r="AF75" s="1167">
        <f t="shared" si="24"/>
        <v>0.4679066145493298</v>
      </c>
      <c r="AG75" s="1161">
        <f t="shared" si="108"/>
        <v>2485.1222158636729</v>
      </c>
    </row>
    <row r="76" spans="1:33" s="1136" customFormat="1">
      <c r="A76" s="1137" t="str">
        <f t="shared" si="114"/>
        <v>CRE 04-2</v>
      </c>
      <c r="B76" s="330" t="str">
        <f t="shared" si="115"/>
        <v>Caloosahatchee Area Lakes Restoration (Lake Hicpochee) - South</v>
      </c>
      <c r="C76" s="325" t="str">
        <f t="shared" si="97"/>
        <v>East Cal.</v>
      </c>
      <c r="D76" s="1176">
        <f t="shared" si="98"/>
        <v>9.3131229244747864</v>
      </c>
      <c r="E76" s="1176">
        <f t="shared" si="99"/>
        <v>0</v>
      </c>
      <c r="F76" s="325"/>
      <c r="G76" s="1174">
        <f t="shared" si="100"/>
        <v>59.570289891999991</v>
      </c>
      <c r="H76" s="1174">
        <f t="shared" si="101"/>
        <v>14.705465607999997</v>
      </c>
      <c r="I76" s="1178"/>
      <c r="J76" s="1249">
        <v>47</v>
      </c>
      <c r="K76" s="326" t="str">
        <f t="shared" si="102"/>
        <v>CRE 04-2</v>
      </c>
      <c r="L76" s="326" t="str">
        <f t="shared" si="102"/>
        <v>Caloosahatchee Area Lakes Restoration (Lake Hicpochee) - South</v>
      </c>
      <c r="M76" s="327" t="str">
        <f t="shared" si="102"/>
        <v>East</v>
      </c>
      <c r="N76" s="327" t="str">
        <f t="shared" si="102"/>
        <v>Regional</v>
      </c>
      <c r="O76" s="1263">
        <f t="shared" si="102"/>
        <v>32420</v>
      </c>
      <c r="P76" s="1263">
        <f t="shared" si="102"/>
        <v>131330</v>
      </c>
      <c r="Q76" s="327">
        <f t="shared" si="102"/>
        <v>3</v>
      </c>
      <c r="R76" s="326" t="str">
        <f t="shared" si="102"/>
        <v>Long-Term</v>
      </c>
      <c r="S76" s="329"/>
      <c r="T76" s="329">
        <f t="shared" si="103"/>
        <v>4</v>
      </c>
      <c r="U76" s="1164">
        <f t="shared" si="109"/>
        <v>58</v>
      </c>
      <c r="V76" s="1164">
        <f t="shared" si="109"/>
        <v>59</v>
      </c>
      <c r="W76" s="1166">
        <f t="shared" si="104"/>
        <v>360.71140872717206</v>
      </c>
      <c r="X76" s="1166">
        <f t="shared" si="105"/>
        <v>56.393039144631814</v>
      </c>
      <c r="Y76" s="1167">
        <f t="shared" si="22"/>
        <v>0.15633838514735002</v>
      </c>
      <c r="Z76" s="1161">
        <f t="shared" si="23"/>
        <v>20531.920121401479</v>
      </c>
      <c r="AA76" s="1161"/>
      <c r="AB76" s="1164">
        <f t="shared" si="110"/>
        <v>58</v>
      </c>
      <c r="AC76" s="1164">
        <f t="shared" si="110"/>
        <v>59</v>
      </c>
      <c r="AD76" s="1166">
        <f t="shared" si="106"/>
        <v>53.660756544758605</v>
      </c>
      <c r="AE76" s="1166">
        <f t="shared" si="107"/>
        <v>0</v>
      </c>
      <c r="AF76" s="1167">
        <f t="shared" si="24"/>
        <v>0</v>
      </c>
      <c r="AG76" s="1161">
        <f t="shared" si="108"/>
        <v>0</v>
      </c>
    </row>
    <row r="77" spans="1:33" s="1136" customFormat="1">
      <c r="A77" s="1137" t="str">
        <f t="shared" si="114"/>
        <v>CRE 05</v>
      </c>
      <c r="B77" s="330" t="str">
        <f t="shared" si="115"/>
        <v>East Caloosahatchee Water Quality Treatment Area</v>
      </c>
      <c r="C77" s="325" t="str">
        <f t="shared" si="97"/>
        <v>East Cal.</v>
      </c>
      <c r="D77" s="1176">
        <f t="shared" si="98"/>
        <v>12.519283796890159</v>
      </c>
      <c r="E77" s="1176">
        <f t="shared" si="99"/>
        <v>0</v>
      </c>
      <c r="F77" s="325"/>
      <c r="G77" s="1174">
        <f t="shared" si="100"/>
        <v>80.078118915521912</v>
      </c>
      <c r="H77" s="1174">
        <f t="shared" si="101"/>
        <v>19.160190922081799</v>
      </c>
      <c r="I77" s="1178"/>
      <c r="J77" s="1249">
        <v>48</v>
      </c>
      <c r="K77" s="326" t="str">
        <f t="shared" si="102"/>
        <v>CRE 05</v>
      </c>
      <c r="L77" s="326" t="str">
        <f t="shared" si="102"/>
        <v>East Caloosahatchee Water Quality Treatment Area</v>
      </c>
      <c r="M77" s="327" t="str">
        <f t="shared" si="102"/>
        <v>East</v>
      </c>
      <c r="N77" s="327" t="str">
        <f t="shared" si="102"/>
        <v>Regional</v>
      </c>
      <c r="O77" s="1263">
        <f t="shared" si="102"/>
        <v>42240.987551999999</v>
      </c>
      <c r="P77" s="1263">
        <f t="shared" si="102"/>
        <v>176542.0208</v>
      </c>
      <c r="Q77" s="327">
        <f t="shared" si="102"/>
        <v>3</v>
      </c>
      <c r="R77" s="326" t="str">
        <f t="shared" si="102"/>
        <v>Long-Term</v>
      </c>
      <c r="S77" s="329"/>
      <c r="T77" s="329">
        <f t="shared" si="103"/>
        <v>4</v>
      </c>
      <c r="U77" s="1164">
        <f t="shared" si="109"/>
        <v>58</v>
      </c>
      <c r="V77" s="1164">
        <f t="shared" si="109"/>
        <v>59</v>
      </c>
      <c r="W77" s="1166">
        <f t="shared" si="104"/>
        <v>360.71140872717206</v>
      </c>
      <c r="X77" s="1166">
        <f t="shared" si="105"/>
        <v>56.393039144631814</v>
      </c>
      <c r="Y77" s="1167">
        <f t="shared" si="22"/>
        <v>0.15633838514735002</v>
      </c>
      <c r="Z77" s="1161">
        <f t="shared" si="23"/>
        <v>27600.294442521877</v>
      </c>
      <c r="AA77" s="1161"/>
      <c r="AB77" s="1164">
        <f t="shared" si="110"/>
        <v>58</v>
      </c>
      <c r="AC77" s="1164">
        <f t="shared" si="110"/>
        <v>59</v>
      </c>
      <c r="AD77" s="1166">
        <f t="shared" si="106"/>
        <v>53.660756544758605</v>
      </c>
      <c r="AE77" s="1166">
        <f t="shared" si="107"/>
        <v>0</v>
      </c>
      <c r="AF77" s="1167">
        <f t="shared" si="24"/>
        <v>0</v>
      </c>
      <c r="AG77" s="1161">
        <f t="shared" si="108"/>
        <v>0</v>
      </c>
    </row>
    <row r="78" spans="1:33" s="1136" customFormat="1">
      <c r="A78" s="1137" t="str">
        <f t="shared" si="114"/>
        <v>CRE 10</v>
      </c>
      <c r="B78" s="330" t="str">
        <f t="shared" si="115"/>
        <v>C-43 Water Quality Treatment and Demonstration Project (BOMA Property)</v>
      </c>
      <c r="C78" s="325" t="str">
        <f t="shared" si="97"/>
        <v>East Cal.</v>
      </c>
      <c r="D78" s="1176" t="str">
        <f t="shared" si="98"/>
        <v>TBD</v>
      </c>
      <c r="E78" s="1176" t="str">
        <f t="shared" si="99"/>
        <v>TBD</v>
      </c>
      <c r="F78" s="325"/>
      <c r="G78" s="1174" t="str">
        <f t="shared" si="100"/>
        <v>TBD</v>
      </c>
      <c r="H78" s="1174" t="str">
        <f t="shared" si="101"/>
        <v>TBD</v>
      </c>
      <c r="I78" s="1178"/>
      <c r="J78" s="1249">
        <v>49</v>
      </c>
      <c r="K78" s="326" t="str">
        <f t="shared" ref="K78:R85" si="116">VLOOKUP($J78,MM_List,K$9,FALSE)</f>
        <v>CRE 10</v>
      </c>
      <c r="L78" s="326" t="str">
        <f t="shared" si="116"/>
        <v>C-43 Water Quality Treatment and Demonstration Project (BOMA Property)</v>
      </c>
      <c r="M78" s="327" t="str">
        <f t="shared" si="116"/>
        <v>East</v>
      </c>
      <c r="N78" s="327" t="str">
        <f t="shared" si="116"/>
        <v>Regional</v>
      </c>
      <c r="O78" s="1263" t="str">
        <f t="shared" si="116"/>
        <v>TBD</v>
      </c>
      <c r="P78" s="1263" t="str">
        <f t="shared" si="116"/>
        <v>TBD</v>
      </c>
      <c r="Q78" s="327">
        <f t="shared" si="116"/>
        <v>3</v>
      </c>
      <c r="R78" s="326" t="str">
        <f t="shared" si="116"/>
        <v>Long-Term</v>
      </c>
      <c r="S78" s="329"/>
      <c r="T78" s="329">
        <f t="shared" si="103"/>
        <v>4</v>
      </c>
      <c r="U78" s="1164">
        <f t="shared" si="109"/>
        <v>58</v>
      </c>
      <c r="V78" s="1164">
        <f t="shared" si="109"/>
        <v>59</v>
      </c>
      <c r="W78" s="1166">
        <f t="shared" si="104"/>
        <v>360.71140872717206</v>
      </c>
      <c r="X78" s="1166">
        <f t="shared" si="105"/>
        <v>56.393039144631814</v>
      </c>
      <c r="Y78" s="1167">
        <f t="shared" si="22"/>
        <v>0.15633838514735002</v>
      </c>
      <c r="Z78" s="1161">
        <f t="shared" si="23"/>
        <v>0</v>
      </c>
      <c r="AA78" s="1161"/>
      <c r="AB78" s="1164">
        <f t="shared" si="110"/>
        <v>58</v>
      </c>
      <c r="AC78" s="1164">
        <f t="shared" si="110"/>
        <v>59</v>
      </c>
      <c r="AD78" s="1166">
        <f t="shared" si="106"/>
        <v>53.660756544758605</v>
      </c>
      <c r="AE78" s="1166">
        <f t="shared" si="107"/>
        <v>0</v>
      </c>
      <c r="AF78" s="1167">
        <f t="shared" si="24"/>
        <v>0</v>
      </c>
      <c r="AG78" s="1161">
        <f t="shared" si="108"/>
        <v>0</v>
      </c>
    </row>
    <row r="79" spans="1:33" s="1136" customFormat="1">
      <c r="A79" s="1137" t="str">
        <f t="shared" si="114"/>
        <v>CRE 11</v>
      </c>
      <c r="B79" s="330" t="str">
        <f t="shared" si="115"/>
        <v xml:space="preserve">Caloosahatchee Ecoscape Water Quality Treatment Area </v>
      </c>
      <c r="C79" s="325" t="str">
        <f t="shared" si="97"/>
        <v>West Cal.</v>
      </c>
      <c r="D79" s="1176">
        <f t="shared" si="98"/>
        <v>37.517581710251015</v>
      </c>
      <c r="E79" s="1176">
        <f t="shared" si="99"/>
        <v>5.0066771041033791</v>
      </c>
      <c r="F79" s="325"/>
      <c r="G79" s="1174">
        <f t="shared" si="100"/>
        <v>50.048824322201192</v>
      </c>
      <c r="H79" s="1174">
        <f t="shared" si="101"/>
        <v>11.975119326301126</v>
      </c>
      <c r="I79" s="1176"/>
      <c r="J79" s="1247">
        <v>50</v>
      </c>
      <c r="K79" s="326" t="str">
        <f t="shared" si="116"/>
        <v>CRE 11</v>
      </c>
      <c r="L79" s="326" t="str">
        <f t="shared" si="116"/>
        <v xml:space="preserve">Caloosahatchee Ecoscape Water Quality Treatment Area </v>
      </c>
      <c r="M79" s="327" t="str">
        <f t="shared" si="116"/>
        <v>West</v>
      </c>
      <c r="N79" s="327" t="str">
        <f t="shared" si="116"/>
        <v>Regional</v>
      </c>
      <c r="O79" s="1263">
        <f t="shared" si="116"/>
        <v>26400.61722</v>
      </c>
      <c r="P79" s="1263">
        <f t="shared" si="116"/>
        <v>110338.76300000001</v>
      </c>
      <c r="Q79" s="327">
        <f t="shared" si="116"/>
        <v>3</v>
      </c>
      <c r="R79" s="326" t="str">
        <f t="shared" si="116"/>
        <v>Long-Term</v>
      </c>
      <c r="S79" s="329"/>
      <c r="T79" s="329">
        <f t="shared" si="103"/>
        <v>3</v>
      </c>
      <c r="U79" s="1164">
        <f t="shared" si="109"/>
        <v>58</v>
      </c>
      <c r="V79" s="1164">
        <f t="shared" si="109"/>
        <v>59</v>
      </c>
      <c r="W79" s="1166">
        <f t="shared" si="104"/>
        <v>183.97743260284918</v>
      </c>
      <c r="X79" s="1166">
        <f t="shared" si="105"/>
        <v>137.91309694077586</v>
      </c>
      <c r="Y79" s="1167">
        <f t="shared" ref="Y79:Y85" si="117">IF(W79&gt;0,X79/W79,IF(W79&lt;0,1,0))</f>
        <v>0.74961964078761723</v>
      </c>
      <c r="Z79" s="1161">
        <f t="shared" ref="Z79:Z85" si="118">IF(ISNUMBER($P79),$P79*Y79,0)</f>
        <v>82712.10388501003</v>
      </c>
      <c r="AA79" s="1161"/>
      <c r="AB79" s="1164">
        <f t="shared" si="110"/>
        <v>58</v>
      </c>
      <c r="AC79" s="1164">
        <f t="shared" si="110"/>
        <v>59</v>
      </c>
      <c r="AD79" s="1166">
        <f t="shared" si="106"/>
        <v>36.496031449610726</v>
      </c>
      <c r="AE79" s="1166">
        <f t="shared" si="107"/>
        <v>15.258624158181362</v>
      </c>
      <c r="AF79" s="1167">
        <f t="shared" ref="AF79:AF85" si="119">IF(AD79&gt;0,AE79/AD79,IF(AD79&lt;0,1,0))</f>
        <v>0.41808995532154264</v>
      </c>
      <c r="AG79" s="1161">
        <f t="shared" ref="AG79:AG85" si="120">IF(ISNUMBER($O79),$O79*AF79,0)</f>
        <v>11037.832873970949</v>
      </c>
    </row>
    <row r="80" spans="1:33" s="1136" customFormat="1">
      <c r="A80" s="1137" t="str">
        <f t="shared" si="114"/>
        <v>CRE 13</v>
      </c>
      <c r="B80" s="330" t="str">
        <f t="shared" si="115"/>
        <v xml:space="preserve">West Caloosahatchee Water Quality Treatment Area </v>
      </c>
      <c r="C80" s="325" t="str">
        <f t="shared" si="97"/>
        <v>West Cal.</v>
      </c>
      <c r="D80" s="1176">
        <f t="shared" si="98"/>
        <v>43.847480400327512</v>
      </c>
      <c r="E80" s="1176">
        <f t="shared" si="99"/>
        <v>5.8282200003707283</v>
      </c>
      <c r="F80" s="325"/>
      <c r="G80" s="1174">
        <f t="shared" si="100"/>
        <v>58.492971654607992</v>
      </c>
      <c r="H80" s="1174">
        <f t="shared" si="101"/>
        <v>13.940110079631998</v>
      </c>
      <c r="I80" s="1178"/>
      <c r="J80" s="1249">
        <v>54</v>
      </c>
      <c r="K80" s="326" t="str">
        <f t="shared" si="116"/>
        <v>CRE 13</v>
      </c>
      <c r="L80" s="326" t="str">
        <f t="shared" si="116"/>
        <v xml:space="preserve">West Caloosahatchee Water Quality Treatment Area </v>
      </c>
      <c r="M80" s="327" t="str">
        <f t="shared" si="116"/>
        <v>West</v>
      </c>
      <c r="N80" s="327" t="str">
        <f t="shared" si="116"/>
        <v>Regional</v>
      </c>
      <c r="O80" s="1263">
        <f t="shared" si="116"/>
        <v>30732.68</v>
      </c>
      <c r="P80" s="1263">
        <f t="shared" si="116"/>
        <v>128954.92</v>
      </c>
      <c r="Q80" s="327">
        <f t="shared" si="116"/>
        <v>3</v>
      </c>
      <c r="R80" s="326" t="str">
        <f t="shared" si="116"/>
        <v>Long-Term</v>
      </c>
      <c r="S80" s="329"/>
      <c r="T80" s="329">
        <f t="shared" si="103"/>
        <v>3</v>
      </c>
      <c r="U80" s="1164">
        <f t="shared" si="109"/>
        <v>58</v>
      </c>
      <c r="V80" s="1164">
        <f t="shared" si="109"/>
        <v>59</v>
      </c>
      <c r="W80" s="1166">
        <f t="shared" si="104"/>
        <v>183.97743260284918</v>
      </c>
      <c r="X80" s="1166">
        <f t="shared" si="105"/>
        <v>137.91309694077586</v>
      </c>
      <c r="Y80" s="1167">
        <f t="shared" si="117"/>
        <v>0.74961964078761723</v>
      </c>
      <c r="Z80" s="1161">
        <f t="shared" si="118"/>
        <v>96667.140808195909</v>
      </c>
      <c r="AA80" s="1161"/>
      <c r="AB80" s="1164">
        <f t="shared" si="110"/>
        <v>58</v>
      </c>
      <c r="AC80" s="1164">
        <f t="shared" si="110"/>
        <v>59</v>
      </c>
      <c r="AD80" s="1166">
        <f t="shared" si="106"/>
        <v>36.496031449610726</v>
      </c>
      <c r="AE80" s="1166">
        <f t="shared" si="107"/>
        <v>15.258624158181362</v>
      </c>
      <c r="AF80" s="1167">
        <f t="shared" si="119"/>
        <v>0.41808995532154264</v>
      </c>
      <c r="AG80" s="1161">
        <f t="shared" si="108"/>
        <v>12849.024808111268</v>
      </c>
    </row>
    <row r="81" spans="1:33" s="1136" customFormat="1">
      <c r="A81" s="1137" t="str">
        <f t="shared" si="114"/>
        <v>CRE 44-B</v>
      </c>
      <c r="B81" s="330" t="str">
        <f t="shared" si="115"/>
        <v>Spanish Creek Environmental Restoration</v>
      </c>
      <c r="C81" s="325" t="str">
        <f t="shared" si="97"/>
        <v>West Cal.</v>
      </c>
      <c r="D81" s="1176">
        <f t="shared" si="98"/>
        <v>2.6943325209475937</v>
      </c>
      <c r="E81" s="1176">
        <f t="shared" si="99"/>
        <v>0.28142936055528384</v>
      </c>
      <c r="F81" s="325"/>
      <c r="G81" s="1174">
        <f t="shared" si="100"/>
        <v>3.5942661775999993</v>
      </c>
      <c r="H81" s="1174">
        <f t="shared" si="101"/>
        <v>0.67313112159999988</v>
      </c>
      <c r="I81" s="1178"/>
      <c r="J81" s="1249">
        <v>56</v>
      </c>
      <c r="K81" s="326" t="str">
        <f t="shared" si="116"/>
        <v>CRE 44-B</v>
      </c>
      <c r="L81" s="326" t="str">
        <f t="shared" si="116"/>
        <v>Spanish Creek Environmental Restoration</v>
      </c>
      <c r="M81" s="327" t="str">
        <f t="shared" si="116"/>
        <v>West</v>
      </c>
      <c r="N81" s="327" t="str">
        <f t="shared" si="116"/>
        <v>Regional</v>
      </c>
      <c r="O81" s="1263">
        <f t="shared" si="116"/>
        <v>1484</v>
      </c>
      <c r="P81" s="1263">
        <f t="shared" si="116"/>
        <v>7924</v>
      </c>
      <c r="Q81" s="327">
        <f t="shared" si="116"/>
        <v>3</v>
      </c>
      <c r="R81" s="326" t="str">
        <f t="shared" si="116"/>
        <v>Long-Term</v>
      </c>
      <c r="S81" s="329"/>
      <c r="T81" s="329">
        <f t="shared" si="103"/>
        <v>3</v>
      </c>
      <c r="U81" s="1164">
        <f t="shared" si="109"/>
        <v>58</v>
      </c>
      <c r="V81" s="1164">
        <f t="shared" si="109"/>
        <v>59</v>
      </c>
      <c r="W81" s="1166">
        <f t="shared" si="104"/>
        <v>183.97743260284918</v>
      </c>
      <c r="X81" s="1166">
        <f t="shared" si="105"/>
        <v>137.91309694077586</v>
      </c>
      <c r="Y81" s="1167">
        <f t="shared" si="117"/>
        <v>0.74961964078761723</v>
      </c>
      <c r="Z81" s="1161">
        <f t="shared" si="118"/>
        <v>5939.9860336010788</v>
      </c>
      <c r="AA81" s="1161"/>
      <c r="AB81" s="1164">
        <f t="shared" si="110"/>
        <v>58</v>
      </c>
      <c r="AC81" s="1164">
        <f t="shared" si="110"/>
        <v>59</v>
      </c>
      <c r="AD81" s="1166">
        <f t="shared" si="106"/>
        <v>36.496031449610726</v>
      </c>
      <c r="AE81" s="1166">
        <f t="shared" si="107"/>
        <v>15.258624158181362</v>
      </c>
      <c r="AF81" s="1167">
        <f t="shared" si="119"/>
        <v>0.41808995532154264</v>
      </c>
      <c r="AG81" s="1161">
        <f t="shared" si="108"/>
        <v>620.44549369716924</v>
      </c>
    </row>
    <row r="82" spans="1:33" s="1136" customFormat="1">
      <c r="A82" s="1137" t="str">
        <f t="shared" si="114"/>
        <v>CRE 128</v>
      </c>
      <c r="B82" s="330" t="str">
        <f t="shared" si="115"/>
        <v>East Caloosahatchee Storage</v>
      </c>
      <c r="C82" s="325" t="str">
        <f t="shared" si="97"/>
        <v>East Cal.</v>
      </c>
      <c r="D82" s="1176">
        <f t="shared" si="98"/>
        <v>10.807310771666568</v>
      </c>
      <c r="E82" s="1176">
        <f t="shared" si="99"/>
        <v>0</v>
      </c>
      <c r="F82" s="325"/>
      <c r="G82" s="1174">
        <f t="shared" si="100"/>
        <v>69.127685830198402</v>
      </c>
      <c r="H82" s="1174">
        <f t="shared" si="101"/>
        <v>5.1592886264019997</v>
      </c>
      <c r="I82" s="1176"/>
      <c r="J82" s="1247">
        <v>51</v>
      </c>
      <c r="K82" s="326" t="str">
        <f t="shared" si="116"/>
        <v>CRE 128</v>
      </c>
      <c r="L82" s="326" t="str">
        <f t="shared" si="116"/>
        <v>East Caloosahatchee Storage</v>
      </c>
      <c r="M82" s="327" t="str">
        <f t="shared" si="116"/>
        <v>East</v>
      </c>
      <c r="N82" s="327" t="str">
        <f t="shared" si="116"/>
        <v>Regional</v>
      </c>
      <c r="O82" s="1263">
        <f t="shared" si="116"/>
        <v>11374.283666132855</v>
      </c>
      <c r="P82" s="1263">
        <f t="shared" si="116"/>
        <v>152400.44989774612</v>
      </c>
      <c r="Q82" s="327">
        <f t="shared" si="116"/>
        <v>3</v>
      </c>
      <c r="R82" s="326" t="str">
        <f t="shared" si="116"/>
        <v>Long-Term</v>
      </c>
      <c r="S82" s="329"/>
      <c r="T82" s="329">
        <f t="shared" si="103"/>
        <v>4</v>
      </c>
      <c r="U82" s="1164">
        <f t="shared" si="109"/>
        <v>58</v>
      </c>
      <c r="V82" s="1164">
        <f t="shared" si="109"/>
        <v>59</v>
      </c>
      <c r="W82" s="1166">
        <f t="shared" si="104"/>
        <v>360.71140872717206</v>
      </c>
      <c r="X82" s="1166">
        <f t="shared" si="105"/>
        <v>56.393039144631814</v>
      </c>
      <c r="Y82" s="1167">
        <f t="shared" si="117"/>
        <v>0.15633838514735002</v>
      </c>
      <c r="Z82" s="1161">
        <f t="shared" si="118"/>
        <v>23826.040232743253</v>
      </c>
      <c r="AA82" s="1161"/>
      <c r="AB82" s="1164">
        <f t="shared" si="110"/>
        <v>58</v>
      </c>
      <c r="AC82" s="1164">
        <f t="shared" si="110"/>
        <v>59</v>
      </c>
      <c r="AD82" s="1166">
        <f t="shared" si="106"/>
        <v>53.660756544758605</v>
      </c>
      <c r="AE82" s="1166">
        <f t="shared" si="107"/>
        <v>0</v>
      </c>
      <c r="AF82" s="1167">
        <f t="shared" si="119"/>
        <v>0</v>
      </c>
      <c r="AG82" s="1161">
        <f t="shared" si="120"/>
        <v>0</v>
      </c>
    </row>
    <row r="83" spans="1:33" s="1136" customFormat="1">
      <c r="A83" s="1137" t="str">
        <f t="shared" si="114"/>
        <v>CRE 128a</v>
      </c>
      <c r="B83" s="330" t="str">
        <f t="shared" si="115"/>
        <v>Caloosahatchee Storage - Additional</v>
      </c>
      <c r="C83" s="325" t="str">
        <f t="shared" si="97"/>
        <v>East Cal.</v>
      </c>
      <c r="D83" s="1176">
        <f t="shared" si="98"/>
        <v>9.0676263385463027</v>
      </c>
      <c r="E83" s="1176">
        <f t="shared" si="99"/>
        <v>0</v>
      </c>
      <c r="F83" s="325"/>
      <c r="G83" s="1174">
        <f t="shared" si="100"/>
        <v>58</v>
      </c>
      <c r="H83" s="1174">
        <f t="shared" si="101"/>
        <v>4.3</v>
      </c>
      <c r="I83" s="1176"/>
      <c r="J83" s="1247">
        <v>52</v>
      </c>
      <c r="K83" s="326" t="str">
        <f t="shared" si="116"/>
        <v>CRE 128a</v>
      </c>
      <c r="L83" s="326" t="str">
        <f t="shared" si="116"/>
        <v>Caloosahatchee Storage - Additional</v>
      </c>
      <c r="M83" s="327" t="str">
        <f t="shared" si="116"/>
        <v>East</v>
      </c>
      <c r="N83" s="327" t="str">
        <f t="shared" si="116"/>
        <v>Regional</v>
      </c>
      <c r="O83" s="1263">
        <f t="shared" si="116"/>
        <v>9479.8766469632228</v>
      </c>
      <c r="P83" s="1263">
        <f t="shared" si="116"/>
        <v>127868.10361020161</v>
      </c>
      <c r="Q83" s="327">
        <f t="shared" si="116"/>
        <v>3</v>
      </c>
      <c r="R83" s="326" t="str">
        <f t="shared" si="116"/>
        <v>Long-Term</v>
      </c>
      <c r="S83" s="329"/>
      <c r="T83" s="329">
        <f t="shared" si="103"/>
        <v>4</v>
      </c>
      <c r="U83" s="1164">
        <f t="shared" si="109"/>
        <v>58</v>
      </c>
      <c r="V83" s="1164">
        <f t="shared" si="109"/>
        <v>59</v>
      </c>
      <c r="W83" s="1166">
        <f t="shared" si="104"/>
        <v>360.71140872717206</v>
      </c>
      <c r="X83" s="1166">
        <f t="shared" si="105"/>
        <v>56.393039144631814</v>
      </c>
      <c r="Y83" s="1167">
        <f t="shared" si="117"/>
        <v>0.15633838514735002</v>
      </c>
      <c r="Z83" s="1161">
        <f t="shared" si="118"/>
        <v>19990.692830272958</v>
      </c>
      <c r="AA83" s="1161"/>
      <c r="AB83" s="1164">
        <f t="shared" si="110"/>
        <v>58</v>
      </c>
      <c r="AC83" s="1164">
        <f t="shared" si="110"/>
        <v>59</v>
      </c>
      <c r="AD83" s="1166">
        <f t="shared" si="106"/>
        <v>53.660756544758605</v>
      </c>
      <c r="AE83" s="1166">
        <f t="shared" si="107"/>
        <v>0</v>
      </c>
      <c r="AF83" s="1167">
        <f t="shared" si="119"/>
        <v>0</v>
      </c>
      <c r="AG83" s="1161">
        <f t="shared" si="120"/>
        <v>0</v>
      </c>
    </row>
    <row r="84" spans="1:33" s="1136" customFormat="1">
      <c r="A84" s="1137" t="str">
        <f t="shared" si="114"/>
        <v>CRE 129</v>
      </c>
      <c r="B84" s="330" t="str">
        <f t="shared" si="115"/>
        <v>Wastewater Treatment Plant Upgrade and Reclaimed Water</v>
      </c>
      <c r="C84" s="1315" t="s">
        <v>322</v>
      </c>
      <c r="D84" s="1316" t="s">
        <v>454</v>
      </c>
      <c r="E84" s="1316" t="s">
        <v>454</v>
      </c>
      <c r="F84" s="325"/>
      <c r="G84" s="1174" t="str">
        <f t="shared" si="100"/>
        <v>TBD</v>
      </c>
      <c r="H84" s="1174" t="str">
        <f t="shared" si="101"/>
        <v>TBD</v>
      </c>
      <c r="I84" s="1176"/>
      <c r="J84" s="1247">
        <v>53</v>
      </c>
      <c r="K84" s="326" t="str">
        <f t="shared" si="116"/>
        <v>CRE 129</v>
      </c>
      <c r="L84" s="326" t="str">
        <f t="shared" si="116"/>
        <v>Wastewater Treatment Plant Upgrade and Reclaimed Water</v>
      </c>
      <c r="M84" s="327" t="str">
        <f t="shared" si="116"/>
        <v>All</v>
      </c>
      <c r="N84" s="327" t="str">
        <f t="shared" si="116"/>
        <v>Regional</v>
      </c>
      <c r="O84" s="1263" t="str">
        <f t="shared" si="116"/>
        <v>TBD</v>
      </c>
      <c r="P84" s="1263" t="str">
        <f t="shared" si="116"/>
        <v>TBD</v>
      </c>
      <c r="Q84" s="327">
        <f t="shared" si="116"/>
        <v>3</v>
      </c>
      <c r="R84" s="326" t="str">
        <f t="shared" si="116"/>
        <v>Long-Term</v>
      </c>
      <c r="S84" s="329"/>
      <c r="T84" s="329" t="e">
        <f t="shared" si="103"/>
        <v>#N/A</v>
      </c>
      <c r="U84" s="1164">
        <f t="shared" si="109"/>
        <v>58</v>
      </c>
      <c r="V84" s="1164">
        <f t="shared" si="109"/>
        <v>59</v>
      </c>
      <c r="W84" s="1166" t="e">
        <f t="shared" si="104"/>
        <v>#N/A</v>
      </c>
      <c r="X84" s="1166" t="e">
        <f t="shared" si="105"/>
        <v>#N/A</v>
      </c>
      <c r="Y84" s="1167" t="e">
        <f t="shared" si="117"/>
        <v>#N/A</v>
      </c>
      <c r="Z84" s="1161">
        <f t="shared" si="118"/>
        <v>0</v>
      </c>
      <c r="AA84" s="1161"/>
      <c r="AB84" s="1164">
        <f t="shared" si="110"/>
        <v>58</v>
      </c>
      <c r="AC84" s="1164">
        <f t="shared" si="110"/>
        <v>59</v>
      </c>
      <c r="AD84" s="1166" t="e">
        <f t="shared" si="106"/>
        <v>#N/A</v>
      </c>
      <c r="AE84" s="1166" t="e">
        <f t="shared" si="107"/>
        <v>#N/A</v>
      </c>
      <c r="AF84" s="1167" t="e">
        <f t="shared" si="119"/>
        <v>#N/A</v>
      </c>
      <c r="AG84" s="1161">
        <f t="shared" si="120"/>
        <v>0</v>
      </c>
    </row>
    <row r="85" spans="1:33" s="1136" customFormat="1">
      <c r="A85" s="1137" t="str">
        <f t="shared" si="114"/>
        <v>CRE-WRes-2</v>
      </c>
      <c r="B85" s="330" t="str">
        <f t="shared" si="115"/>
        <v>C-43 West Basin Storage Reservoir, Phase II (net change from Phase I)</v>
      </c>
      <c r="C85" s="325" t="str">
        <f>VLOOKUP($T85,subwatgeog,2,FALSE)</f>
        <v>West Cal.</v>
      </c>
      <c r="D85" s="1176">
        <f>IF(ISNUMBER($P85),$Z85/lb_mton,$P85)</f>
        <v>33.619992723525272</v>
      </c>
      <c r="E85" s="1176">
        <f>IF(ISNUMBER($O85),$AG85/lb_mton,$O85)</f>
        <v>1.7447103215017596</v>
      </c>
      <c r="F85" s="325"/>
      <c r="G85" s="1174">
        <f t="shared" si="100"/>
        <v>44.849402142399995</v>
      </c>
      <c r="H85" s="1174">
        <f t="shared" si="101"/>
        <v>4.1730500799999994</v>
      </c>
      <c r="I85" s="1179"/>
      <c r="J85" s="1250">
        <v>62</v>
      </c>
      <c r="K85" s="326" t="str">
        <f t="shared" si="116"/>
        <v>CRE-WRes-2</v>
      </c>
      <c r="L85" s="326" t="str">
        <f t="shared" si="116"/>
        <v>C-43 West Basin Storage Reservoir, Phase II (net change from Phase I)</v>
      </c>
      <c r="M85" s="327" t="str">
        <f t="shared" si="116"/>
        <v>West</v>
      </c>
      <c r="N85" s="327" t="str">
        <f t="shared" si="116"/>
        <v>Regional</v>
      </c>
      <c r="O85" s="1263">
        <f t="shared" si="116"/>
        <v>9200</v>
      </c>
      <c r="P85" s="1263">
        <f t="shared" si="116"/>
        <v>98876</v>
      </c>
      <c r="Q85" s="327">
        <f t="shared" si="116"/>
        <v>3</v>
      </c>
      <c r="R85" s="326" t="str">
        <f t="shared" si="116"/>
        <v>Long-Term</v>
      </c>
      <c r="S85" s="329"/>
      <c r="T85" s="329">
        <f t="shared" si="103"/>
        <v>3</v>
      </c>
      <c r="U85" s="1164">
        <f t="shared" si="109"/>
        <v>58</v>
      </c>
      <c r="V85" s="1164">
        <f t="shared" si="109"/>
        <v>59</v>
      </c>
      <c r="W85" s="1166">
        <f t="shared" si="104"/>
        <v>183.97743260284918</v>
      </c>
      <c r="X85" s="1166">
        <f t="shared" si="105"/>
        <v>137.91309694077586</v>
      </c>
      <c r="Y85" s="1167">
        <f t="shared" si="117"/>
        <v>0.74961964078761723</v>
      </c>
      <c r="Z85" s="1161">
        <f t="shared" si="118"/>
        <v>74119.391602516436</v>
      </c>
      <c r="AA85" s="1161"/>
      <c r="AB85" s="1164">
        <f t="shared" si="110"/>
        <v>58</v>
      </c>
      <c r="AC85" s="1164">
        <f t="shared" si="110"/>
        <v>59</v>
      </c>
      <c r="AD85" s="1166">
        <f t="shared" si="106"/>
        <v>36.496031449610726</v>
      </c>
      <c r="AE85" s="1166">
        <f t="shared" si="107"/>
        <v>15.258624158181362</v>
      </c>
      <c r="AF85" s="1167">
        <f t="shared" si="119"/>
        <v>0.41808995532154264</v>
      </c>
      <c r="AG85" s="1161">
        <f t="shared" si="120"/>
        <v>3846.4275889581922</v>
      </c>
    </row>
    <row r="86" spans="1:33" s="437" customFormat="1">
      <c r="A86" s="1149" t="s">
        <v>156</v>
      </c>
      <c r="C86" s="343"/>
      <c r="D86" s="1181">
        <f>SUM(D68:D85)</f>
        <v>219.65361875301971</v>
      </c>
      <c r="E86" s="1181">
        <f>SUM(E68:E85)</f>
        <v>19.253167129407075</v>
      </c>
      <c r="F86" s="1235"/>
      <c r="G86" s="1181">
        <f>SUM(G68:G85)</f>
        <v>570.0363239976333</v>
      </c>
      <c r="H86" s="1181">
        <f>SUM(H68:H85)</f>
        <v>95.4331956906681</v>
      </c>
      <c r="I86" s="1180"/>
      <c r="J86" s="1251"/>
      <c r="K86" s="1152"/>
      <c r="M86" s="1122"/>
      <c r="N86" s="1122"/>
      <c r="O86" s="1259"/>
      <c r="P86" s="1259"/>
      <c r="Q86" s="1150"/>
      <c r="U86" s="1165"/>
      <c r="V86" s="1165"/>
    </row>
    <row r="87" spans="1:33" s="437" customFormat="1">
      <c r="A87" s="1149"/>
      <c r="C87" s="343"/>
      <c r="D87" s="1181"/>
      <c r="E87" s="1181"/>
      <c r="F87" s="1235"/>
      <c r="G87" s="1181"/>
      <c r="H87" s="1181"/>
      <c r="I87" s="1180"/>
      <c r="J87" s="1251"/>
      <c r="K87" s="1152"/>
      <c r="M87" s="1122"/>
      <c r="N87" s="1122"/>
      <c r="O87" s="1259"/>
      <c r="P87" s="1259"/>
      <c r="Q87" s="1150"/>
      <c r="U87" s="1165"/>
      <c r="V87" s="1165"/>
    </row>
    <row r="88" spans="1:33">
      <c r="G88" s="1142"/>
      <c r="H88" s="1142"/>
      <c r="J88" s="1268">
        <f>COUNT(J$11:J$85)</f>
        <v>61</v>
      </c>
      <c r="K88" s="1269" t="s">
        <v>1254</v>
      </c>
    </row>
    <row r="89" spans="1:33">
      <c r="J89" s="1268">
        <f>SUM(J$11:J$85) - (J88+1)*J88/2</f>
        <v>1</v>
      </c>
      <c r="K89" s="1269" t="s">
        <v>1083</v>
      </c>
    </row>
    <row r="90" spans="1:33">
      <c r="J90" s="1250"/>
    </row>
    <row r="91" spans="1:33" ht="15">
      <c r="J91" s="1250"/>
      <c r="K91" s="367" t="s">
        <v>820</v>
      </c>
      <c r="L91" s="744"/>
      <c r="M91" s="1255"/>
      <c r="N91" s="1255"/>
      <c r="O91" s="1260"/>
      <c r="P91" s="1260"/>
      <c r="Q91" s="1255"/>
      <c r="R91" s="1236"/>
      <c r="S91" s="1236"/>
      <c r="T91" s="1236"/>
      <c r="U91" s="1237"/>
      <c r="V91" s="1237"/>
      <c r="W91" s="1238"/>
    </row>
    <row r="92" spans="1:33" ht="15">
      <c r="J92" s="1250"/>
      <c r="K92" s="183" t="s">
        <v>821</v>
      </c>
      <c r="L92" s="183">
        <v>2</v>
      </c>
      <c r="M92" s="183">
        <v>3</v>
      </c>
      <c r="N92" s="183">
        <v>7</v>
      </c>
      <c r="O92" s="99">
        <v>8</v>
      </c>
      <c r="P92" s="99">
        <v>9</v>
      </c>
      <c r="Q92" s="183">
        <v>10</v>
      </c>
    </row>
    <row r="93" spans="1:33" ht="15">
      <c r="J93" s="1250"/>
      <c r="K93" s="379" t="s">
        <v>792</v>
      </c>
      <c r="L93" s="379" t="s">
        <v>793</v>
      </c>
      <c r="M93" s="379" t="s">
        <v>794</v>
      </c>
      <c r="N93" s="379" t="s">
        <v>795</v>
      </c>
      <c r="O93" s="1261" t="s">
        <v>796</v>
      </c>
      <c r="P93" s="1261" t="s">
        <v>810</v>
      </c>
      <c r="Q93" s="379" t="s">
        <v>811</v>
      </c>
    </row>
    <row r="94" spans="1:33" ht="15">
      <c r="J94" s="1250"/>
      <c r="K94" s="280">
        <v>1</v>
      </c>
      <c r="L94" s="280" t="str">
        <f>VLOOKUP(K94,parmlist,2,FALSE)</f>
        <v>TN</v>
      </c>
      <c r="M94" s="280" t="str">
        <f>VLOOKUP(K94,parmlist,3,FALSE)</f>
        <v>Total Nitrogen</v>
      </c>
      <c r="N94" s="239">
        <f>VLOOKUP(K94,parmlist,7,FALSE)</f>
        <v>1</v>
      </c>
      <c r="O94" s="1262" t="str">
        <f>VLOOKUP(K94,parmlist,8,FALSE)</f>
        <v>ppm</v>
      </c>
      <c r="P94" s="1262">
        <f>VLOOKUP(K94,parmlist,9,FALSE)</f>
        <v>0.8</v>
      </c>
      <c r="Q94" s="239" t="str">
        <f>VLOOKUP(K94,parmlist,10,FALSE)</f>
        <v>0.80 ppm</v>
      </c>
    </row>
    <row r="95" spans="1:33" ht="15">
      <c r="J95" s="1250"/>
      <c r="K95" s="280">
        <v>2</v>
      </c>
      <c r="L95" s="280" t="str">
        <f>VLOOKUP(K95,parmlist,2,FALSE)</f>
        <v>TP</v>
      </c>
      <c r="M95" s="280" t="str">
        <f>VLOOKUP(K95,parmlist,3,FALSE)</f>
        <v>Total Phosphorus</v>
      </c>
      <c r="N95" s="239">
        <f>VLOOKUP(K95,parmlist,7,FALSE)</f>
        <v>1000</v>
      </c>
      <c r="O95" s="1262" t="str">
        <f>VLOOKUP(K95,parmlist,8,FALSE)</f>
        <v>ppb</v>
      </c>
      <c r="P95" s="1262">
        <f>VLOOKUP(K95,parmlist,9,FALSE)</f>
        <v>80</v>
      </c>
      <c r="Q95" s="239" t="str">
        <f>VLOOKUP(K95,parmlist,10,FALSE)</f>
        <v>80 ppb</v>
      </c>
    </row>
  </sheetData>
  <mergeCells count="3">
    <mergeCell ref="U7:Z7"/>
    <mergeCell ref="AB7:AG7"/>
    <mergeCell ref="G7:H7"/>
  </mergeCells>
  <printOptions gridLines="1"/>
  <pageMargins left="0.5" right="0.5" top="0.75" bottom="0.75" header="0.3" footer="0.3"/>
  <pageSetup scale="49" fitToWidth="2" orientation="portrait" r:id="rId1"/>
  <headerFooter>
    <oddFooter>&amp;L&amp;"-,Italic"&amp;9&amp;F, &amp;A&amp;R&amp;"-,Italic"&amp;9&amp;P of &amp;N</oddFooter>
  </headerFooter>
  <colBreaks count="1" manualBreakCount="1">
    <brk id="9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4"/>
  <sheetViews>
    <sheetView zoomScale="90" zoomScaleNormal="90" workbookViewId="0">
      <selection activeCell="A16" sqref="A16"/>
    </sheetView>
  </sheetViews>
  <sheetFormatPr defaultRowHeight="15"/>
  <cols>
    <col min="1" max="1" width="13.42578125" customWidth="1"/>
    <col min="2" max="2" width="10.140625" customWidth="1"/>
    <col min="5" max="5" width="11.5703125" customWidth="1"/>
    <col min="6" max="7" width="11.28515625" customWidth="1"/>
    <col min="8" max="8" width="9.5703125" bestFit="1" customWidth="1"/>
  </cols>
  <sheetData>
    <row r="1" spans="1:16">
      <c r="A1" s="103" t="s">
        <v>79</v>
      </c>
      <c r="B1" s="104"/>
      <c r="C1" s="104"/>
      <c r="D1" s="105"/>
      <c r="E1" s="101"/>
      <c r="F1" s="101"/>
      <c r="G1" s="101"/>
      <c r="H1" s="101"/>
      <c r="I1" s="101"/>
      <c r="J1" s="101"/>
      <c r="K1" s="101"/>
      <c r="L1" s="102"/>
      <c r="M1" s="238"/>
      <c r="P1" s="58" t="s">
        <v>520</v>
      </c>
    </row>
    <row r="2" spans="1:16">
      <c r="A2" s="38" t="s">
        <v>527</v>
      </c>
      <c r="B2" s="1"/>
      <c r="C2" s="1"/>
      <c r="D2" s="1"/>
    </row>
    <row r="3" spans="1:16">
      <c r="A3" s="61" t="s">
        <v>523</v>
      </c>
      <c r="B3" s="1"/>
      <c r="C3" s="1"/>
      <c r="D3" s="1"/>
    </row>
    <row r="4" spans="1:16">
      <c r="A4" s="61" t="s">
        <v>82</v>
      </c>
      <c r="B4" s="1"/>
      <c r="C4" s="1"/>
      <c r="D4" s="1"/>
    </row>
    <row r="5" spans="1:16">
      <c r="A5" s="60" t="s">
        <v>524</v>
      </c>
      <c r="B5" s="1"/>
      <c r="C5" s="1"/>
      <c r="D5" s="1"/>
    </row>
    <row r="6" spans="1:16">
      <c r="A6" s="61" t="s">
        <v>525</v>
      </c>
    </row>
    <row r="7" spans="1:16">
      <c r="A7" s="401" t="s">
        <v>528</v>
      </c>
    </row>
    <row r="8" spans="1:16">
      <c r="A8" s="61" t="s">
        <v>536</v>
      </c>
    </row>
    <row r="9" spans="1:16">
      <c r="A9" s="221" t="s">
        <v>533</v>
      </c>
    </row>
    <row r="10" spans="1:16">
      <c r="A10" s="421" t="s">
        <v>534</v>
      </c>
    </row>
    <row r="11" spans="1:16">
      <c r="A11" s="61" t="s">
        <v>613</v>
      </c>
    </row>
    <row r="12" spans="1:16">
      <c r="A12" s="61" t="s">
        <v>535</v>
      </c>
    </row>
    <row r="13" spans="1:16">
      <c r="A13" s="401" t="s">
        <v>526</v>
      </c>
    </row>
    <row r="14" spans="1:16">
      <c r="A14" s="61" t="s">
        <v>217</v>
      </c>
    </row>
    <row r="15" spans="1:16">
      <c r="A15" s="61" t="s">
        <v>345</v>
      </c>
    </row>
    <row r="17" spans="1:14">
      <c r="E17" s="308" t="s">
        <v>39</v>
      </c>
      <c r="F17" s="1466" t="s">
        <v>35</v>
      </c>
      <c r="G17" s="1466"/>
      <c r="H17" s="1466" t="s">
        <v>75</v>
      </c>
      <c r="I17" s="1466"/>
    </row>
    <row r="18" spans="1:14" s="45" customFormat="1" ht="45">
      <c r="A18" s="307" t="s">
        <v>81</v>
      </c>
      <c r="B18" s="307" t="s">
        <v>76</v>
      </c>
      <c r="C18" s="307" t="s">
        <v>77</v>
      </c>
      <c r="D18" s="307" t="s">
        <v>78</v>
      </c>
      <c r="E18" s="304" t="s">
        <v>350</v>
      </c>
      <c r="F18" s="305" t="s">
        <v>349</v>
      </c>
      <c r="G18" s="306" t="s">
        <v>351</v>
      </c>
      <c r="H18" s="305" t="s">
        <v>352</v>
      </c>
      <c r="I18" s="306" t="s">
        <v>353</v>
      </c>
    </row>
    <row r="19" spans="1:14" s="45" customFormat="1"/>
    <row r="20" spans="1:14" s="45" customFormat="1">
      <c r="A20" s="226" t="s">
        <v>218</v>
      </c>
      <c r="B20" s="101"/>
      <c r="C20" s="101"/>
      <c r="D20" s="102"/>
      <c r="G20" s="268"/>
      <c r="H20" s="224"/>
      <c r="I20" s="485" t="s">
        <v>94</v>
      </c>
    </row>
    <row r="21" spans="1:14" s="45" customFormat="1">
      <c r="A21" s="86">
        <v>1</v>
      </c>
      <c r="B21" s="86">
        <v>2</v>
      </c>
      <c r="C21" s="86">
        <v>3</v>
      </c>
      <c r="D21" s="86">
        <v>4</v>
      </c>
      <c r="E21" s="86">
        <v>5</v>
      </c>
      <c r="F21" s="86">
        <v>6</v>
      </c>
      <c r="G21" s="86">
        <v>7</v>
      </c>
      <c r="H21" s="86">
        <v>8</v>
      </c>
      <c r="I21" s="86">
        <v>9</v>
      </c>
    </row>
    <row r="22" spans="1:14">
      <c r="A22" s="87" t="s">
        <v>515</v>
      </c>
      <c r="B22" s="88">
        <v>1996</v>
      </c>
      <c r="C22" s="88">
        <v>2005</v>
      </c>
      <c r="D22" s="89">
        <v>10</v>
      </c>
      <c r="E22" s="52">
        <v>63034.099834710745</v>
      </c>
      <c r="F22" s="289">
        <v>9.774497199999999</v>
      </c>
      <c r="G22" s="292">
        <v>157.62772899999999</v>
      </c>
      <c r="H22" s="49">
        <v>0.12571471415443145</v>
      </c>
      <c r="I22" s="285">
        <v>2.0273293335279883</v>
      </c>
      <c r="N22" s="46"/>
    </row>
    <row r="23" spans="1:14">
      <c r="A23" s="90" t="s">
        <v>516</v>
      </c>
      <c r="B23" s="46">
        <v>1996</v>
      </c>
      <c r="C23" s="46">
        <v>2005</v>
      </c>
      <c r="D23" s="91">
        <v>10</v>
      </c>
      <c r="E23" s="53">
        <v>861534.32528925652</v>
      </c>
      <c r="F23" s="290">
        <v>103.5593231</v>
      </c>
      <c r="G23" s="293">
        <v>1727.0932900000003</v>
      </c>
      <c r="H23" s="44">
        <v>9.7450452190554676E-2</v>
      </c>
      <c r="I23" s="286">
        <v>1.6252136171578822</v>
      </c>
      <c r="N23" s="46"/>
    </row>
    <row r="24" spans="1:14">
      <c r="A24" s="90" t="s">
        <v>517</v>
      </c>
      <c r="B24" s="46">
        <v>1996</v>
      </c>
      <c r="C24" s="46">
        <v>2005</v>
      </c>
      <c r="D24" s="91">
        <v>10</v>
      </c>
      <c r="E24" s="53">
        <v>1124917.6323966945</v>
      </c>
      <c r="F24" s="290">
        <v>155.60995379999994</v>
      </c>
      <c r="G24" s="293">
        <v>2100.3858549999991</v>
      </c>
      <c r="H24" s="44">
        <v>0.11214602651566492</v>
      </c>
      <c r="I24" s="286">
        <v>1.5137201832904694</v>
      </c>
      <c r="N24" s="46"/>
    </row>
    <row r="25" spans="1:14">
      <c r="A25" s="90" t="s">
        <v>514</v>
      </c>
      <c r="B25" s="46">
        <v>1996</v>
      </c>
      <c r="C25" s="46">
        <v>2005</v>
      </c>
      <c r="D25" s="91">
        <v>10</v>
      </c>
      <c r="E25" s="53">
        <v>1717800.8846280985</v>
      </c>
      <c r="F25" s="290">
        <v>263.66340889999998</v>
      </c>
      <c r="G25" s="293">
        <v>3058.2533540000004</v>
      </c>
      <c r="H25" s="44">
        <v>0.12443549553831577</v>
      </c>
      <c r="I25" s="286">
        <v>1.4433374474462632</v>
      </c>
      <c r="N25" s="46"/>
    </row>
    <row r="26" spans="1:14">
      <c r="A26" s="92" t="s">
        <v>513</v>
      </c>
      <c r="B26" s="93">
        <v>1996</v>
      </c>
      <c r="C26" s="93">
        <v>2005</v>
      </c>
      <c r="D26" s="94">
        <v>10</v>
      </c>
      <c r="E26" s="54">
        <v>436972.92238569196</v>
      </c>
      <c r="F26" s="291"/>
      <c r="G26" s="294"/>
      <c r="H26" s="48"/>
      <c r="I26" s="287"/>
      <c r="K26" s="269" t="s">
        <v>614</v>
      </c>
      <c r="N26" s="46"/>
    </row>
    <row r="27" spans="1:14" s="45" customFormat="1">
      <c r="I27" s="288"/>
      <c r="M27" s="238"/>
      <c r="N27" s="46"/>
    </row>
    <row r="28" spans="1:14" s="45" customFormat="1">
      <c r="I28" s="288"/>
      <c r="M28" s="238"/>
      <c r="N28" s="46"/>
    </row>
    <row r="29" spans="1:14" s="45" customFormat="1">
      <c r="A29" s="309" t="s">
        <v>91</v>
      </c>
      <c r="B29" s="96"/>
      <c r="C29" s="96"/>
      <c r="D29" s="97"/>
      <c r="E29" s="308" t="s">
        <v>39</v>
      </c>
      <c r="F29" s="1466" t="s">
        <v>35</v>
      </c>
      <c r="G29" s="1466"/>
      <c r="H29" s="1466" t="s">
        <v>75</v>
      </c>
      <c r="I29" s="1466"/>
    </row>
    <row r="30" spans="1:14" s="45" customFormat="1">
      <c r="A30" s="85"/>
      <c r="E30" s="311" t="s">
        <v>39</v>
      </c>
      <c r="F30" s="310" t="s">
        <v>354</v>
      </c>
      <c r="G30" s="312" t="s">
        <v>355</v>
      </c>
      <c r="H30" s="310" t="s">
        <v>356</v>
      </c>
      <c r="I30" s="313" t="s">
        <v>357</v>
      </c>
    </row>
    <row r="31" spans="1:14">
      <c r="A31" s="46" t="s">
        <v>515</v>
      </c>
      <c r="B31" s="46">
        <v>1995</v>
      </c>
      <c r="C31" s="46">
        <v>2005</v>
      </c>
      <c r="D31" s="3">
        <v>11</v>
      </c>
      <c r="E31" s="314">
        <v>63285.273628850489</v>
      </c>
      <c r="F31" s="315">
        <v>9.6740967272727261</v>
      </c>
      <c r="G31" s="316">
        <v>158.97620636363638</v>
      </c>
      <c r="H31" s="317">
        <v>0.1239295874865963</v>
      </c>
      <c r="I31" s="317">
        <v>2.0365576477323186</v>
      </c>
    </row>
    <row r="32" spans="1:14">
      <c r="A32" s="46" t="s">
        <v>516</v>
      </c>
      <c r="B32" s="46">
        <v>1995</v>
      </c>
      <c r="C32" s="46">
        <v>2005</v>
      </c>
      <c r="D32" s="3">
        <v>11</v>
      </c>
      <c r="E32" s="314">
        <v>975041.74124718283</v>
      </c>
      <c r="F32" s="315">
        <v>104.45959918181816</v>
      </c>
      <c r="G32" s="316">
        <v>1962.0206963636365</v>
      </c>
      <c r="H32" s="317">
        <v>8.6854512675921425E-2</v>
      </c>
      <c r="I32" s="317">
        <v>1.6313517644857727</v>
      </c>
    </row>
    <row r="33" spans="1:9">
      <c r="A33" s="46" t="s">
        <v>517</v>
      </c>
      <c r="B33" s="46">
        <v>1995</v>
      </c>
      <c r="C33" s="46">
        <v>2005</v>
      </c>
      <c r="D33" s="3">
        <v>11</v>
      </c>
      <c r="E33" s="314">
        <v>1239174.5869271227</v>
      </c>
      <c r="F33" s="315">
        <v>158.41094181818181</v>
      </c>
      <c r="G33" s="316">
        <v>2204.3592827272719</v>
      </c>
      <c r="H33" s="317">
        <v>0.10363821363634783</v>
      </c>
      <c r="I33" s="317">
        <v>1.4421722114168638</v>
      </c>
    </row>
    <row r="34" spans="1:9">
      <c r="A34" s="46" t="s">
        <v>514</v>
      </c>
      <c r="B34" s="46">
        <v>1995</v>
      </c>
      <c r="C34" s="46">
        <v>2005</v>
      </c>
      <c r="D34" s="3">
        <v>11</v>
      </c>
      <c r="E34" s="314">
        <v>1868899.2324567987</v>
      </c>
      <c r="F34" s="315">
        <v>268.24545845454537</v>
      </c>
      <c r="G34" s="316">
        <v>3278.6348054545456</v>
      </c>
      <c r="H34" s="317">
        <v>0.11636268481818793</v>
      </c>
      <c r="I34" s="317">
        <v>1.4222449494543661</v>
      </c>
    </row>
    <row r="35" spans="1:9">
      <c r="A35" s="46"/>
      <c r="B35" s="46"/>
      <c r="C35" s="46"/>
      <c r="D35" s="3"/>
      <c r="E35" s="314"/>
      <c r="F35" s="315"/>
      <c r="G35" s="316"/>
      <c r="H35" s="317"/>
      <c r="I35" s="317"/>
    </row>
    <row r="36" spans="1:9">
      <c r="A36" s="46" t="s">
        <v>515</v>
      </c>
      <c r="B36" s="46">
        <v>2003</v>
      </c>
      <c r="C36" s="46">
        <v>2005</v>
      </c>
      <c r="D36" s="3">
        <v>3</v>
      </c>
      <c r="E36" s="314">
        <v>59538.499173553719</v>
      </c>
      <c r="F36" s="315">
        <v>9.0432746666666652</v>
      </c>
      <c r="G36" s="316">
        <v>153.06533333333334</v>
      </c>
      <c r="H36" s="317">
        <v>0.12313884610966652</v>
      </c>
      <c r="I36" s="317">
        <v>2.0842326724336449</v>
      </c>
    </row>
    <row r="37" spans="1:9">
      <c r="A37" s="46" t="s">
        <v>516</v>
      </c>
      <c r="B37" s="46">
        <v>2003</v>
      </c>
      <c r="C37" s="46">
        <v>2005</v>
      </c>
      <c r="D37" s="3">
        <v>3</v>
      </c>
      <c r="E37" s="314">
        <v>1594628.866115703</v>
      </c>
      <c r="F37" s="315">
        <v>204.46780033333326</v>
      </c>
      <c r="G37" s="316">
        <v>3069.176113333333</v>
      </c>
      <c r="H37" s="317">
        <v>0.10395192697045233</v>
      </c>
      <c r="I37" s="317">
        <v>1.5603766004845649</v>
      </c>
    </row>
    <row r="38" spans="1:9">
      <c r="A38" s="46" t="s">
        <v>517</v>
      </c>
      <c r="B38" s="46">
        <v>2003</v>
      </c>
      <c r="C38" s="46">
        <v>2005</v>
      </c>
      <c r="D38" s="3">
        <v>3</v>
      </c>
      <c r="E38" s="314">
        <v>1979096.3966942148</v>
      </c>
      <c r="F38" s="315">
        <v>273.01684533333332</v>
      </c>
      <c r="G38" s="316">
        <v>3712.2755399999992</v>
      </c>
      <c r="H38" s="317">
        <v>0.11183808884112263</v>
      </c>
      <c r="I38" s="317">
        <v>1.5206893228084513</v>
      </c>
    </row>
    <row r="39" spans="1:9">
      <c r="A39" s="46" t="s">
        <v>514</v>
      </c>
      <c r="B39" s="46">
        <v>2003</v>
      </c>
      <c r="C39" s="46">
        <v>2005</v>
      </c>
      <c r="D39" s="3">
        <v>3</v>
      </c>
      <c r="E39" s="314">
        <v>2780444.238016529</v>
      </c>
      <c r="F39" s="315">
        <v>413.42233400000003</v>
      </c>
      <c r="G39" s="316">
        <v>4894.1716966666672</v>
      </c>
      <c r="H39" s="317">
        <v>0.12054438502975204</v>
      </c>
      <c r="I39" s="317">
        <v>1.4270272041101231</v>
      </c>
    </row>
    <row r="40" spans="1:9">
      <c r="A40" s="46"/>
      <c r="B40" s="46"/>
      <c r="C40" s="46"/>
      <c r="D40" s="3"/>
      <c r="E40" s="314"/>
      <c r="F40" s="315"/>
      <c r="G40" s="316"/>
      <c r="H40" s="317"/>
      <c r="I40" s="317"/>
    </row>
    <row r="41" spans="1:9">
      <c r="A41" s="46" t="s">
        <v>515</v>
      </c>
      <c r="B41" s="46">
        <v>2001</v>
      </c>
      <c r="C41" s="46">
        <v>2005</v>
      </c>
      <c r="D41" s="3">
        <v>5</v>
      </c>
      <c r="E41" s="314">
        <v>62639.567603305797</v>
      </c>
      <c r="F41" s="315">
        <v>10.680336399999998</v>
      </c>
      <c r="G41" s="316">
        <v>161.84169599999998</v>
      </c>
      <c r="H41" s="317">
        <v>0.13823035446907672</v>
      </c>
      <c r="I41" s="317">
        <v>2.0946376750789009</v>
      </c>
    </row>
    <row r="42" spans="1:9">
      <c r="A42" s="46" t="s">
        <v>516</v>
      </c>
      <c r="B42" s="46">
        <v>2001</v>
      </c>
      <c r="C42" s="46">
        <v>2005</v>
      </c>
      <c r="D42" s="3">
        <v>5</v>
      </c>
      <c r="E42" s="314">
        <v>1064541.7785123966</v>
      </c>
      <c r="F42" s="315">
        <v>135.95788220000003</v>
      </c>
      <c r="G42" s="316">
        <v>2070.8919259999998</v>
      </c>
      <c r="H42" s="317">
        <v>0.10354018144154141</v>
      </c>
      <c r="I42" s="317">
        <v>1.5771099276792284</v>
      </c>
    </row>
    <row r="43" spans="1:9">
      <c r="A43" s="46" t="s">
        <v>517</v>
      </c>
      <c r="B43" s="46">
        <v>2001</v>
      </c>
      <c r="C43" s="46">
        <v>2005</v>
      </c>
      <c r="D43" s="3">
        <v>5</v>
      </c>
      <c r="E43" s="314">
        <v>1402615.6244628099</v>
      </c>
      <c r="F43" s="315">
        <v>207.63874939999999</v>
      </c>
      <c r="G43" s="316">
        <v>2677.0081919999993</v>
      </c>
      <c r="H43" s="317">
        <v>0.12001539890523347</v>
      </c>
      <c r="I43" s="317">
        <v>1.5473133360889804</v>
      </c>
    </row>
    <row r="44" spans="1:9">
      <c r="A44" s="46" t="s">
        <v>514</v>
      </c>
      <c r="B44" s="46">
        <v>2001</v>
      </c>
      <c r="C44" s="46">
        <v>2005</v>
      </c>
      <c r="D44" s="3">
        <v>5</v>
      </c>
      <c r="E44" s="314">
        <v>2133653.5219834717</v>
      </c>
      <c r="F44" s="315">
        <v>346.85530200000005</v>
      </c>
      <c r="G44" s="316">
        <v>3894.0012619999993</v>
      </c>
      <c r="H44" s="317">
        <v>0.13179279895733839</v>
      </c>
      <c r="I44" s="317">
        <v>1.4795833377873169</v>
      </c>
    </row>
    <row r="45" spans="1:9">
      <c r="A45" s="46"/>
      <c r="B45" s="46"/>
      <c r="C45" s="46"/>
      <c r="D45" s="3"/>
      <c r="E45" s="314"/>
      <c r="F45" s="315"/>
      <c r="G45" s="316"/>
      <c r="H45" s="317"/>
      <c r="I45" s="317"/>
    </row>
    <row r="46" spans="1:9">
      <c r="A46" s="46" t="s">
        <v>515</v>
      </c>
      <c r="B46" s="46">
        <v>1996</v>
      </c>
      <c r="C46" s="46">
        <v>2010</v>
      </c>
      <c r="D46" s="3">
        <v>15</v>
      </c>
      <c r="E46" s="314">
        <v>46581.847272727275</v>
      </c>
      <c r="F46" s="315">
        <v>7.478926866666666</v>
      </c>
      <c r="G46" s="316">
        <v>118.34913666666668</v>
      </c>
      <c r="H46" s="317">
        <v>0.13016368051480076</v>
      </c>
      <c r="I46" s="317">
        <v>2.0597552949663145</v>
      </c>
    </row>
    <row r="47" spans="1:9">
      <c r="A47" s="46" t="s">
        <v>516</v>
      </c>
      <c r="B47" s="46">
        <v>1996</v>
      </c>
      <c r="C47" s="46">
        <v>2010</v>
      </c>
      <c r="D47" s="3">
        <v>15</v>
      </c>
      <c r="E47" s="314">
        <v>679473.57223140483</v>
      </c>
      <c r="F47" s="315">
        <v>85.296631666666627</v>
      </c>
      <c r="G47" s="316">
        <v>1370.3272633333343</v>
      </c>
      <c r="H47" s="317">
        <v>0.10177158833552787</v>
      </c>
      <c r="I47" s="317">
        <v>1.6350045647044091</v>
      </c>
    </row>
    <row r="48" spans="1:9">
      <c r="A48" s="46" t="s">
        <v>517</v>
      </c>
      <c r="B48" s="46">
        <v>1996</v>
      </c>
      <c r="C48" s="46">
        <v>2010</v>
      </c>
      <c r="D48" s="3">
        <v>15</v>
      </c>
      <c r="E48" s="314">
        <v>893943.86776859546</v>
      </c>
      <c r="F48" s="315">
        <v>131.71794139999992</v>
      </c>
      <c r="G48" s="316">
        <v>1689.4240466666668</v>
      </c>
      <c r="H48" s="317">
        <v>0.11945433802054869</v>
      </c>
      <c r="I48" s="317">
        <v>1.5321301637846836</v>
      </c>
    </row>
    <row r="49" spans="1:9">
      <c r="A49" s="46" t="s">
        <v>514</v>
      </c>
      <c r="B49" s="46">
        <v>1996</v>
      </c>
      <c r="C49" s="46">
        <v>2010</v>
      </c>
      <c r="D49" s="3">
        <v>15</v>
      </c>
      <c r="E49" s="314">
        <v>1427358.8707438021</v>
      </c>
      <c r="F49" s="315">
        <v>234.18911293333338</v>
      </c>
      <c r="G49" s="316">
        <v>2557.4575580000001</v>
      </c>
      <c r="H49" s="317">
        <v>0.13301504449127946</v>
      </c>
      <c r="I49" s="317">
        <v>1.4525881523739663</v>
      </c>
    </row>
    <row r="50" spans="1:9">
      <c r="E50" s="238"/>
      <c r="F50" s="238"/>
      <c r="G50" s="238"/>
      <c r="H50" s="238"/>
      <c r="I50" s="238"/>
    </row>
    <row r="51" spans="1:9">
      <c r="A51" s="47" t="s">
        <v>515</v>
      </c>
      <c r="B51" s="47">
        <v>1994</v>
      </c>
      <c r="C51" s="47">
        <v>2010</v>
      </c>
      <c r="D51" s="3">
        <v>17</v>
      </c>
      <c r="E51" s="318">
        <v>48112.898006806026</v>
      </c>
      <c r="F51" s="319">
        <v>7.9973225294117603</v>
      </c>
      <c r="G51" s="319">
        <v>125.45944176470587</v>
      </c>
      <c r="H51" s="320">
        <v>0.13475669016383657</v>
      </c>
      <c r="I51" s="320">
        <v>2.1140199185211452</v>
      </c>
    </row>
    <row r="52" spans="1:9">
      <c r="A52" s="47" t="s">
        <v>516</v>
      </c>
      <c r="B52" s="47">
        <v>1994</v>
      </c>
      <c r="C52" s="47">
        <v>2010</v>
      </c>
      <c r="D52" s="3">
        <v>17</v>
      </c>
      <c r="E52" s="318">
        <v>768968.9827904714</v>
      </c>
      <c r="F52" s="319">
        <v>84.916207647058755</v>
      </c>
      <c r="G52" s="319">
        <v>1544.9988817647068</v>
      </c>
      <c r="H52" s="320">
        <v>8.9525964566548266E-2</v>
      </c>
      <c r="I52" s="320">
        <v>1.6288706122995911</v>
      </c>
    </row>
    <row r="53" spans="1:9">
      <c r="A53" s="47" t="s">
        <v>517</v>
      </c>
      <c r="B53" s="47">
        <v>1994</v>
      </c>
      <c r="C53" s="47">
        <v>2010</v>
      </c>
      <c r="D53" s="3">
        <v>17</v>
      </c>
      <c r="E53" s="321">
        <v>990743.15994166338</v>
      </c>
      <c r="F53" s="322">
        <v>134.27222364705884</v>
      </c>
      <c r="G53" s="322">
        <v>1805.1546994117648</v>
      </c>
      <c r="H53" s="288">
        <v>0.10987334323518332</v>
      </c>
      <c r="I53" s="288">
        <v>1.4771363465493443</v>
      </c>
    </row>
    <row r="54" spans="1:9">
      <c r="A54" s="47" t="s">
        <v>514</v>
      </c>
      <c r="B54" s="47">
        <v>1994</v>
      </c>
      <c r="C54" s="47">
        <v>2010</v>
      </c>
      <c r="D54" s="3">
        <v>17</v>
      </c>
      <c r="E54" s="321">
        <v>1554334.0818667973</v>
      </c>
      <c r="F54" s="322">
        <v>237.8525260588236</v>
      </c>
      <c r="G54" s="322">
        <v>2758.5839352941171</v>
      </c>
      <c r="H54" s="288">
        <v>0.12405967500921875</v>
      </c>
      <c r="I54" s="288">
        <v>1.438828639615132</v>
      </c>
    </row>
    <row r="58" spans="1:9">
      <c r="A58" s="95" t="s">
        <v>258</v>
      </c>
      <c r="B58" s="96"/>
      <c r="C58" s="96"/>
      <c r="D58" s="96"/>
      <c r="E58" s="96"/>
      <c r="F58" s="96"/>
      <c r="G58" s="96"/>
      <c r="H58" s="96"/>
      <c r="I58" s="97"/>
    </row>
    <row r="59" spans="1:9">
      <c r="A59" s="61" t="s">
        <v>93</v>
      </c>
    </row>
    <row r="60" spans="1:9">
      <c r="A60" s="61" t="s">
        <v>522</v>
      </c>
    </row>
    <row r="61" spans="1:9">
      <c r="A61" s="61" t="s">
        <v>521</v>
      </c>
    </row>
    <row r="62" spans="1:9">
      <c r="A62" s="61" t="s">
        <v>219</v>
      </c>
    </row>
    <row r="63" spans="1:9">
      <c r="A63" s="61" t="s">
        <v>537</v>
      </c>
    </row>
    <row r="65" spans="1:9">
      <c r="E65" s="1466" t="s">
        <v>87</v>
      </c>
      <c r="F65" s="1466"/>
      <c r="G65" s="1466"/>
      <c r="H65" s="1466"/>
      <c r="I65" s="1466"/>
    </row>
    <row r="66" spans="1:9" s="62" customFormat="1" ht="45">
      <c r="A66" s="307" t="s">
        <v>81</v>
      </c>
      <c r="B66" s="307" t="s">
        <v>88</v>
      </c>
      <c r="C66" s="2"/>
      <c r="E66" s="425" t="s">
        <v>73</v>
      </c>
      <c r="F66" s="426" t="s">
        <v>83</v>
      </c>
      <c r="G66" s="427" t="s">
        <v>85</v>
      </c>
      <c r="H66" s="426" t="s">
        <v>86</v>
      </c>
      <c r="I66" s="427" t="s">
        <v>84</v>
      </c>
    </row>
    <row r="67" spans="1:9">
      <c r="A67" s="47" t="s">
        <v>515</v>
      </c>
      <c r="B67" s="47">
        <v>2009</v>
      </c>
      <c r="C67" s="56"/>
      <c r="E67" s="72">
        <v>45698</v>
      </c>
      <c r="F67" s="73">
        <v>13.582000000000001</v>
      </c>
      <c r="G67" s="73">
        <v>93.007000000000005</v>
      </c>
      <c r="H67" s="74">
        <v>0.24095</v>
      </c>
      <c r="I67" s="422">
        <v>1.65</v>
      </c>
    </row>
    <row r="68" spans="1:9">
      <c r="A68" s="46" t="s">
        <v>515</v>
      </c>
      <c r="B68" s="46">
        <v>2012</v>
      </c>
      <c r="C68" s="56"/>
      <c r="D68" s="57"/>
      <c r="E68" s="55">
        <v>63285.203846731813</v>
      </c>
      <c r="F68" s="50">
        <v>9.6740967272727261</v>
      </c>
      <c r="G68" s="50">
        <v>158.97606981818188</v>
      </c>
      <c r="H68" s="44">
        <v>0.1239297241389045</v>
      </c>
      <c r="I68" s="286">
        <v>2.0365581441533465</v>
      </c>
    </row>
    <row r="69" spans="1:9">
      <c r="A69" s="47"/>
      <c r="B69" s="47"/>
      <c r="D69" s="68" t="s">
        <v>92</v>
      </c>
      <c r="E69" s="75">
        <f>(E68-E67)/E67</f>
        <v>0.38485718952102527</v>
      </c>
      <c r="F69" s="69">
        <f t="shared" ref="F69:I69" si="0">(F68-F67)/F67</f>
        <v>-0.28772664355229527</v>
      </c>
      <c r="G69" s="69">
        <f t="shared" si="0"/>
        <v>0.70929144922620746</v>
      </c>
      <c r="H69" s="69">
        <f t="shared" si="0"/>
        <v>-0.4856620703925939</v>
      </c>
      <c r="I69" s="76">
        <f t="shared" si="0"/>
        <v>0.23427766312324036</v>
      </c>
    </row>
    <row r="70" spans="1:9">
      <c r="A70" s="47"/>
      <c r="B70" s="47"/>
      <c r="D70" s="64"/>
      <c r="E70" s="77"/>
      <c r="F70" s="65"/>
      <c r="G70" s="65"/>
      <c r="H70" s="66"/>
      <c r="I70" s="78"/>
    </row>
    <row r="71" spans="1:9">
      <c r="A71" s="46" t="s">
        <v>516</v>
      </c>
      <c r="B71" s="47">
        <v>2009</v>
      </c>
      <c r="D71" s="63"/>
      <c r="E71" s="79">
        <v>975042</v>
      </c>
      <c r="F71" s="65">
        <v>104.46</v>
      </c>
      <c r="G71" s="65">
        <v>1950.9090000000001</v>
      </c>
      <c r="H71" s="67">
        <v>8.6849999999999997E-2</v>
      </c>
      <c r="I71" s="423">
        <v>1.6221000000000001</v>
      </c>
    </row>
    <row r="72" spans="1:9">
      <c r="A72" s="46" t="s">
        <v>516</v>
      </c>
      <c r="B72" s="46">
        <v>2012</v>
      </c>
      <c r="D72" s="63"/>
      <c r="E72" s="55">
        <v>975041.74124718283</v>
      </c>
      <c r="F72" s="50">
        <v>104.45959918181816</v>
      </c>
      <c r="G72" s="50">
        <v>1962.0205825454548</v>
      </c>
      <c r="H72" s="44">
        <v>8.6854512675921425E-2</v>
      </c>
      <c r="I72" s="286">
        <v>1.6313516698499251</v>
      </c>
    </row>
    <row r="73" spans="1:9">
      <c r="A73" s="47"/>
      <c r="B73" s="47"/>
      <c r="D73" s="68" t="s">
        <v>92</v>
      </c>
      <c r="E73" s="80">
        <f>(E72-E71)/E71</f>
        <v>-2.6537607320671909E-7</v>
      </c>
      <c r="F73" s="70">
        <f t="shared" ref="F73" si="1">(F72-F71)/F71</f>
        <v>-3.8370494144235747E-6</v>
      </c>
      <c r="G73" s="70">
        <f t="shared" ref="G73" si="2">(G72-G71)/G71</f>
        <v>5.6955924368869417E-3</v>
      </c>
      <c r="H73" s="70">
        <f t="shared" ref="H73" si="3">(H72-H71)/H71</f>
        <v>5.1959423390076249E-5</v>
      </c>
      <c r="I73" s="81">
        <f t="shared" ref="I73" si="4">(I72-I71)/I71</f>
        <v>5.7035138708618344E-3</v>
      </c>
    </row>
    <row r="74" spans="1:9">
      <c r="A74" s="47"/>
      <c r="B74" s="47"/>
      <c r="D74" s="64"/>
      <c r="E74" s="77"/>
      <c r="F74" s="65"/>
      <c r="G74" s="65"/>
      <c r="H74" s="66"/>
      <c r="I74" s="78"/>
    </row>
    <row r="75" spans="1:9">
      <c r="A75" s="46" t="s">
        <v>517</v>
      </c>
      <c r="B75" s="47">
        <v>2009</v>
      </c>
      <c r="D75" s="63"/>
      <c r="E75" s="79">
        <v>1207915</v>
      </c>
      <c r="F75" s="65">
        <v>153.685</v>
      </c>
      <c r="G75" s="65">
        <v>2141.8290000000002</v>
      </c>
      <c r="H75" s="67">
        <v>0.10315000000000001</v>
      </c>
      <c r="I75" s="423">
        <v>1.4375</v>
      </c>
    </row>
    <row r="76" spans="1:9">
      <c r="A76" s="46" t="s">
        <v>517</v>
      </c>
      <c r="B76" s="46">
        <v>2012</v>
      </c>
      <c r="D76" s="63"/>
      <c r="E76" s="55">
        <v>1239174.4394290007</v>
      </c>
      <c r="F76" s="50">
        <v>158.41094181818181</v>
      </c>
      <c r="G76" s="50">
        <v>2204.3591037272727</v>
      </c>
      <c r="H76" s="44">
        <v>0.1036382259723365</v>
      </c>
      <c r="I76" s="286">
        <v>1.4421722659693383</v>
      </c>
    </row>
    <row r="77" spans="1:9">
      <c r="A77" s="47"/>
      <c r="B77" s="47"/>
      <c r="D77" s="68" t="s">
        <v>92</v>
      </c>
      <c r="E77" s="80">
        <f>(E76-E75)/E75</f>
        <v>2.5878840339759603E-2</v>
      </c>
      <c r="F77" s="70">
        <f t="shared" ref="F77" si="5">(F76-F75)/F75</f>
        <v>3.0750833316080355E-2</v>
      </c>
      <c r="G77" s="70">
        <f t="shared" ref="G77" si="6">(G76-G75)/G75</f>
        <v>2.9194722700678945E-2</v>
      </c>
      <c r="H77" s="70">
        <f t="shared" ref="H77" si="7">(H76-H75)/H75</f>
        <v>4.7331650250751122E-3</v>
      </c>
      <c r="I77" s="81">
        <f t="shared" ref="I77" si="8">(I76-I75)/I75</f>
        <v>3.25027197867015E-3</v>
      </c>
    </row>
    <row r="78" spans="1:9">
      <c r="A78" s="47"/>
      <c r="B78" s="47"/>
      <c r="D78" s="64"/>
      <c r="E78" s="77"/>
      <c r="F78" s="65"/>
      <c r="G78" s="65"/>
      <c r="H78" s="66"/>
      <c r="I78" s="78"/>
    </row>
    <row r="79" spans="1:9">
      <c r="A79" s="46" t="s">
        <v>514</v>
      </c>
      <c r="B79" s="47">
        <v>2009</v>
      </c>
      <c r="D79" s="63"/>
      <c r="E79" s="79">
        <v>1854004</v>
      </c>
      <c r="F79" s="65">
        <v>271.976</v>
      </c>
      <c r="G79" s="65">
        <v>3263.7489999999998</v>
      </c>
      <c r="H79" s="67">
        <v>0.11892999999999999</v>
      </c>
      <c r="I79" s="423">
        <v>1.4272</v>
      </c>
    </row>
    <row r="80" spans="1:9">
      <c r="A80" s="46" t="s">
        <v>514</v>
      </c>
      <c r="B80" s="46">
        <v>2012</v>
      </c>
      <c r="D80" s="63"/>
      <c r="E80" s="55">
        <v>1868899.233899323</v>
      </c>
      <c r="F80" s="50">
        <v>268.24545845454537</v>
      </c>
      <c r="G80" s="50">
        <v>3278.6346844545474</v>
      </c>
      <c r="H80" s="44">
        <v>0.11636268472837248</v>
      </c>
      <c r="I80" s="286">
        <v>1.4222448958677862</v>
      </c>
    </row>
    <row r="81" spans="1:13">
      <c r="A81" s="47"/>
      <c r="D81" s="68" t="s">
        <v>92</v>
      </c>
      <c r="E81" s="80">
        <f>(E80-E79)/E79</f>
        <v>8.0340894082877035E-3</v>
      </c>
      <c r="F81" s="70">
        <f t="shared" ref="F81" si="9">(F80-F79)/F79</f>
        <v>-1.3716436543866473E-2</v>
      </c>
      <c r="G81" s="70">
        <f t="shared" ref="G81" si="10">(G80-G79)/G79</f>
        <v>4.5609158224322929E-3</v>
      </c>
      <c r="H81" s="70">
        <f t="shared" ref="H81" si="11">(H80-H79)/H79</f>
        <v>-2.1586776016375285E-2</v>
      </c>
      <c r="I81" s="81">
        <f t="shared" ref="I81" si="12">(I80-I79)/I79</f>
        <v>-3.4719059222349941E-3</v>
      </c>
    </row>
    <row r="82" spans="1:13">
      <c r="A82" s="47"/>
      <c r="D82" s="68"/>
      <c r="E82" s="80"/>
      <c r="F82" s="70"/>
      <c r="G82" s="70"/>
      <c r="H82" s="70"/>
      <c r="I82" s="81"/>
    </row>
    <row r="83" spans="1:13">
      <c r="A83" s="47" t="s">
        <v>513</v>
      </c>
      <c r="B83" s="47">
        <v>2009</v>
      </c>
      <c r="D83" s="68"/>
      <c r="E83" s="428">
        <v>445495</v>
      </c>
      <c r="F83" s="424">
        <v>111.92301751519997</v>
      </c>
      <c r="G83" s="424">
        <v>858.78286218079984</v>
      </c>
      <c r="H83" s="430">
        <v>0.20367785718886203</v>
      </c>
      <c r="I83" s="431">
        <v>1.562815737484458</v>
      </c>
    </row>
    <row r="84" spans="1:13">
      <c r="A84" s="47" t="s">
        <v>513</v>
      </c>
      <c r="B84" s="46">
        <v>2012</v>
      </c>
      <c r="D84" s="68"/>
      <c r="E84" s="429">
        <v>475398.89656053414</v>
      </c>
      <c r="F84" s="432" t="s">
        <v>398</v>
      </c>
      <c r="G84" s="432" t="s">
        <v>398</v>
      </c>
      <c r="H84" s="432" t="s">
        <v>398</v>
      </c>
      <c r="I84" s="433" t="s">
        <v>398</v>
      </c>
    </row>
    <row r="85" spans="1:13">
      <c r="A85" s="47"/>
      <c r="D85" s="68" t="s">
        <v>92</v>
      </c>
      <c r="E85" s="82">
        <f>(E84-E83)/E83</f>
        <v>6.7125100305355026E-2</v>
      </c>
      <c r="F85" s="83"/>
      <c r="G85" s="83"/>
      <c r="H85" s="83"/>
      <c r="I85" s="84"/>
    </row>
    <row r="89" spans="1:13">
      <c r="A89" s="299" t="s">
        <v>346</v>
      </c>
      <c r="B89" s="296"/>
      <c r="C89" s="296"/>
      <c r="D89" s="296"/>
      <c r="E89" s="296"/>
      <c r="F89" s="296"/>
      <c r="G89" s="297"/>
      <c r="H89" s="298"/>
      <c r="I89" s="303" t="s">
        <v>348</v>
      </c>
      <c r="J89" s="282"/>
      <c r="K89" s="282"/>
      <c r="L89" s="283"/>
      <c r="M89" s="283"/>
    </row>
    <row r="90" spans="1:13">
      <c r="A90" s="280"/>
      <c r="B90" s="280"/>
      <c r="C90" s="280"/>
      <c r="D90" s="280"/>
      <c r="E90" s="239"/>
      <c r="F90" s="239"/>
      <c r="G90" s="281"/>
      <c r="H90" s="282"/>
      <c r="I90" s="282"/>
      <c r="J90" s="282"/>
      <c r="K90" s="282"/>
      <c r="L90" s="283"/>
      <c r="M90" s="283"/>
    </row>
    <row r="91" spans="1:13" ht="15" customHeight="1">
      <c r="A91" s="1470" t="s">
        <v>337</v>
      </c>
      <c r="B91" s="1470" t="s">
        <v>347</v>
      </c>
      <c r="C91" s="1471" t="s">
        <v>338</v>
      </c>
      <c r="D91" s="1473" t="s">
        <v>339</v>
      </c>
      <c r="E91" s="1474" t="s">
        <v>340</v>
      </c>
      <c r="F91" s="1468" t="s">
        <v>342</v>
      </c>
      <c r="G91" s="1469" t="s">
        <v>341</v>
      </c>
      <c r="H91" s="1468" t="s">
        <v>344</v>
      </c>
      <c r="I91" s="1469" t="s">
        <v>343</v>
      </c>
      <c r="J91" s="1467"/>
      <c r="K91" s="1467"/>
      <c r="L91" s="1467"/>
      <c r="M91" s="1467"/>
    </row>
    <row r="92" spans="1:13">
      <c r="A92" s="1470"/>
      <c r="B92" s="1470"/>
      <c r="C92" s="1472"/>
      <c r="D92" s="1473"/>
      <c r="E92" s="1474"/>
      <c r="F92" s="1468"/>
      <c r="G92" s="1469"/>
      <c r="H92" s="1468"/>
      <c r="I92" s="1469"/>
      <c r="J92" s="1467"/>
      <c r="K92" s="1467"/>
      <c r="L92" s="1467"/>
      <c r="M92" s="1467"/>
    </row>
    <row r="93" spans="1:13">
      <c r="A93" s="280" t="s">
        <v>515</v>
      </c>
      <c r="B93" s="280">
        <v>1994</v>
      </c>
      <c r="C93" s="239">
        <v>365</v>
      </c>
      <c r="D93" s="239">
        <v>240</v>
      </c>
      <c r="E93" s="281">
        <v>53394.545454545449</v>
      </c>
      <c r="F93" s="282">
        <v>15.100487999999999</v>
      </c>
      <c r="G93" s="282">
        <v>185.11248000000001</v>
      </c>
      <c r="H93" s="283">
        <v>0.22927744304309045</v>
      </c>
      <c r="I93" s="283">
        <v>2.8106453307843577</v>
      </c>
      <c r="J93" s="238"/>
      <c r="K93" s="300"/>
      <c r="L93" s="238"/>
      <c r="M93" s="238"/>
    </row>
    <row r="94" spans="1:13">
      <c r="A94" s="280" t="s">
        <v>515</v>
      </c>
      <c r="B94" s="280">
        <v>1995</v>
      </c>
      <c r="C94" s="239">
        <v>365</v>
      </c>
      <c r="D94" s="239">
        <v>274</v>
      </c>
      <c r="E94" s="281">
        <v>65797.011570247938</v>
      </c>
      <c r="F94" s="282">
        <v>8.6700919999999986</v>
      </c>
      <c r="G94" s="282">
        <v>172.46098000000001</v>
      </c>
      <c r="H94" s="283">
        <v>0.10682792132995171</v>
      </c>
      <c r="I94" s="283">
        <v>2.1249656870914841</v>
      </c>
      <c r="J94" s="238"/>
      <c r="K94" s="300"/>
      <c r="L94" s="238"/>
      <c r="M94" s="238"/>
    </row>
    <row r="95" spans="1:13">
      <c r="A95" s="280" t="s">
        <v>515</v>
      </c>
      <c r="B95" s="280">
        <v>1996</v>
      </c>
      <c r="C95" s="239">
        <v>366</v>
      </c>
      <c r="D95" s="239">
        <v>341</v>
      </c>
      <c r="E95" s="281">
        <v>82574.697520661153</v>
      </c>
      <c r="F95" s="282">
        <v>7.9642350000000013</v>
      </c>
      <c r="G95" s="282">
        <v>176.30498999999998</v>
      </c>
      <c r="H95" s="283">
        <v>7.8192359001107575E-2</v>
      </c>
      <c r="I95" s="283">
        <v>1.7309513182077976</v>
      </c>
      <c r="J95" s="238"/>
      <c r="K95" s="300"/>
      <c r="L95" s="238"/>
      <c r="M95" s="238"/>
    </row>
    <row r="96" spans="1:13">
      <c r="A96" s="280" t="s">
        <v>515</v>
      </c>
      <c r="B96" s="280">
        <v>1997</v>
      </c>
      <c r="C96" s="239">
        <v>365</v>
      </c>
      <c r="D96" s="239">
        <v>304</v>
      </c>
      <c r="E96" s="281">
        <v>63244.442975206613</v>
      </c>
      <c r="F96" s="282">
        <v>7.1433659999999994</v>
      </c>
      <c r="G96" s="282">
        <v>167.81986000000001</v>
      </c>
      <c r="H96" s="283">
        <v>9.1568852405587223E-2</v>
      </c>
      <c r="I96" s="283">
        <v>2.1512368246378966</v>
      </c>
      <c r="J96" s="238"/>
      <c r="K96" s="300"/>
      <c r="L96" s="238"/>
      <c r="M96" s="238"/>
    </row>
    <row r="97" spans="1:13">
      <c r="A97" s="280" t="s">
        <v>515</v>
      </c>
      <c r="B97" s="280">
        <v>1998</v>
      </c>
      <c r="C97" s="239">
        <v>365</v>
      </c>
      <c r="D97" s="239">
        <v>288</v>
      </c>
      <c r="E97" s="281">
        <v>70224.317355371895</v>
      </c>
      <c r="F97" s="282">
        <v>12.531395</v>
      </c>
      <c r="G97" s="282">
        <v>180.67222000000001</v>
      </c>
      <c r="H97" s="283">
        <v>0.14467021746443204</v>
      </c>
      <c r="I97" s="283">
        <v>2.0857924722013559</v>
      </c>
      <c r="J97" s="238"/>
      <c r="K97" s="300"/>
      <c r="L97" s="238"/>
      <c r="M97" s="238"/>
    </row>
    <row r="98" spans="1:13">
      <c r="A98" s="280" t="s">
        <v>515</v>
      </c>
      <c r="B98" s="280">
        <v>1999</v>
      </c>
      <c r="C98" s="239">
        <v>365</v>
      </c>
      <c r="D98" s="239">
        <v>365</v>
      </c>
      <c r="E98" s="281">
        <v>73800.138842975197</v>
      </c>
      <c r="F98" s="282">
        <v>12.462383999999998</v>
      </c>
      <c r="G98" s="282">
        <v>173.92295000000004</v>
      </c>
      <c r="H98" s="283">
        <v>0.13690244074436475</v>
      </c>
      <c r="I98" s="283">
        <v>1.910587601574476</v>
      </c>
      <c r="J98" s="238"/>
      <c r="K98" s="300"/>
      <c r="L98" s="238"/>
      <c r="M98" s="238"/>
    </row>
    <row r="99" spans="1:13">
      <c r="A99" s="280" t="s">
        <v>515</v>
      </c>
      <c r="B99" s="280">
        <v>2000</v>
      </c>
      <c r="C99" s="239">
        <v>366</v>
      </c>
      <c r="D99" s="239">
        <v>236</v>
      </c>
      <c r="E99" s="281">
        <v>27299.563636363637</v>
      </c>
      <c r="F99" s="282">
        <v>4.241909999999999</v>
      </c>
      <c r="G99" s="282">
        <v>68.348789999999994</v>
      </c>
      <c r="H99" s="283">
        <v>0.1259716986570649</v>
      </c>
      <c r="I99" s="283">
        <v>2.0297491407066657</v>
      </c>
      <c r="J99" s="238"/>
      <c r="K99" s="300"/>
      <c r="L99" s="238"/>
      <c r="M99" s="238"/>
    </row>
    <row r="100" spans="1:13">
      <c r="A100" s="280" t="s">
        <v>515</v>
      </c>
      <c r="B100" s="280">
        <v>2001</v>
      </c>
      <c r="C100" s="239">
        <v>365</v>
      </c>
      <c r="D100" s="239">
        <v>217</v>
      </c>
      <c r="E100" s="281">
        <v>26870.915702479342</v>
      </c>
      <c r="F100" s="282">
        <v>8.0591120000000007</v>
      </c>
      <c r="G100" s="282">
        <v>82.949349999999995</v>
      </c>
      <c r="H100" s="283">
        <v>0.2431487077318977</v>
      </c>
      <c r="I100" s="283">
        <v>2.5026364269042158</v>
      </c>
      <c r="J100" s="238"/>
      <c r="K100" s="300"/>
      <c r="L100" s="238"/>
      <c r="M100" s="238"/>
    </row>
    <row r="101" spans="1:13">
      <c r="A101" s="280" t="s">
        <v>515</v>
      </c>
      <c r="B101" s="280">
        <v>2002</v>
      </c>
      <c r="C101" s="239">
        <v>365</v>
      </c>
      <c r="D101" s="239">
        <v>285</v>
      </c>
      <c r="E101" s="281">
        <v>107711.42479338845</v>
      </c>
      <c r="F101" s="282">
        <v>18.212745999999999</v>
      </c>
      <c r="G101" s="282">
        <v>267.06313</v>
      </c>
      <c r="H101" s="283">
        <v>0.13708214802345442</v>
      </c>
      <c r="I101" s="283">
        <v>2.0101080593924197</v>
      </c>
      <c r="J101" s="238"/>
      <c r="K101" s="300"/>
      <c r="L101" s="238"/>
      <c r="M101" s="238"/>
    </row>
    <row r="102" spans="1:13">
      <c r="A102" s="280" t="s">
        <v>515</v>
      </c>
      <c r="B102" s="280">
        <v>2003</v>
      </c>
      <c r="C102" s="239">
        <v>365</v>
      </c>
      <c r="D102" s="239">
        <v>242</v>
      </c>
      <c r="E102" s="281">
        <v>63339.629752066125</v>
      </c>
      <c r="F102" s="282">
        <v>9.6396689999999996</v>
      </c>
      <c r="G102" s="282">
        <v>213.79541</v>
      </c>
      <c r="H102" s="283">
        <v>0.12338257853192912</v>
      </c>
      <c r="I102" s="283">
        <v>2.7364662587575346</v>
      </c>
      <c r="J102" s="238"/>
      <c r="K102" s="300"/>
      <c r="L102" s="238"/>
      <c r="M102" s="238"/>
    </row>
    <row r="103" spans="1:13">
      <c r="A103" s="280" t="s">
        <v>515</v>
      </c>
      <c r="B103" s="280">
        <v>2004</v>
      </c>
      <c r="C103" s="239">
        <v>366</v>
      </c>
      <c r="D103" s="239">
        <v>185</v>
      </c>
      <c r="E103" s="281">
        <v>38409.937190082645</v>
      </c>
      <c r="F103" s="282">
        <v>4.1988409999999998</v>
      </c>
      <c r="G103" s="282">
        <v>78.140630000000016</v>
      </c>
      <c r="H103" s="283">
        <v>8.8624352090972677E-2</v>
      </c>
      <c r="I103" s="283">
        <v>1.6493033924672127</v>
      </c>
      <c r="J103" s="238"/>
      <c r="K103" s="300"/>
      <c r="L103" s="238"/>
      <c r="M103" s="238"/>
    </row>
    <row r="104" spans="1:13">
      <c r="A104" s="280" t="s">
        <v>515</v>
      </c>
      <c r="B104" s="280">
        <v>2005</v>
      </c>
      <c r="C104" s="239">
        <v>365</v>
      </c>
      <c r="D104" s="239">
        <v>250</v>
      </c>
      <c r="E104" s="281">
        <v>76865.930578512387</v>
      </c>
      <c r="F104" s="282">
        <v>13.291313999999998</v>
      </c>
      <c r="G104" s="282">
        <v>167.25996000000004</v>
      </c>
      <c r="H104" s="283">
        <v>0.1401849108116674</v>
      </c>
      <c r="I104" s="283">
        <v>1.7641086934642478</v>
      </c>
      <c r="J104" s="238"/>
      <c r="K104" s="300"/>
      <c r="L104" s="238"/>
      <c r="M104" s="238"/>
    </row>
    <row r="105" spans="1:13">
      <c r="A105" s="280" t="s">
        <v>515</v>
      </c>
      <c r="B105" s="280">
        <v>2006</v>
      </c>
      <c r="C105" s="239">
        <v>365</v>
      </c>
      <c r="D105" s="239">
        <v>61</v>
      </c>
      <c r="E105" s="281">
        <v>12252.099173553717</v>
      </c>
      <c r="F105" s="282">
        <v>4.4211679999999998</v>
      </c>
      <c r="G105" s="282">
        <v>36.599669999999996</v>
      </c>
      <c r="H105" s="283">
        <v>0.29254572451539629</v>
      </c>
      <c r="I105" s="283">
        <v>2.4217756432631408</v>
      </c>
      <c r="J105" s="238"/>
      <c r="K105" s="300"/>
      <c r="L105" s="238"/>
      <c r="M105" s="238"/>
    </row>
    <row r="106" spans="1:13">
      <c r="A106" s="280" t="s">
        <v>515</v>
      </c>
      <c r="B106" s="280">
        <v>2007</v>
      </c>
      <c r="C106" s="239">
        <v>365</v>
      </c>
      <c r="D106" s="239">
        <v>1</v>
      </c>
      <c r="E106" s="281">
        <v>0.4363636363636364</v>
      </c>
      <c r="F106" s="282">
        <v>1.7199999999999998E-4</v>
      </c>
      <c r="G106" s="282">
        <v>1.4E-3</v>
      </c>
      <c r="H106" s="283">
        <v>0.31955611721885713</v>
      </c>
      <c r="I106" s="283">
        <v>2.6010381634093025</v>
      </c>
      <c r="J106" s="238"/>
      <c r="K106" s="300"/>
      <c r="L106" s="238"/>
      <c r="M106" s="238"/>
    </row>
    <row r="107" spans="1:13">
      <c r="A107" s="280" t="s">
        <v>515</v>
      </c>
      <c r="B107" s="280">
        <v>2008</v>
      </c>
      <c r="C107" s="239">
        <v>366</v>
      </c>
      <c r="D107" s="239">
        <v>16</v>
      </c>
      <c r="E107" s="281">
        <v>2289.8776859504133</v>
      </c>
      <c r="F107" s="282">
        <v>0.50311600000000001</v>
      </c>
      <c r="G107" s="282">
        <v>6.84504</v>
      </c>
      <c r="H107" s="283">
        <v>0.17812426476286394</v>
      </c>
      <c r="I107" s="283">
        <v>2.4234326025655997</v>
      </c>
      <c r="J107" s="238"/>
      <c r="K107" s="300"/>
      <c r="L107" s="238"/>
      <c r="M107" s="238"/>
    </row>
    <row r="108" spans="1:13">
      <c r="A108" s="280" t="s">
        <v>515</v>
      </c>
      <c r="B108" s="280">
        <v>2009</v>
      </c>
      <c r="C108" s="239">
        <v>365</v>
      </c>
      <c r="D108" s="239">
        <v>107</v>
      </c>
      <c r="E108" s="281">
        <v>30063.927272727276</v>
      </c>
      <c r="F108" s="282">
        <v>4.4314800000000005</v>
      </c>
      <c r="G108" s="282">
        <v>92.105700000000013</v>
      </c>
      <c r="H108" s="283">
        <v>0.11950066508028145</v>
      </c>
      <c r="I108" s="283">
        <v>2.4837508930842249</v>
      </c>
      <c r="J108" s="238"/>
      <c r="K108" s="300"/>
      <c r="L108" s="238"/>
      <c r="M108" s="238"/>
    </row>
    <row r="109" spans="1:13">
      <c r="A109" s="280" t="s">
        <v>515</v>
      </c>
      <c r="B109" s="280">
        <v>2010</v>
      </c>
      <c r="C109" s="239">
        <v>365</v>
      </c>
      <c r="D109" s="239">
        <v>141</v>
      </c>
      <c r="E109" s="281">
        <v>23780.370247933886</v>
      </c>
      <c r="F109" s="282">
        <v>5.0829949999999995</v>
      </c>
      <c r="G109" s="282">
        <v>63.407950000000007</v>
      </c>
      <c r="H109" s="283">
        <v>0.17328792897268658</v>
      </c>
      <c r="I109" s="283">
        <v>2.1616846634520916</v>
      </c>
      <c r="J109" s="238"/>
      <c r="K109" s="300"/>
      <c r="L109" s="238"/>
      <c r="M109" s="238"/>
    </row>
    <row r="110" spans="1:13">
      <c r="A110" s="280"/>
      <c r="B110" s="280"/>
      <c r="C110" s="239"/>
      <c r="D110" s="239"/>
      <c r="E110" s="281"/>
      <c r="F110" s="282"/>
      <c r="G110" s="282"/>
      <c r="H110" s="283"/>
      <c r="I110" s="283"/>
      <c r="J110" s="238"/>
      <c r="K110" s="284"/>
      <c r="L110" s="238"/>
      <c r="M110" s="238"/>
    </row>
    <row r="111" spans="1:13">
      <c r="A111" s="280" t="s">
        <v>516</v>
      </c>
      <c r="B111" s="280">
        <v>1994</v>
      </c>
      <c r="C111" s="239">
        <v>365</v>
      </c>
      <c r="D111" s="239">
        <v>163</v>
      </c>
      <c r="E111" s="281">
        <v>770253.22314049583</v>
      </c>
      <c r="F111" s="282">
        <v>50.663694999999997</v>
      </c>
      <c r="G111" s="282">
        <v>1398.77728</v>
      </c>
      <c r="H111" s="283">
        <v>5.3324964763121915E-2</v>
      </c>
      <c r="I111" s="283">
        <v>1.4722524515327104</v>
      </c>
      <c r="J111" s="238"/>
      <c r="K111" s="300"/>
      <c r="L111" s="238"/>
      <c r="M111" s="238"/>
    </row>
    <row r="112" spans="1:13">
      <c r="A112" s="280" t="s">
        <v>516</v>
      </c>
      <c r="B112" s="280">
        <v>1995</v>
      </c>
      <c r="C112" s="239">
        <v>365</v>
      </c>
      <c r="D112" s="239">
        <v>312</v>
      </c>
      <c r="E112" s="281">
        <v>2110115.9008264462</v>
      </c>
      <c r="F112" s="282">
        <v>113.46236</v>
      </c>
      <c r="G112" s="282">
        <v>4311.2947600000007</v>
      </c>
      <c r="H112" s="283">
        <v>4.359259707702022E-2</v>
      </c>
      <c r="I112" s="283">
        <v>1.6564130637944479</v>
      </c>
      <c r="J112" s="238"/>
      <c r="K112" s="300"/>
      <c r="L112" s="238"/>
      <c r="M112" s="238"/>
    </row>
    <row r="113" spans="1:13">
      <c r="A113" s="280" t="s">
        <v>516</v>
      </c>
      <c r="B113" s="280">
        <v>1996</v>
      </c>
      <c r="C113" s="239">
        <v>366</v>
      </c>
      <c r="D113" s="239">
        <v>229</v>
      </c>
      <c r="E113" s="281">
        <v>474488.96528925613</v>
      </c>
      <c r="F113" s="282">
        <v>46.980161000000003</v>
      </c>
      <c r="G113" s="282">
        <v>801.41895999999986</v>
      </c>
      <c r="H113" s="283">
        <v>8.0270436522913824E-2</v>
      </c>
      <c r="I113" s="283">
        <v>1.3693067113358679</v>
      </c>
      <c r="J113" s="238"/>
      <c r="K113" s="300"/>
      <c r="L113" s="238"/>
      <c r="M113" s="238"/>
    </row>
    <row r="114" spans="1:13">
      <c r="A114" s="280" t="s">
        <v>516</v>
      </c>
      <c r="B114" s="280">
        <v>1997</v>
      </c>
      <c r="C114" s="239">
        <v>365</v>
      </c>
      <c r="D114" s="239">
        <v>133</v>
      </c>
      <c r="E114" s="281">
        <v>158048.92561983474</v>
      </c>
      <c r="F114" s="282">
        <v>16.180239000000004</v>
      </c>
      <c r="G114" s="282">
        <v>393.53196000000003</v>
      </c>
      <c r="H114" s="283">
        <v>8.2996661853472833E-2</v>
      </c>
      <c r="I114" s="283">
        <v>2.0186252510024354</v>
      </c>
      <c r="J114" s="238"/>
      <c r="K114" s="300"/>
      <c r="L114" s="238"/>
      <c r="M114" s="238"/>
    </row>
    <row r="115" spans="1:13">
      <c r="A115" s="280" t="s">
        <v>516</v>
      </c>
      <c r="B115" s="280">
        <v>1998</v>
      </c>
      <c r="C115" s="239">
        <v>365</v>
      </c>
      <c r="D115" s="239">
        <v>198</v>
      </c>
      <c r="E115" s="281">
        <v>1618472.7272727278</v>
      </c>
      <c r="F115" s="282">
        <v>135.54951800000001</v>
      </c>
      <c r="G115" s="282">
        <v>2988.8082800000007</v>
      </c>
      <c r="H115" s="283">
        <v>6.789844574004085E-2</v>
      </c>
      <c r="I115" s="283">
        <v>1.4971313791537413</v>
      </c>
      <c r="J115" s="238"/>
      <c r="K115" s="300"/>
      <c r="L115" s="238"/>
      <c r="M115" s="238"/>
    </row>
    <row r="116" spans="1:13">
      <c r="A116" s="280" t="s">
        <v>516</v>
      </c>
      <c r="B116" s="280">
        <v>1999</v>
      </c>
      <c r="C116" s="239">
        <v>365</v>
      </c>
      <c r="D116" s="239">
        <v>178</v>
      </c>
      <c r="E116" s="281">
        <v>564103.5371900826</v>
      </c>
      <c r="F116" s="282">
        <v>52.428719999999998</v>
      </c>
      <c r="G116" s="282">
        <v>945.25917000000004</v>
      </c>
      <c r="H116" s="283">
        <v>7.5349031224377028E-2</v>
      </c>
      <c r="I116" s="283">
        <v>1.3584989813876578</v>
      </c>
      <c r="J116" s="238"/>
      <c r="K116" s="300"/>
      <c r="L116" s="238"/>
      <c r="M116" s="238"/>
    </row>
    <row r="117" spans="1:13">
      <c r="A117" s="280" t="s">
        <v>516</v>
      </c>
      <c r="B117" s="280">
        <v>2000</v>
      </c>
      <c r="C117" s="239">
        <v>366</v>
      </c>
      <c r="D117" s="239">
        <v>247</v>
      </c>
      <c r="E117" s="281">
        <v>477520.2049586777</v>
      </c>
      <c r="F117" s="282">
        <v>104.66518199999999</v>
      </c>
      <c r="G117" s="282">
        <v>1787.4549</v>
      </c>
      <c r="H117" s="283">
        <v>0.17769602855897013</v>
      </c>
      <c r="I117" s="283">
        <v>3.0346637811060333</v>
      </c>
      <c r="J117" s="238"/>
      <c r="K117" s="300"/>
      <c r="L117" s="238"/>
      <c r="M117" s="238"/>
    </row>
    <row r="118" spans="1:13">
      <c r="A118" s="280" t="s">
        <v>516</v>
      </c>
      <c r="B118" s="280">
        <v>2001</v>
      </c>
      <c r="C118" s="239">
        <v>365</v>
      </c>
      <c r="D118" s="239">
        <v>101</v>
      </c>
      <c r="E118" s="281">
        <v>72770.776859504127</v>
      </c>
      <c r="F118" s="282">
        <v>9.0271480000000004</v>
      </c>
      <c r="G118" s="282">
        <v>172.15025</v>
      </c>
      <c r="H118" s="283">
        <v>0.10056822672133407</v>
      </c>
      <c r="I118" s="283">
        <v>1.9178643545153287</v>
      </c>
      <c r="J118" s="238"/>
      <c r="K118" s="300"/>
      <c r="L118" s="238"/>
      <c r="M118" s="238"/>
    </row>
    <row r="119" spans="1:13">
      <c r="A119" s="280" t="s">
        <v>516</v>
      </c>
      <c r="B119" s="280">
        <v>2002</v>
      </c>
      <c r="C119" s="239">
        <v>365</v>
      </c>
      <c r="D119" s="239">
        <v>229</v>
      </c>
      <c r="E119" s="281">
        <v>466051.51735537191</v>
      </c>
      <c r="F119" s="282">
        <v>57.358862000000002</v>
      </c>
      <c r="G119" s="282">
        <v>974.78104000000008</v>
      </c>
      <c r="H119" s="283">
        <v>9.977778093728773E-2</v>
      </c>
      <c r="I119" s="283">
        <v>1.6956662960109203</v>
      </c>
      <c r="J119" s="238"/>
      <c r="K119" s="300"/>
      <c r="L119" s="238"/>
      <c r="M119" s="238"/>
    </row>
    <row r="120" spans="1:13">
      <c r="A120" s="280" t="s">
        <v>516</v>
      </c>
      <c r="B120" s="280">
        <v>2003</v>
      </c>
      <c r="C120" s="239">
        <v>365</v>
      </c>
      <c r="D120" s="239">
        <v>293</v>
      </c>
      <c r="E120" s="281">
        <v>1396713.0446280995</v>
      </c>
      <c r="F120" s="282">
        <v>101.47859699999999</v>
      </c>
      <c r="G120" s="282">
        <v>2454.0007100000007</v>
      </c>
      <c r="H120" s="283">
        <v>5.8902605507701364E-2</v>
      </c>
      <c r="I120" s="283">
        <v>1.4244090873344366</v>
      </c>
      <c r="J120" s="238"/>
      <c r="K120" s="300"/>
      <c r="L120" s="238"/>
      <c r="M120" s="238"/>
    </row>
    <row r="121" spans="1:13">
      <c r="A121" s="280" t="s">
        <v>516</v>
      </c>
      <c r="B121" s="280">
        <v>2004</v>
      </c>
      <c r="C121" s="239">
        <v>366</v>
      </c>
      <c r="D121" s="239">
        <v>249</v>
      </c>
      <c r="E121" s="281">
        <v>1120738.5123966942</v>
      </c>
      <c r="F121" s="282">
        <v>127.28463899999998</v>
      </c>
      <c r="G121" s="282">
        <v>2146.7068500000005</v>
      </c>
      <c r="H121" s="283">
        <v>9.2074409028214663E-2</v>
      </c>
      <c r="I121" s="283">
        <v>1.5528720992842691</v>
      </c>
      <c r="J121" s="238"/>
      <c r="K121" s="300"/>
      <c r="L121" s="238"/>
      <c r="M121" s="238"/>
    </row>
    <row r="122" spans="1:13">
      <c r="A122" s="280" t="s">
        <v>516</v>
      </c>
      <c r="B122" s="280">
        <v>2005</v>
      </c>
      <c r="C122" s="239">
        <v>365</v>
      </c>
      <c r="D122" s="239">
        <v>324</v>
      </c>
      <c r="E122" s="281">
        <v>2266435.0413223142</v>
      </c>
      <c r="F122" s="282">
        <v>384.64016499999997</v>
      </c>
      <c r="G122" s="282">
        <v>4606.82078</v>
      </c>
      <c r="H122" s="283">
        <v>0.13758737883133645</v>
      </c>
      <c r="I122" s="283">
        <v>1.6478788580644794</v>
      </c>
      <c r="J122" s="238"/>
      <c r="K122" s="300"/>
      <c r="L122" s="238"/>
      <c r="M122" s="238"/>
    </row>
    <row r="123" spans="1:13">
      <c r="A123" s="280" t="s">
        <v>516</v>
      </c>
      <c r="B123" s="280">
        <v>2006</v>
      </c>
      <c r="C123" s="239">
        <v>365</v>
      </c>
      <c r="D123" s="239">
        <v>221</v>
      </c>
      <c r="E123" s="281">
        <v>365004.2975206612</v>
      </c>
      <c r="F123" s="282">
        <v>67.896149999999992</v>
      </c>
      <c r="G123" s="282">
        <v>759.60235</v>
      </c>
      <c r="H123" s="283">
        <v>0.15080453842991579</v>
      </c>
      <c r="I123" s="283">
        <v>1.6871572509196668</v>
      </c>
      <c r="J123" s="238"/>
      <c r="K123" s="300"/>
      <c r="L123" s="238"/>
      <c r="M123" s="238"/>
    </row>
    <row r="124" spans="1:13">
      <c r="A124" s="280" t="s">
        <v>516</v>
      </c>
      <c r="B124" s="280">
        <v>2007</v>
      </c>
      <c r="C124" s="239">
        <v>365</v>
      </c>
      <c r="D124" s="239">
        <v>139</v>
      </c>
      <c r="E124" s="281">
        <v>91733.950413223152</v>
      </c>
      <c r="F124" s="282">
        <v>11.802322000000002</v>
      </c>
      <c r="G124" s="282">
        <v>168.72398999999999</v>
      </c>
      <c r="H124" s="283">
        <v>0.1043048742549052</v>
      </c>
      <c r="I124" s="283">
        <v>1.4911247600883859</v>
      </c>
      <c r="J124" s="238"/>
      <c r="K124" s="300"/>
      <c r="L124" s="238"/>
      <c r="M124" s="238"/>
    </row>
    <row r="125" spans="1:13">
      <c r="A125" s="280" t="s">
        <v>516</v>
      </c>
      <c r="B125" s="280">
        <v>2008</v>
      </c>
      <c r="C125" s="239">
        <v>366</v>
      </c>
      <c r="D125" s="239">
        <v>171</v>
      </c>
      <c r="E125" s="281">
        <v>223243.63636363635</v>
      </c>
      <c r="F125" s="282">
        <v>56.947597999999992</v>
      </c>
      <c r="G125" s="282">
        <v>527.75548000000003</v>
      </c>
      <c r="H125" s="283">
        <v>0.20680620422273438</v>
      </c>
      <c r="I125" s="283">
        <v>1.9165533123371985</v>
      </c>
      <c r="J125" s="238"/>
      <c r="K125" s="300"/>
      <c r="L125" s="238"/>
      <c r="M125" s="238"/>
    </row>
    <row r="126" spans="1:13">
      <c r="A126" s="280" t="s">
        <v>516</v>
      </c>
      <c r="B126" s="280">
        <v>2009</v>
      </c>
      <c r="C126" s="239">
        <v>365</v>
      </c>
      <c r="D126" s="239">
        <v>210</v>
      </c>
      <c r="E126" s="281">
        <v>234848.132231405</v>
      </c>
      <c r="F126" s="282">
        <v>30.181415999999999</v>
      </c>
      <c r="G126" s="282">
        <v>494.68617</v>
      </c>
      <c r="H126" s="283">
        <v>0.10418848949734133</v>
      </c>
      <c r="I126" s="283">
        <v>1.7076933974047144</v>
      </c>
      <c r="J126" s="238"/>
      <c r="K126" s="300"/>
      <c r="L126" s="238"/>
      <c r="M126" s="238"/>
    </row>
    <row r="127" spans="1:13">
      <c r="A127" s="280" t="s">
        <v>516</v>
      </c>
      <c r="B127" s="280">
        <v>2010</v>
      </c>
      <c r="C127" s="239">
        <v>365</v>
      </c>
      <c r="D127" s="239">
        <v>283</v>
      </c>
      <c r="E127" s="281">
        <v>661930.31404958689</v>
      </c>
      <c r="F127" s="282">
        <v>77.028757999999996</v>
      </c>
      <c r="G127" s="282">
        <v>1333.2080600000004</v>
      </c>
      <c r="H127" s="283">
        <v>9.4342605386663281E-2</v>
      </c>
      <c r="I127" s="283">
        <v>1.6328748530892701</v>
      </c>
      <c r="J127" s="238"/>
      <c r="K127" s="300"/>
      <c r="L127" s="238"/>
      <c r="M127" s="238"/>
    </row>
    <row r="128" spans="1:13">
      <c r="A128" s="280"/>
      <c r="B128" s="280"/>
      <c r="C128" s="239"/>
      <c r="D128" s="239"/>
      <c r="E128" s="281"/>
      <c r="F128" s="282"/>
      <c r="G128" s="282"/>
      <c r="H128" s="283"/>
      <c r="I128" s="283"/>
      <c r="J128" s="238"/>
      <c r="K128" s="300"/>
      <c r="L128" s="238"/>
      <c r="M128" s="238"/>
    </row>
    <row r="129" spans="1:13">
      <c r="A129" s="280" t="s">
        <v>517</v>
      </c>
      <c r="B129" s="280">
        <v>1994</v>
      </c>
      <c r="C129" s="239">
        <v>365</v>
      </c>
      <c r="D129" s="239">
        <v>365</v>
      </c>
      <c r="E129" s="281">
        <v>1051731.570247934</v>
      </c>
      <c r="F129" s="282">
        <v>120.437859</v>
      </c>
      <c r="G129" s="282">
        <v>2102.1756299999997</v>
      </c>
      <c r="H129" s="283">
        <v>9.2837910437633328E-2</v>
      </c>
      <c r="I129" s="283">
        <v>1.6204339273592985</v>
      </c>
      <c r="J129" s="238"/>
      <c r="K129" s="300"/>
      <c r="L129" s="238"/>
      <c r="M129" s="238"/>
    </row>
    <row r="130" spans="1:13">
      <c r="A130" s="280" t="s">
        <v>517</v>
      </c>
      <c r="B130" s="280">
        <v>1995</v>
      </c>
      <c r="C130" s="239">
        <v>365</v>
      </c>
      <c r="D130" s="239">
        <v>365</v>
      </c>
      <c r="E130" s="281">
        <v>2381744.1322314055</v>
      </c>
      <c r="F130" s="282">
        <v>186.42082199999999</v>
      </c>
      <c r="G130" s="282">
        <v>3244.0935599999998</v>
      </c>
      <c r="H130" s="283">
        <v>6.3455103320005549E-2</v>
      </c>
      <c r="I130" s="283">
        <v>1.1042451686516253</v>
      </c>
      <c r="J130" s="238"/>
      <c r="K130" s="300"/>
      <c r="L130" s="238"/>
      <c r="M130" s="238"/>
    </row>
    <row r="131" spans="1:13">
      <c r="A131" s="280" t="s">
        <v>517</v>
      </c>
      <c r="B131" s="280">
        <v>1996</v>
      </c>
      <c r="C131" s="239">
        <v>366</v>
      </c>
      <c r="D131" s="239">
        <v>365</v>
      </c>
      <c r="E131" s="281">
        <v>603447.27272727271</v>
      </c>
      <c r="F131" s="282">
        <v>62.845452999999992</v>
      </c>
      <c r="G131" s="282">
        <v>932.42759999999998</v>
      </c>
      <c r="H131" s="283">
        <v>8.4430968900625833E-2</v>
      </c>
      <c r="I131" s="283">
        <v>1.2526883320848239</v>
      </c>
      <c r="J131" s="238"/>
      <c r="K131" s="300"/>
      <c r="L131" s="238"/>
      <c r="M131" s="238"/>
    </row>
    <row r="132" spans="1:13">
      <c r="A132" s="280" t="s">
        <v>517</v>
      </c>
      <c r="B132" s="280">
        <v>1997</v>
      </c>
      <c r="C132" s="239">
        <v>365</v>
      </c>
      <c r="D132" s="239">
        <v>365</v>
      </c>
      <c r="E132" s="281">
        <v>347742.14876033057</v>
      </c>
      <c r="F132" s="282">
        <v>47.338182000000003</v>
      </c>
      <c r="G132" s="282">
        <v>831.82042999999999</v>
      </c>
      <c r="H132" s="283">
        <v>0.11036248799359283</v>
      </c>
      <c r="I132" s="283">
        <v>1.9392754081409425</v>
      </c>
      <c r="J132" s="238"/>
      <c r="K132" s="300"/>
      <c r="L132" s="238"/>
      <c r="M132" s="238"/>
    </row>
    <row r="133" spans="1:13">
      <c r="A133" s="280" t="s">
        <v>517</v>
      </c>
      <c r="B133" s="280">
        <v>1998</v>
      </c>
      <c r="C133" s="239">
        <v>365</v>
      </c>
      <c r="D133" s="239">
        <v>365</v>
      </c>
      <c r="E133" s="281">
        <v>1890529.5867768594</v>
      </c>
      <c r="F133" s="282">
        <v>214.05767900000004</v>
      </c>
      <c r="G133" s="282">
        <v>3315.0485100000001</v>
      </c>
      <c r="H133" s="283">
        <v>9.1794059088602303E-2</v>
      </c>
      <c r="I133" s="283">
        <v>1.4215876778170755</v>
      </c>
      <c r="J133" s="238"/>
      <c r="K133" s="300"/>
      <c r="L133" s="238"/>
      <c r="M133" s="238"/>
    </row>
    <row r="134" spans="1:13">
      <c r="A134" s="280" t="s">
        <v>517</v>
      </c>
      <c r="B134" s="280">
        <v>1999</v>
      </c>
      <c r="C134" s="239">
        <v>365</v>
      </c>
      <c r="D134" s="239">
        <v>365</v>
      </c>
      <c r="E134" s="281">
        <v>926005.28925619822</v>
      </c>
      <c r="F134" s="282">
        <v>136.13867400000001</v>
      </c>
      <c r="G134" s="282">
        <v>1741.5528999999999</v>
      </c>
      <c r="H134" s="283">
        <v>0.11918875677861036</v>
      </c>
      <c r="I134" s="283">
        <v>1.5247212193001343</v>
      </c>
      <c r="J134" s="238"/>
      <c r="K134" s="300"/>
      <c r="L134" s="238"/>
      <c r="M134" s="238"/>
    </row>
    <row r="135" spans="1:13">
      <c r="A135" s="280" t="s">
        <v>517</v>
      </c>
      <c r="B135" s="280">
        <v>2000</v>
      </c>
      <c r="C135" s="239">
        <v>366</v>
      </c>
      <c r="D135" s="239">
        <v>366</v>
      </c>
      <c r="E135" s="281">
        <v>468373.90413223149</v>
      </c>
      <c r="F135" s="282">
        <v>57.525802999999996</v>
      </c>
      <c r="G135" s="282">
        <v>797.96814999999992</v>
      </c>
      <c r="H135" s="283">
        <v>9.9572002334042883E-2</v>
      </c>
      <c r="I135" s="283">
        <v>1.381211253918383</v>
      </c>
      <c r="J135" s="238"/>
      <c r="K135" s="300"/>
      <c r="L135" s="238"/>
      <c r="M135" s="238"/>
    </row>
    <row r="136" spans="1:13">
      <c r="A136" s="280" t="s">
        <v>517</v>
      </c>
      <c r="B136" s="280">
        <v>2001</v>
      </c>
      <c r="C136" s="239">
        <v>365</v>
      </c>
      <c r="D136" s="239">
        <v>357</v>
      </c>
      <c r="E136" s="281">
        <v>179407.71570247936</v>
      </c>
      <c r="F136" s="282">
        <v>63.864234999999994</v>
      </c>
      <c r="G136" s="282">
        <v>458.12736999999998</v>
      </c>
      <c r="H136" s="283">
        <v>0.2885917014386466</v>
      </c>
      <c r="I136" s="283">
        <v>2.0702002800771417</v>
      </c>
      <c r="J136" s="238"/>
      <c r="K136" s="300"/>
      <c r="L136" s="238"/>
      <c r="M136" s="238"/>
    </row>
    <row r="137" spans="1:13">
      <c r="A137" s="280" t="s">
        <v>517</v>
      </c>
      <c r="B137" s="280">
        <v>2002</v>
      </c>
      <c r="C137" s="239">
        <v>365</v>
      </c>
      <c r="D137" s="239">
        <v>365</v>
      </c>
      <c r="E137" s="281">
        <v>896381.2165289257</v>
      </c>
      <c r="F137" s="282">
        <v>155.27897600000003</v>
      </c>
      <c r="G137" s="282">
        <v>1790.0869699999998</v>
      </c>
      <c r="H137" s="283">
        <v>0.1404388135762826</v>
      </c>
      <c r="I137" s="283">
        <v>1.6190066211227623</v>
      </c>
      <c r="J137" s="238"/>
      <c r="K137" s="300"/>
      <c r="L137" s="238"/>
      <c r="M137" s="238"/>
    </row>
    <row r="138" spans="1:13">
      <c r="A138" s="280" t="s">
        <v>517</v>
      </c>
      <c r="B138" s="280">
        <v>2003</v>
      </c>
      <c r="C138" s="239">
        <v>365</v>
      </c>
      <c r="D138" s="239">
        <v>365</v>
      </c>
      <c r="E138" s="281">
        <v>1765837.5867768594</v>
      </c>
      <c r="F138" s="282">
        <v>211.50870800000001</v>
      </c>
      <c r="G138" s="282">
        <v>3274.4103400000004</v>
      </c>
      <c r="H138" s="283">
        <v>9.7105702959944001E-2</v>
      </c>
      <c r="I138" s="283">
        <v>1.5033136027903364</v>
      </c>
      <c r="J138" s="238"/>
      <c r="K138" s="300"/>
      <c r="L138" s="238"/>
      <c r="M138" s="238"/>
    </row>
    <row r="139" spans="1:13">
      <c r="A139" s="280" t="s">
        <v>517</v>
      </c>
      <c r="B139" s="280">
        <v>2004</v>
      </c>
      <c r="C139" s="239">
        <v>366</v>
      </c>
      <c r="D139" s="239">
        <v>366</v>
      </c>
      <c r="E139" s="281">
        <v>1262593.1305785126</v>
      </c>
      <c r="F139" s="282">
        <v>129.42761000000002</v>
      </c>
      <c r="G139" s="282">
        <v>2020.3761599999996</v>
      </c>
      <c r="H139" s="283">
        <v>8.3105688227226096E-2</v>
      </c>
      <c r="I139" s="283">
        <v>1.2972869641545588</v>
      </c>
      <c r="J139" s="238"/>
      <c r="K139" s="300"/>
      <c r="L139" s="238"/>
      <c r="M139" s="238"/>
    </row>
    <row r="140" spans="1:13">
      <c r="A140" s="280" t="s">
        <v>517</v>
      </c>
      <c r="B140" s="280">
        <v>2005</v>
      </c>
      <c r="C140" s="239">
        <v>365</v>
      </c>
      <c r="D140" s="239">
        <v>365</v>
      </c>
      <c r="E140" s="281">
        <v>2908858.4727272731</v>
      </c>
      <c r="F140" s="282">
        <v>478.11421799999999</v>
      </c>
      <c r="G140" s="282">
        <v>5842.0401200000006</v>
      </c>
      <c r="H140" s="283">
        <v>0.13325278912855798</v>
      </c>
      <c r="I140" s="283">
        <v>1.6282053762118733</v>
      </c>
      <c r="J140" s="238"/>
      <c r="K140" s="300"/>
      <c r="L140" s="238"/>
      <c r="M140" s="238"/>
    </row>
    <row r="141" spans="1:13">
      <c r="A141" s="280" t="s">
        <v>517</v>
      </c>
      <c r="B141" s="280">
        <v>2006</v>
      </c>
      <c r="C141" s="239">
        <v>365</v>
      </c>
      <c r="D141" s="239">
        <v>361</v>
      </c>
      <c r="E141" s="281">
        <v>497986.01652892563</v>
      </c>
      <c r="F141" s="282">
        <v>96.976663000000016</v>
      </c>
      <c r="G141" s="282">
        <v>926.2668799999999</v>
      </c>
      <c r="H141" s="283">
        <v>0.15787644145475996</v>
      </c>
      <c r="I141" s="283">
        <v>1.5079475239502018</v>
      </c>
      <c r="J141" s="238"/>
      <c r="K141" s="300"/>
      <c r="L141" s="238"/>
      <c r="M141" s="238"/>
    </row>
    <row r="142" spans="1:13">
      <c r="A142" s="280" t="s">
        <v>517</v>
      </c>
      <c r="B142" s="280">
        <v>2007</v>
      </c>
      <c r="C142" s="239">
        <v>365</v>
      </c>
      <c r="D142" s="239">
        <v>311</v>
      </c>
      <c r="E142" s="281">
        <v>62765.454545454559</v>
      </c>
      <c r="F142" s="282">
        <v>7.0385030000000004</v>
      </c>
      <c r="G142" s="282">
        <v>87.096929999999958</v>
      </c>
      <c r="H142" s="283">
        <v>9.0913182863950462E-2</v>
      </c>
      <c r="I142" s="283">
        <v>1.1249919370608621</v>
      </c>
      <c r="J142" s="238"/>
      <c r="K142" s="300"/>
      <c r="L142" s="238"/>
      <c r="M142" s="238"/>
    </row>
    <row r="143" spans="1:13">
      <c r="A143" s="280" t="s">
        <v>517</v>
      </c>
      <c r="B143" s="280">
        <v>2008</v>
      </c>
      <c r="C143" s="239">
        <v>366</v>
      </c>
      <c r="D143" s="239">
        <v>355</v>
      </c>
      <c r="E143" s="281">
        <v>377676.99173553725</v>
      </c>
      <c r="F143" s="282">
        <v>131.02437300000003</v>
      </c>
      <c r="G143" s="282">
        <v>1013.8434000000002</v>
      </c>
      <c r="H143" s="283">
        <v>0.28125406160175104</v>
      </c>
      <c r="I143" s="283">
        <v>2.1762941317653066</v>
      </c>
      <c r="J143" s="238"/>
      <c r="K143" s="300"/>
      <c r="L143" s="238"/>
      <c r="M143" s="238"/>
    </row>
    <row r="144" spans="1:13">
      <c r="A144" s="280" t="s">
        <v>517</v>
      </c>
      <c r="B144" s="280">
        <v>2009</v>
      </c>
      <c r="C144" s="239">
        <v>365</v>
      </c>
      <c r="D144" s="239">
        <v>358</v>
      </c>
      <c r="E144" s="281">
        <v>400693.90413223143</v>
      </c>
      <c r="F144" s="282">
        <v>71.629405999999989</v>
      </c>
      <c r="G144" s="282">
        <v>781.34372999999994</v>
      </c>
      <c r="H144" s="283">
        <v>0.14492584965398067</v>
      </c>
      <c r="I144" s="283">
        <v>1.5808717434018715</v>
      </c>
      <c r="J144" s="238"/>
      <c r="K144" s="300"/>
      <c r="L144" s="238"/>
      <c r="M144" s="238"/>
    </row>
    <row r="145" spans="1:13">
      <c r="A145" s="280" t="s">
        <v>517</v>
      </c>
      <c r="B145" s="280">
        <v>2010</v>
      </c>
      <c r="C145" s="239">
        <v>365</v>
      </c>
      <c r="D145" s="239">
        <v>342</v>
      </c>
      <c r="E145" s="281">
        <v>820859.32561983471</v>
      </c>
      <c r="F145" s="282">
        <v>113.00063800000001</v>
      </c>
      <c r="G145" s="282">
        <v>1528.9512099999999</v>
      </c>
      <c r="H145" s="283">
        <v>0.11160390736147364</v>
      </c>
      <c r="I145" s="283">
        <v>1.5100527945784963</v>
      </c>
      <c r="J145" s="238"/>
      <c r="K145" s="300"/>
      <c r="L145" s="238"/>
      <c r="M145" s="238"/>
    </row>
    <row r="146" spans="1:13">
      <c r="A146" s="280"/>
      <c r="B146" s="280"/>
      <c r="C146" s="239"/>
      <c r="D146" s="239"/>
      <c r="E146" s="281"/>
      <c r="F146" s="282"/>
      <c r="G146" s="282"/>
      <c r="H146" s="283"/>
      <c r="I146" s="283"/>
      <c r="J146" s="238"/>
      <c r="K146" s="300"/>
      <c r="L146" s="238"/>
      <c r="M146" s="238"/>
    </row>
    <row r="147" spans="1:13">
      <c r="A147" s="280" t="s">
        <v>514</v>
      </c>
      <c r="B147" s="280">
        <v>1994</v>
      </c>
      <c r="C147" s="239">
        <v>365</v>
      </c>
      <c r="D147" s="239">
        <v>365</v>
      </c>
      <c r="E147" s="281">
        <v>1633413.6198347108</v>
      </c>
      <c r="F147" s="282">
        <v>216.59029499999997</v>
      </c>
      <c r="G147" s="282">
        <v>3051.6142099999997</v>
      </c>
      <c r="H147" s="283">
        <v>0.10750039528941724</v>
      </c>
      <c r="I147" s="283">
        <v>1.5146095712451138</v>
      </c>
      <c r="J147" s="238"/>
      <c r="K147" s="300"/>
      <c r="L147" s="238"/>
      <c r="M147" s="238"/>
    </row>
    <row r="148" spans="1:13">
      <c r="A148" s="280" t="s">
        <v>514</v>
      </c>
      <c r="B148" s="280">
        <v>1995</v>
      </c>
      <c r="C148" s="239">
        <v>365</v>
      </c>
      <c r="D148" s="239">
        <v>365</v>
      </c>
      <c r="E148" s="281">
        <v>3379882.7107438017</v>
      </c>
      <c r="F148" s="282">
        <v>314.06595399999998</v>
      </c>
      <c r="G148" s="282">
        <v>5482.4493199999988</v>
      </c>
      <c r="H148" s="283">
        <v>7.5333209587022262E-2</v>
      </c>
      <c r="I148" s="283">
        <v>1.3150438575516135</v>
      </c>
      <c r="J148" s="238"/>
      <c r="K148" s="300"/>
      <c r="L148" s="238"/>
      <c r="M148" s="238"/>
    </row>
    <row r="149" spans="1:13">
      <c r="A149" s="280" t="s">
        <v>514</v>
      </c>
      <c r="B149" s="280">
        <v>1996</v>
      </c>
      <c r="C149" s="239">
        <v>366</v>
      </c>
      <c r="D149" s="239">
        <v>257</v>
      </c>
      <c r="E149" s="281">
        <v>941009.45454545482</v>
      </c>
      <c r="F149" s="282">
        <v>129.50467599999999</v>
      </c>
      <c r="G149" s="282">
        <v>1689.4235499999995</v>
      </c>
      <c r="H149" s="283">
        <v>0.11157289545130314</v>
      </c>
      <c r="I149" s="283">
        <v>1.4554986193480717</v>
      </c>
      <c r="J149" s="238"/>
      <c r="K149" s="300"/>
      <c r="L149" s="238"/>
      <c r="M149" s="238"/>
    </row>
    <row r="150" spans="1:13">
      <c r="A150" s="280" t="s">
        <v>514</v>
      </c>
      <c r="B150" s="280">
        <v>1997</v>
      </c>
      <c r="C150" s="239">
        <v>365</v>
      </c>
      <c r="D150" s="239">
        <v>270</v>
      </c>
      <c r="E150" s="281">
        <v>756311.40495867771</v>
      </c>
      <c r="F150" s="282">
        <v>114.786856</v>
      </c>
      <c r="G150" s="282">
        <v>1461.8475799999997</v>
      </c>
      <c r="H150" s="283">
        <v>0.12304352152133317</v>
      </c>
      <c r="I150" s="283">
        <v>1.5669988745979659</v>
      </c>
      <c r="J150" s="238"/>
      <c r="K150" s="300"/>
      <c r="L150" s="238"/>
      <c r="M150" s="238"/>
    </row>
    <row r="151" spans="1:13">
      <c r="A151" s="280" t="s">
        <v>514</v>
      </c>
      <c r="B151" s="280">
        <v>1998</v>
      </c>
      <c r="C151" s="239">
        <v>365</v>
      </c>
      <c r="D151" s="239">
        <v>332</v>
      </c>
      <c r="E151" s="281">
        <v>2613723.5702479342</v>
      </c>
      <c r="F151" s="282">
        <v>296.77118999999999</v>
      </c>
      <c r="G151" s="282">
        <v>4308.9932699999999</v>
      </c>
      <c r="H151" s="283">
        <v>9.2051172514356711E-2</v>
      </c>
      <c r="I151" s="283">
        <v>1.3365444363382177</v>
      </c>
      <c r="J151" s="238"/>
      <c r="K151" s="300"/>
      <c r="L151" s="238"/>
      <c r="M151" s="238"/>
    </row>
    <row r="152" spans="1:13">
      <c r="A152" s="280" t="s">
        <v>514</v>
      </c>
      <c r="B152" s="280">
        <v>1999</v>
      </c>
      <c r="C152" s="239">
        <v>365</v>
      </c>
      <c r="D152" s="239">
        <v>285</v>
      </c>
      <c r="E152" s="281">
        <v>1578821.1570247933</v>
      </c>
      <c r="F152" s="282">
        <v>235.49229</v>
      </c>
      <c r="G152" s="282">
        <v>2790.56529</v>
      </c>
      <c r="H152" s="283">
        <v>0.12092358003269536</v>
      </c>
      <c r="I152" s="283">
        <v>1.4329350025929799</v>
      </c>
      <c r="J152" s="238"/>
      <c r="K152" s="300"/>
      <c r="L152" s="238"/>
      <c r="M152" s="238"/>
    </row>
    <row r="153" spans="1:13">
      <c r="A153" s="280" t="s">
        <v>514</v>
      </c>
      <c r="B153" s="280">
        <v>2000</v>
      </c>
      <c r="C153" s="239">
        <v>366</v>
      </c>
      <c r="D153" s="239">
        <v>238</v>
      </c>
      <c r="E153" s="281">
        <v>619875.64958677697</v>
      </c>
      <c r="F153" s="282">
        <v>125.80256699999997</v>
      </c>
      <c r="G153" s="282">
        <v>861.69754</v>
      </c>
      <c r="H153" s="283">
        <v>0.16453267836464963</v>
      </c>
      <c r="I153" s="283">
        <v>1.1269833961053422</v>
      </c>
      <c r="J153" s="238"/>
      <c r="K153" s="300"/>
      <c r="L153" s="238"/>
      <c r="M153" s="238"/>
    </row>
    <row r="154" spans="1:13">
      <c r="A154" s="280" t="s">
        <v>514</v>
      </c>
      <c r="B154" s="280">
        <v>2001</v>
      </c>
      <c r="C154" s="239">
        <v>365</v>
      </c>
      <c r="D154" s="239">
        <v>213</v>
      </c>
      <c r="E154" s="281">
        <v>835814.89586776879</v>
      </c>
      <c r="F154" s="282">
        <v>199.15996699999999</v>
      </c>
      <c r="G154" s="282">
        <v>1733.6782199999998</v>
      </c>
      <c r="H154" s="283">
        <v>0.19317867355549959</v>
      </c>
      <c r="I154" s="283">
        <v>1.6816113396507018</v>
      </c>
      <c r="J154" s="238"/>
      <c r="K154" s="300"/>
      <c r="L154" s="238"/>
      <c r="M154" s="238"/>
    </row>
    <row r="155" spans="1:13">
      <c r="A155" s="280" t="s">
        <v>514</v>
      </c>
      <c r="B155" s="280">
        <v>2002</v>
      </c>
      <c r="C155" s="239">
        <v>365</v>
      </c>
      <c r="D155" s="239">
        <v>306</v>
      </c>
      <c r="E155" s="281">
        <v>1491120.0000000002</v>
      </c>
      <c r="F155" s="282">
        <v>294.84954099999993</v>
      </c>
      <c r="G155" s="282">
        <v>3053.8130000000001</v>
      </c>
      <c r="H155" s="283">
        <v>0.16030796520172735</v>
      </c>
      <c r="I155" s="283">
        <v>1.6603402076742007</v>
      </c>
      <c r="J155" s="238"/>
      <c r="K155" s="300"/>
      <c r="L155" s="238"/>
      <c r="M155" s="238"/>
    </row>
    <row r="156" spans="1:13">
      <c r="A156" s="280" t="s">
        <v>514</v>
      </c>
      <c r="B156" s="280">
        <v>2003</v>
      </c>
      <c r="C156" s="239">
        <v>365</v>
      </c>
      <c r="D156" s="239">
        <v>342</v>
      </c>
      <c r="E156" s="302">
        <v>2589760.6611570246</v>
      </c>
      <c r="F156" s="295">
        <v>333.79827499999999</v>
      </c>
      <c r="G156" s="295">
        <v>4148.2231099999999</v>
      </c>
      <c r="H156" s="283">
        <v>0.10449408305009594</v>
      </c>
      <c r="I156" s="283">
        <v>1.298583014446876</v>
      </c>
      <c r="J156" s="238"/>
      <c r="K156" s="301"/>
      <c r="L156" s="238"/>
      <c r="M156" s="238"/>
    </row>
    <row r="157" spans="1:13">
      <c r="A157" s="280" t="s">
        <v>514</v>
      </c>
      <c r="B157" s="280">
        <v>2004</v>
      </c>
      <c r="C157" s="239">
        <v>366</v>
      </c>
      <c r="D157" s="239">
        <v>332</v>
      </c>
      <c r="E157" s="302">
        <v>1852309.6066115703</v>
      </c>
      <c r="F157" s="295">
        <v>212.66072800000001</v>
      </c>
      <c r="G157" s="295">
        <v>3236.72174</v>
      </c>
      <c r="H157" s="283">
        <v>9.3076695912597304E-2</v>
      </c>
      <c r="I157" s="283">
        <v>1.4166384549745021</v>
      </c>
      <c r="J157" s="238"/>
      <c r="K157" s="301"/>
      <c r="L157" s="238"/>
      <c r="M157" s="238"/>
    </row>
    <row r="158" spans="1:13">
      <c r="A158" s="280" t="s">
        <v>514</v>
      </c>
      <c r="B158" s="280">
        <v>2005</v>
      </c>
      <c r="C158" s="239">
        <v>365</v>
      </c>
      <c r="D158" s="239">
        <v>362</v>
      </c>
      <c r="E158" s="302">
        <v>3899262.4462809921</v>
      </c>
      <c r="F158" s="295">
        <v>693.80799899999988</v>
      </c>
      <c r="G158" s="295">
        <v>7297.5702399999982</v>
      </c>
      <c r="H158" s="283">
        <v>0.14425274176729383</v>
      </c>
      <c r="I158" s="283">
        <v>1.5172706525100301</v>
      </c>
      <c r="J158" s="238"/>
      <c r="K158" s="301"/>
      <c r="L158" s="238"/>
      <c r="M158" s="238"/>
    </row>
    <row r="159" spans="1:13">
      <c r="A159" s="280" t="s">
        <v>514</v>
      </c>
      <c r="B159" s="280">
        <v>2006</v>
      </c>
      <c r="C159" s="239">
        <v>365</v>
      </c>
      <c r="D159" s="239">
        <v>276</v>
      </c>
      <c r="E159" s="302">
        <v>926828.42975206627</v>
      </c>
      <c r="F159" s="295">
        <v>193.49166999999997</v>
      </c>
      <c r="G159" s="295">
        <v>1819.5592200000001</v>
      </c>
      <c r="H159" s="283">
        <v>0.16925058049784544</v>
      </c>
      <c r="I159" s="283">
        <v>1.5916005801965889</v>
      </c>
      <c r="J159" s="238"/>
      <c r="K159" s="301"/>
      <c r="L159" s="238"/>
      <c r="M159" s="238"/>
    </row>
    <row r="160" spans="1:13">
      <c r="A160" s="280" t="s">
        <v>514</v>
      </c>
      <c r="B160" s="280">
        <v>2007</v>
      </c>
      <c r="C160" s="239">
        <v>365</v>
      </c>
      <c r="D160" s="239">
        <v>159</v>
      </c>
      <c r="E160" s="302">
        <v>94663.140495867774</v>
      </c>
      <c r="F160" s="295">
        <v>23.749982000000003</v>
      </c>
      <c r="G160" s="295">
        <v>165.80382999999998</v>
      </c>
      <c r="H160" s="283">
        <v>0.20339937655579288</v>
      </c>
      <c r="I160" s="283">
        <v>1.4199756299841686</v>
      </c>
      <c r="J160" s="238"/>
      <c r="K160" s="301"/>
      <c r="L160" s="238"/>
      <c r="M160" s="238"/>
    </row>
    <row r="161" spans="1:13">
      <c r="A161" s="280" t="s">
        <v>514</v>
      </c>
      <c r="B161" s="280">
        <v>2008</v>
      </c>
      <c r="C161" s="239">
        <v>366</v>
      </c>
      <c r="D161" s="239">
        <v>227</v>
      </c>
      <c r="E161" s="302">
        <v>929410.90909090894</v>
      </c>
      <c r="F161" s="295">
        <v>276.92303900000002</v>
      </c>
      <c r="G161" s="295">
        <v>1855.8244400000001</v>
      </c>
      <c r="H161" s="283">
        <v>0.24155640867320494</v>
      </c>
      <c r="I161" s="283">
        <v>1.6188118131058129</v>
      </c>
      <c r="J161" s="238"/>
      <c r="K161" s="301"/>
      <c r="L161" s="238"/>
      <c r="M161" s="238"/>
    </row>
    <row r="162" spans="1:13">
      <c r="A162" s="280" t="s">
        <v>514</v>
      </c>
      <c r="B162" s="280">
        <v>2009</v>
      </c>
      <c r="C162" s="239">
        <v>365</v>
      </c>
      <c r="D162" s="239">
        <v>271</v>
      </c>
      <c r="E162" s="302">
        <v>831744.7933884298</v>
      </c>
      <c r="F162" s="295">
        <v>172.949196</v>
      </c>
      <c r="G162" s="295">
        <v>1537.8610699999999</v>
      </c>
      <c r="H162" s="283">
        <v>0.1685759816798488</v>
      </c>
      <c r="I162" s="283">
        <v>1.4989745286961187</v>
      </c>
      <c r="J162" s="238"/>
      <c r="K162" s="301"/>
      <c r="L162" s="238"/>
      <c r="M162" s="238"/>
    </row>
    <row r="163" spans="1:13">
      <c r="A163" s="280" t="s">
        <v>514</v>
      </c>
      <c r="B163" s="280">
        <v>2010</v>
      </c>
      <c r="C163" s="239">
        <v>365</v>
      </c>
      <c r="D163" s="239">
        <v>315</v>
      </c>
      <c r="E163" s="302">
        <v>1449726.9421487604</v>
      </c>
      <c r="F163" s="295">
        <v>209.08871799999997</v>
      </c>
      <c r="G163" s="295">
        <v>2400.2812700000004</v>
      </c>
      <c r="H163" s="283">
        <v>0.11692614479797973</v>
      </c>
      <c r="I163" s="283">
        <v>1.342280147950875</v>
      </c>
      <c r="J163" s="238"/>
      <c r="K163" s="301"/>
      <c r="L163" s="238"/>
      <c r="M163" s="238"/>
    </row>
    <row r="165" spans="1:13">
      <c r="A165" s="280" t="s">
        <v>513</v>
      </c>
      <c r="B165" s="3">
        <v>1992</v>
      </c>
      <c r="C165" s="3">
        <v>366</v>
      </c>
      <c r="D165" s="3">
        <v>366</v>
      </c>
      <c r="E165" s="196">
        <v>378025.5352846834</v>
      </c>
      <c r="I165" s="404" t="s">
        <v>539</v>
      </c>
    </row>
    <row r="166" spans="1:13">
      <c r="A166" s="280" t="s">
        <v>513</v>
      </c>
      <c r="B166" s="3">
        <v>1993</v>
      </c>
      <c r="C166" s="3">
        <v>365</v>
      </c>
      <c r="D166" s="3">
        <v>365</v>
      </c>
      <c r="E166" s="196">
        <v>165683.43500367753</v>
      </c>
    </row>
    <row r="167" spans="1:13">
      <c r="A167" s="280" t="s">
        <v>513</v>
      </c>
      <c r="B167" s="3">
        <v>1994</v>
      </c>
      <c r="C167" s="3">
        <v>365</v>
      </c>
      <c r="D167" s="3">
        <v>365</v>
      </c>
      <c r="E167" s="196">
        <v>143908.26984510539</v>
      </c>
    </row>
    <row r="168" spans="1:13">
      <c r="A168" s="280" t="s">
        <v>513</v>
      </c>
      <c r="B168" s="3">
        <v>1995</v>
      </c>
      <c r="C168" s="3">
        <v>365</v>
      </c>
      <c r="D168" s="3">
        <v>365</v>
      </c>
      <c r="E168" s="196">
        <v>859658.6383089564</v>
      </c>
    </row>
    <row r="169" spans="1:13">
      <c r="A169" s="280" t="s">
        <v>513</v>
      </c>
      <c r="B169" s="3">
        <v>1996</v>
      </c>
      <c r="C169" s="3">
        <v>366</v>
      </c>
      <c r="D169" s="3">
        <v>366</v>
      </c>
      <c r="E169" s="196">
        <v>410618.94398987258</v>
      </c>
    </row>
    <row r="170" spans="1:13">
      <c r="A170" s="280" t="s">
        <v>513</v>
      </c>
      <c r="B170" s="3">
        <v>1997</v>
      </c>
      <c r="C170" s="3">
        <v>365</v>
      </c>
      <c r="D170" s="3">
        <v>365</v>
      </c>
      <c r="E170" s="196">
        <v>289312.79305130319</v>
      </c>
    </row>
    <row r="171" spans="1:13">
      <c r="A171" s="280" t="s">
        <v>513</v>
      </c>
      <c r="B171" s="3">
        <v>1998</v>
      </c>
      <c r="C171" s="3">
        <v>365</v>
      </c>
      <c r="D171" s="3">
        <v>365</v>
      </c>
      <c r="E171" s="196">
        <v>732763.65718850424</v>
      </c>
      <c r="G171" s="197"/>
    </row>
    <row r="172" spans="1:13">
      <c r="A172" s="280" t="s">
        <v>513</v>
      </c>
      <c r="B172" s="3">
        <v>1999</v>
      </c>
      <c r="C172" s="3">
        <v>365</v>
      </c>
      <c r="D172" s="3">
        <v>365</v>
      </c>
      <c r="E172" s="196">
        <v>668658.21154529136</v>
      </c>
    </row>
    <row r="173" spans="1:13">
      <c r="A173" s="280" t="s">
        <v>513</v>
      </c>
      <c r="B173" s="3">
        <v>2000</v>
      </c>
      <c r="C173" s="3">
        <v>366</v>
      </c>
      <c r="D173" s="3">
        <v>366</v>
      </c>
      <c r="E173" s="196">
        <v>474060.97361292044</v>
      </c>
    </row>
    <row r="174" spans="1:13">
      <c r="A174" s="280" t="s">
        <v>513</v>
      </c>
      <c r="B174" s="3">
        <v>2001</v>
      </c>
      <c r="C174" s="3">
        <v>365</v>
      </c>
      <c r="D174" s="3">
        <v>365</v>
      </c>
      <c r="E174" s="196">
        <v>459663.22813651536</v>
      </c>
    </row>
    <row r="175" spans="1:13">
      <c r="A175" s="280" t="s">
        <v>513</v>
      </c>
      <c r="B175" s="3">
        <v>2002</v>
      </c>
      <c r="C175" s="3">
        <v>365</v>
      </c>
      <c r="D175" s="3">
        <v>365</v>
      </c>
      <c r="E175" s="196">
        <v>177812.30113552089</v>
      </c>
    </row>
    <row r="176" spans="1:13">
      <c r="A176" s="280" t="s">
        <v>513</v>
      </c>
      <c r="B176" s="3">
        <v>2003</v>
      </c>
      <c r="C176" s="3">
        <v>365</v>
      </c>
      <c r="D176" s="3">
        <v>365</v>
      </c>
      <c r="E176" s="196">
        <v>454227.54119773407</v>
      </c>
    </row>
    <row r="177" spans="1:9">
      <c r="A177" s="280" t="s">
        <v>513</v>
      </c>
      <c r="B177" s="3">
        <v>2004</v>
      </c>
      <c r="C177" s="3">
        <v>366</v>
      </c>
      <c r="D177" s="3">
        <v>366</v>
      </c>
      <c r="E177" s="196">
        <v>324606.97654464969</v>
      </c>
    </row>
    <row r="178" spans="1:9">
      <c r="A178" s="280" t="s">
        <v>513</v>
      </c>
      <c r="B178" s="3">
        <v>2005</v>
      </c>
      <c r="C178" s="3">
        <v>365</v>
      </c>
      <c r="D178" s="3">
        <v>365</v>
      </c>
      <c r="E178" s="196">
        <v>378004.59745460754</v>
      </c>
    </row>
    <row r="179" spans="1:9">
      <c r="A179" s="280" t="s">
        <v>513</v>
      </c>
      <c r="B179" s="3">
        <v>2006</v>
      </c>
      <c r="C179" s="3">
        <v>365</v>
      </c>
      <c r="D179" s="3">
        <v>365</v>
      </c>
      <c r="E179" s="196">
        <v>337375.28021064575</v>
      </c>
    </row>
    <row r="180" spans="1:9">
      <c r="A180" s="280" t="s">
        <v>513</v>
      </c>
      <c r="B180" s="3">
        <v>2007</v>
      </c>
      <c r="C180" s="3">
        <v>365</v>
      </c>
      <c r="D180" s="3">
        <v>365</v>
      </c>
      <c r="E180" s="196">
        <v>161354.50019735217</v>
      </c>
    </row>
    <row r="181" spans="1:9">
      <c r="A181" s="280" t="s">
        <v>513</v>
      </c>
      <c r="B181" s="3">
        <v>2008</v>
      </c>
      <c r="C181" s="3">
        <v>366</v>
      </c>
      <c r="D181" s="3">
        <v>366</v>
      </c>
      <c r="E181" s="196">
        <v>418018.93798682792</v>
      </c>
    </row>
    <row r="182" spans="1:9">
      <c r="A182" s="280" t="s">
        <v>513</v>
      </c>
      <c r="B182" s="3">
        <v>2009</v>
      </c>
      <c r="C182" s="3">
        <v>365</v>
      </c>
      <c r="D182" s="3">
        <v>365</v>
      </c>
      <c r="E182" s="196">
        <v>235070.54642092285</v>
      </c>
    </row>
    <row r="183" spans="1:9">
      <c r="A183" s="280" t="s">
        <v>513</v>
      </c>
      <c r="B183" s="413">
        <v>2010</v>
      </c>
      <c r="C183" s="413">
        <v>365</v>
      </c>
      <c r="D183" s="413">
        <v>331</v>
      </c>
      <c r="E183" s="416">
        <v>144122.04097848485</v>
      </c>
      <c r="I183" s="404" t="s">
        <v>538</v>
      </c>
    </row>
    <row r="184" spans="1:9">
      <c r="C184" s="3"/>
    </row>
  </sheetData>
  <sortState ref="N14:N18">
    <sortCondition ref="N14"/>
  </sortState>
  <mergeCells count="18">
    <mergeCell ref="A91:A92"/>
    <mergeCell ref="B91:B92"/>
    <mergeCell ref="C91:C92"/>
    <mergeCell ref="D91:D92"/>
    <mergeCell ref="E91:E92"/>
    <mergeCell ref="M91:M92"/>
    <mergeCell ref="F91:F92"/>
    <mergeCell ref="G91:G92"/>
    <mergeCell ref="F29:G29"/>
    <mergeCell ref="H29:I29"/>
    <mergeCell ref="H91:H92"/>
    <mergeCell ref="I91:I92"/>
    <mergeCell ref="E65:I65"/>
    <mergeCell ref="F17:G17"/>
    <mergeCell ref="H17:I17"/>
    <mergeCell ref="J91:J92"/>
    <mergeCell ref="K91:K92"/>
    <mergeCell ref="L91:L92"/>
  </mergeCells>
  <printOptions gridLines="1"/>
  <pageMargins left="0.5" right="0.5" top="0.75" bottom="0.75" header="0.3" footer="0.3"/>
  <pageSetup scale="60" fitToHeight="4" orientation="portrait" r:id="rId1"/>
  <headerFooter>
    <oddFooter>&amp;L&amp;"-,Italic"&amp;9&amp;F, &amp;A&amp;R&amp;"-,Italic"&amp;9&amp;P of  &amp;N</oddFooter>
  </headerFooter>
  <rowBreaks count="1" manualBreakCount="1">
    <brk id="5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13</vt:i4>
      </vt:variant>
      <vt:variant>
        <vt:lpstr>Named Ranges</vt:lpstr>
      </vt:variant>
      <vt:variant>
        <vt:i4>35</vt:i4>
      </vt:variant>
    </vt:vector>
  </HeadingPairs>
  <TitlesOfParts>
    <vt:vector size="48" baseType="lpstr">
      <vt:lpstr>Readme</vt:lpstr>
      <vt:lpstr>Abridged_Summary</vt:lpstr>
      <vt:lpstr>Main_Summary</vt:lpstr>
      <vt:lpstr>Figs_n_Tables</vt:lpstr>
      <vt:lpstr>Basic_Loads</vt:lpstr>
      <vt:lpstr>LU_Lookup</vt:lpstr>
      <vt:lpstr>MM_List</vt:lpstr>
      <vt:lpstr>MM_RptList</vt:lpstr>
      <vt:lpstr>FlowLoad_Data</vt:lpstr>
      <vt:lpstr>Dispersed_WMP</vt:lpstr>
      <vt:lpstr>Parcel_ChemTrt</vt:lpstr>
      <vt:lpstr>Master_Lookup</vt:lpstr>
      <vt:lpstr>ConvFactors</vt:lpstr>
      <vt:lpstr>bott_bmpareas</vt:lpstr>
      <vt:lpstr>bott_bmpeff</vt:lpstr>
      <vt:lpstr>bott_luacres</vt:lpstr>
      <vt:lpstr>bottb_Loadings</vt:lpstr>
      <vt:lpstr>bottb_luacres</vt:lpstr>
      <vt:lpstr>bottbmp_curr</vt:lpstr>
      <vt:lpstr>bottbmp_long</vt:lpstr>
      <vt:lpstr>bottbmp_near</vt:lpstr>
      <vt:lpstr>cfs_acftday</vt:lpstr>
      <vt:lpstr>dispersedsum</vt:lpstr>
      <vt:lpstr>flow_9605</vt:lpstr>
      <vt:lpstr>lb_mton</vt:lpstr>
      <vt:lpstr>lbacft_mgl</vt:lpstr>
      <vt:lpstr>lbacin_mgl</vt:lpstr>
      <vt:lpstr>loads_summ</vt:lpstr>
      <vt:lpstr>mglacft_mton</vt:lpstr>
      <vt:lpstr>mglcfs_mtonday</vt:lpstr>
      <vt:lpstr>MM_List</vt:lpstr>
      <vt:lpstr>mm_sum</vt:lpstr>
      <vt:lpstr>mon_index</vt:lpstr>
      <vt:lpstr>mtonacft_mgl</vt:lpstr>
      <vt:lpstr>okee_dat</vt:lpstr>
      <vt:lpstr>parchemtrt</vt:lpstr>
      <vt:lpstr>parmlist</vt:lpstr>
      <vt:lpstr>postbmp_conc</vt:lpstr>
      <vt:lpstr>Abridged_Summary!Print_Area</vt:lpstr>
      <vt:lpstr>projstatus</vt:lpstr>
      <vt:lpstr>subwatalpha</vt:lpstr>
      <vt:lpstr>subwatconc</vt:lpstr>
      <vt:lpstr>subwatgeog</vt:lpstr>
      <vt:lpstr>subwatindex</vt:lpstr>
      <vt:lpstr>Tmdl_TN</vt:lpstr>
      <vt:lpstr>TNBase</vt:lpstr>
      <vt:lpstr>TPBase</vt:lpstr>
      <vt:lpstr>yr_index</vt:lpstr>
    </vt:vector>
  </TitlesOfParts>
  <Company>South Fl Water Mgmnt District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LB</dc:creator>
  <cp:lastModifiedBy>tlieber</cp:lastModifiedBy>
  <cp:lastPrinted>2011-10-12T15:03:51Z</cp:lastPrinted>
  <dcterms:created xsi:type="dcterms:W3CDTF">2011-05-16T21:06:46Z</dcterms:created>
  <dcterms:modified xsi:type="dcterms:W3CDTF">2011-12-05T13:43:27Z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3" name="_NewReviewCycle">
    <vt:lpwstr/>
  </property>
</Properties>
</file>