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5295" windowWidth="19320" windowHeight="5355"/>
  </bookViews>
  <sheets>
    <sheet name="Alternative" sheetId="4" r:id="rId1"/>
    <sheet name="Water &amp; Wetland" sheetId="2" r:id="rId2"/>
  </sheets>
  <definedNames>
    <definedName name="_xlnm.Print_Area" localSheetId="0">Alternative!$A$1:$R$13</definedName>
  </definedNames>
  <calcPr calcId="125725"/>
</workbook>
</file>

<file path=xl/calcChain.xml><?xml version="1.0" encoding="utf-8"?>
<calcChain xmlns="http://schemas.openxmlformats.org/spreadsheetml/2006/main">
  <c r="N5" i="4"/>
  <c r="N6"/>
  <c r="N7"/>
  <c r="N8"/>
  <c r="N9"/>
  <c r="N10"/>
  <c r="N11"/>
  <c r="N12"/>
  <c r="F10"/>
  <c r="F11"/>
  <c r="E4"/>
  <c r="F4" s="1"/>
  <c r="E5"/>
  <c r="F5" s="1"/>
  <c r="E6"/>
  <c r="F6" s="1"/>
  <c r="E7"/>
  <c r="F7" s="1"/>
  <c r="E8"/>
  <c r="F8" s="1"/>
  <c r="E9"/>
  <c r="F9" s="1"/>
  <c r="E12"/>
  <c r="F12" s="1"/>
  <c r="G7" l="1"/>
  <c r="G9"/>
  <c r="J9" s="1"/>
  <c r="J11"/>
  <c r="J10"/>
  <c r="K10" s="1"/>
  <c r="J8"/>
  <c r="J7"/>
  <c r="J6"/>
  <c r="J5"/>
  <c r="G11"/>
  <c r="M11" s="1"/>
  <c r="G10"/>
  <c r="C9"/>
  <c r="D9" s="1"/>
  <c r="G8"/>
  <c r="C8"/>
  <c r="C7"/>
  <c r="G6"/>
  <c r="L6" s="1"/>
  <c r="C6"/>
  <c r="D6" s="1"/>
  <c r="G5"/>
  <c r="C5"/>
  <c r="J4"/>
  <c r="C4"/>
  <c r="G12" l="1"/>
  <c r="H9" s="1"/>
  <c r="L7"/>
  <c r="K9"/>
  <c r="K5"/>
  <c r="K4"/>
  <c r="K6"/>
  <c r="K8"/>
  <c r="K7"/>
  <c r="M10"/>
  <c r="L9"/>
  <c r="K11"/>
  <c r="L8"/>
  <c r="L5"/>
  <c r="L10"/>
  <c r="J12"/>
  <c r="M5"/>
  <c r="M7"/>
  <c r="I12"/>
  <c r="M9"/>
  <c r="M6"/>
  <c r="M8"/>
  <c r="C12"/>
  <c r="D4"/>
  <c r="G4"/>
  <c r="D5"/>
  <c r="D8"/>
  <c r="K12" l="1"/>
  <c r="H11"/>
  <c r="H8"/>
  <c r="L12"/>
  <c r="M4"/>
  <c r="M12" s="1"/>
  <c r="L4"/>
  <c r="H5"/>
  <c r="H10"/>
  <c r="H7"/>
  <c r="H6"/>
  <c r="H4"/>
  <c r="O11" l="1"/>
  <c r="P11" s="1"/>
  <c r="Q11" s="1"/>
  <c r="K10" i="2"/>
  <c r="K9"/>
  <c r="K8"/>
  <c r="K7"/>
  <c r="K11" s="1"/>
  <c r="L11" s="1"/>
  <c r="M11" s="1"/>
  <c r="K6"/>
  <c r="K5"/>
  <c r="J10"/>
  <c r="J9"/>
  <c r="J8"/>
  <c r="J7"/>
  <c r="J6"/>
  <c r="J5"/>
  <c r="J11"/>
  <c r="L10"/>
  <c r="M10" s="1"/>
  <c r="L9"/>
  <c r="M9" s="1"/>
  <c r="L8"/>
  <c r="M8" s="1"/>
  <c r="L7"/>
  <c r="M7" s="1"/>
  <c r="L6"/>
  <c r="M6" s="1"/>
  <c r="M5"/>
  <c r="L5"/>
  <c r="G11"/>
  <c r="H11" s="1"/>
  <c r="I11" s="1"/>
  <c r="F11"/>
  <c r="H10"/>
  <c r="I10" s="1"/>
  <c r="H9"/>
  <c r="I9" s="1"/>
  <c r="H8"/>
  <c r="I8" s="1"/>
  <c r="H7"/>
  <c r="I7" s="1"/>
  <c r="H6"/>
  <c r="I6" s="1"/>
  <c r="H5"/>
  <c r="I5" s="1"/>
  <c r="D10"/>
  <c r="E10" s="1"/>
  <c r="D9"/>
  <c r="E9" s="1"/>
  <c r="D8"/>
  <c r="E8" s="1"/>
  <c r="D7"/>
  <c r="E7" s="1"/>
  <c r="D6"/>
  <c r="E6" s="1"/>
  <c r="D5"/>
  <c r="E5" s="1"/>
  <c r="C11"/>
  <c r="D11" s="1"/>
  <c r="E11" s="1"/>
  <c r="B11"/>
  <c r="N4" i="4" l="1"/>
  <c r="O4" s="1"/>
  <c r="O10"/>
  <c r="P10" s="1"/>
  <c r="Q10" s="1"/>
  <c r="O8"/>
  <c r="P8" s="1"/>
  <c r="Q8" s="1"/>
  <c r="O6"/>
  <c r="P6" s="1"/>
  <c r="Q6" s="1"/>
  <c r="O7"/>
  <c r="P7" s="1"/>
  <c r="Q7" s="1"/>
  <c r="O5"/>
  <c r="P5" s="1"/>
  <c r="Q5" s="1"/>
  <c r="O9"/>
  <c r="P9" s="1"/>
  <c r="Q9" s="1"/>
  <c r="P4" l="1"/>
  <c r="P12" l="1"/>
  <c r="Q12" s="1"/>
  <c r="Q4"/>
  <c r="O12"/>
</calcChain>
</file>

<file path=xl/sharedStrings.xml><?xml version="1.0" encoding="utf-8"?>
<sst xmlns="http://schemas.openxmlformats.org/spreadsheetml/2006/main" count="62" uniqueCount="54">
  <si>
    <t>Area Name 
(Within Tidal Caloosahatchee Watershed)</t>
  </si>
  <si>
    <t>City of Cape Coral</t>
  </si>
  <si>
    <t>City of Fort Myers</t>
  </si>
  <si>
    <t>Lucaya CCD</t>
  </si>
  <si>
    <t>Charlotte County</t>
  </si>
  <si>
    <t>Agriculture</t>
  </si>
  <si>
    <t>Total 3-Year TN Loads (Pounds)</t>
  </si>
  <si>
    <t>Total 3-YR TN Load (Tons)</t>
  </si>
  <si>
    <t>Total Area (Acres)</t>
  </si>
  <si>
    <t>Area</t>
  </si>
  <si>
    <t>Avg Load (tons)</t>
  </si>
  <si>
    <t>Total 3-Yr Load (Tons)</t>
  </si>
  <si>
    <t>Total Wetland Area (ac)</t>
  </si>
  <si>
    <t>Cape Coral</t>
  </si>
  <si>
    <t>Ft. Myers</t>
  </si>
  <si>
    <t>East County WCD</t>
  </si>
  <si>
    <t>Lee County</t>
  </si>
  <si>
    <t>Total</t>
  </si>
  <si>
    <t>Avg Load (lb)</t>
  </si>
  <si>
    <t>Wetlands</t>
  </si>
  <si>
    <t>Water</t>
  </si>
  <si>
    <t>Tidal Caloosahatchee Water &amp; Wetland NPS Loads</t>
  </si>
  <si>
    <t>Total Water Area (ac)</t>
  </si>
  <si>
    <t>Note:</t>
  </si>
  <si>
    <t>% Reduction</t>
  </si>
  <si>
    <t>Load Expressed as % of Tidal  Basin load</t>
  </si>
  <si>
    <t>% of Area with Urban BMPs</t>
  </si>
  <si>
    <t>NPS Background Loading (lb/yr)</t>
  </si>
  <si>
    <t>Average Annual TN Load (lb)</t>
  </si>
  <si>
    <t>Backgound Load (ton/3 years)</t>
  </si>
  <si>
    <t>ECWCD</t>
  </si>
  <si>
    <t>Unincorp. Lee County</t>
  </si>
  <si>
    <t>Total Load</t>
  </si>
  <si>
    <t>% of Total Urban Load</t>
  </si>
  <si>
    <t>Allocated Load by % Urban</t>
  </si>
  <si>
    <t>% of Total Loading</t>
  </si>
  <si>
    <t>Background + Allocated Load</t>
  </si>
  <si>
    <t>Background Load per Acre</t>
  </si>
  <si>
    <r>
      <t xml:space="preserve">Charlotte County </t>
    </r>
    <r>
      <rPr>
        <vertAlign val="superscript"/>
        <sz val="16"/>
        <color theme="1"/>
        <rFont val="Calibri"/>
        <family val="2"/>
        <scheme val="minor"/>
      </rPr>
      <t>1</t>
    </r>
  </si>
  <si>
    <t>1.  Charlotte County NPS Background load assumed to be 95% of total.</t>
  </si>
  <si>
    <t>NPS Load (Total - Natural Load, lb/yr)</t>
  </si>
  <si>
    <t xml:space="preserve">FDOT </t>
  </si>
  <si>
    <t>Allocatable Load (23% Reduction - Background) =</t>
  </si>
  <si>
    <t>Background Loading</t>
  </si>
  <si>
    <t>Existing Loading</t>
  </si>
  <si>
    <t>Allocation by % Urban</t>
  </si>
  <si>
    <t>Calculations</t>
  </si>
  <si>
    <t>Target TMDL Load = 77% of Existing Average Annual TN Load = 1,374,568 lb/yr</t>
  </si>
  <si>
    <t>Allocatable Load = Target TMDL Load - NPS Background Load = 1,374,568 - 1,116,941 = 257,627 lb/yr</t>
  </si>
  <si>
    <t>Background + Allocated Load = Allocated load by % Urban + NPS Background Loading = 67,434 + 174,906 = 252,768 lb/yr</t>
  </si>
  <si>
    <t>Allocated Load by % Urban = % of Urban Load x Allocatable Load; Example Cape Coral  26.2% x 257,627 = 67,434 lb/yr</t>
  </si>
  <si>
    <t>% Reduction = 1 - Background + Allocated Load / Average Annual TN Load; Example Cape Coral  1 - 252,768 / 360,239 = 29.8%</t>
  </si>
  <si>
    <t>Caloosahatchee Estuary NonPoint Source Loads (September 22, 2010)</t>
  </si>
  <si>
    <t>Water and wetland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</si>
</sst>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"/>
    <numFmt numFmtId="167" formatCode="#,##0.0_);[Red]\(#,##0.0\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0" fillId="0" borderId="13" xfId="0" applyBorder="1"/>
    <xf numFmtId="0" fontId="5" fillId="0" borderId="0" xfId="0" applyFont="1"/>
    <xf numFmtId="0" fontId="4" fillId="0" borderId="8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167" fontId="0" fillId="0" borderId="0" xfId="0" applyNumberFormat="1" applyFont="1" applyBorder="1"/>
    <xf numFmtId="38" fontId="0" fillId="0" borderId="18" xfId="0" applyNumberFormat="1" applyFont="1" applyBorder="1"/>
    <xf numFmtId="38" fontId="0" fillId="0" borderId="0" xfId="0" applyNumberFormat="1" applyFont="1" applyBorder="1"/>
    <xf numFmtId="167" fontId="0" fillId="0" borderId="13" xfId="0" applyNumberFormat="1" applyFont="1" applyBorder="1"/>
    <xf numFmtId="38" fontId="0" fillId="0" borderId="19" xfId="0" applyNumberFormat="1" applyFont="1" applyBorder="1"/>
    <xf numFmtId="38" fontId="0" fillId="0" borderId="13" xfId="0" applyNumberFormat="1" applyFont="1" applyBorder="1"/>
    <xf numFmtId="38" fontId="0" fillId="0" borderId="10" xfId="0" applyNumberFormat="1" applyFont="1" applyBorder="1"/>
    <xf numFmtId="164" fontId="1" fillId="0" borderId="20" xfId="1" applyNumberFormat="1" applyFont="1" applyBorder="1" applyAlignment="1"/>
    <xf numFmtId="164" fontId="1" fillId="0" borderId="10" xfId="1" applyNumberFormat="1" applyFont="1" applyBorder="1" applyAlignment="1"/>
    <xf numFmtId="164" fontId="1" fillId="0" borderId="15" xfId="1" applyNumberFormat="1" applyFont="1" applyBorder="1" applyAlignment="1"/>
    <xf numFmtId="0" fontId="2" fillId="0" borderId="0" xfId="0" applyFont="1"/>
    <xf numFmtId="3" fontId="2" fillId="0" borderId="0" xfId="0" applyNumberFormat="1" applyFont="1"/>
    <xf numFmtId="0" fontId="0" fillId="0" borderId="0" xfId="0" applyFont="1"/>
    <xf numFmtId="165" fontId="2" fillId="0" borderId="25" xfId="1" applyNumberFormat="1" applyFont="1" applyBorder="1" applyAlignment="1">
      <alignment horizontal="right"/>
    </xf>
    <xf numFmtId="164" fontId="2" fillId="0" borderId="2" xfId="1" applyNumberFormat="1" applyFont="1" applyBorder="1" applyAlignment="1"/>
    <xf numFmtId="3" fontId="2" fillId="0" borderId="6" xfId="1" applyNumberFormat="1" applyFont="1" applyBorder="1" applyAlignment="1"/>
    <xf numFmtId="165" fontId="2" fillId="0" borderId="4" xfId="2" applyNumberFormat="1" applyFont="1" applyFill="1" applyBorder="1" applyAlignment="1">
      <alignment horizontal="right" vertical="center"/>
    </xf>
    <xf numFmtId="3" fontId="2" fillId="0" borderId="6" xfId="2" applyNumberFormat="1" applyFont="1" applyFill="1" applyBorder="1" applyAlignment="1">
      <alignment horizontal="right" vertical="center"/>
    </xf>
    <xf numFmtId="3" fontId="2" fillId="0" borderId="26" xfId="1" applyNumberFormat="1" applyFont="1" applyBorder="1" applyAlignment="1"/>
    <xf numFmtId="3" fontId="2" fillId="0" borderId="2" xfId="1" applyNumberFormat="1" applyFont="1" applyBorder="1" applyAlignment="1">
      <alignment horizontal="right"/>
    </xf>
    <xf numFmtId="3" fontId="2" fillId="0" borderId="5" xfId="1" applyNumberFormat="1" applyFont="1" applyBorder="1" applyAlignment="1"/>
    <xf numFmtId="166" fontId="2" fillId="0" borderId="6" xfId="1" applyNumberFormat="1" applyFont="1" applyBorder="1" applyAlignment="1"/>
    <xf numFmtId="43" fontId="2" fillId="0" borderId="2" xfId="1" applyNumberFormat="1" applyFont="1" applyBorder="1" applyAlignment="1"/>
    <xf numFmtId="165" fontId="2" fillId="0" borderId="25" xfId="1" applyNumberFormat="1" applyFont="1" applyBorder="1" applyAlignment="1">
      <alignment horizontal="center"/>
    </xf>
    <xf numFmtId="3" fontId="2" fillId="0" borderId="23" xfId="1" applyNumberFormat="1" applyFont="1" applyBorder="1" applyAlignment="1">
      <alignment horizontal="right" vertical="center"/>
    </xf>
    <xf numFmtId="3" fontId="2" fillId="0" borderId="23" xfId="1" applyNumberFormat="1" applyFont="1" applyBorder="1" applyAlignment="1">
      <alignment vertical="center"/>
    </xf>
    <xf numFmtId="3" fontId="2" fillId="0" borderId="24" xfId="1" applyNumberFormat="1" applyFont="1" applyBorder="1" applyAlignment="1"/>
    <xf numFmtId="165" fontId="2" fillId="0" borderId="11" xfId="2" applyNumberFormat="1" applyFont="1" applyBorder="1" applyAlignment="1">
      <alignment horizontal="right" vertical="center"/>
    </xf>
    <xf numFmtId="3" fontId="2" fillId="0" borderId="24" xfId="2" applyNumberFormat="1" applyFont="1" applyBorder="1" applyAlignment="1">
      <alignment horizontal="right" vertical="center"/>
    </xf>
    <xf numFmtId="165" fontId="7" fillId="0" borderId="4" xfId="2" applyNumberFormat="1" applyFont="1" applyFill="1" applyBorder="1" applyAlignment="1">
      <alignment horizontal="right" vertical="center"/>
    </xf>
    <xf numFmtId="165" fontId="2" fillId="0" borderId="6" xfId="1" applyNumberFormat="1" applyFont="1" applyBorder="1" applyAlignment="1"/>
    <xf numFmtId="165" fontId="2" fillId="0" borderId="10" xfId="1" applyNumberFormat="1" applyFont="1" applyBorder="1" applyAlignment="1"/>
    <xf numFmtId="3" fontId="2" fillId="0" borderId="24" xfId="1" applyNumberFormat="1" applyFont="1" applyBorder="1" applyAlignment="1">
      <alignment vertical="center"/>
    </xf>
    <xf numFmtId="0" fontId="3" fillId="0" borderId="0" xfId="0" applyFont="1"/>
    <xf numFmtId="165" fontId="2" fillId="0" borderId="31" xfId="2" applyNumberFormat="1" applyFont="1" applyFill="1" applyBorder="1" applyAlignment="1">
      <alignment horizontal="right" vertical="center"/>
    </xf>
    <xf numFmtId="165" fontId="2" fillId="0" borderId="11" xfId="2" applyNumberFormat="1" applyFont="1" applyFill="1" applyBorder="1" applyAlignment="1">
      <alignment horizontal="right" vertical="center"/>
    </xf>
    <xf numFmtId="166" fontId="2" fillId="0" borderId="10" xfId="1" applyNumberFormat="1" applyFont="1" applyBorder="1" applyAlignment="1"/>
    <xf numFmtId="0" fontId="3" fillId="2" borderId="28" xfId="1" applyNumberFormat="1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3" fillId="2" borderId="33" xfId="1" applyNumberFormat="1" applyFont="1" applyFill="1" applyBorder="1" applyAlignment="1">
      <alignment horizontal="center" vertical="center" wrapText="1"/>
    </xf>
    <xf numFmtId="3" fontId="2" fillId="0" borderId="38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0" borderId="39" xfId="1" applyNumberFormat="1" applyFont="1" applyBorder="1" applyAlignment="1">
      <alignment horizontal="right"/>
    </xf>
    <xf numFmtId="3" fontId="2" fillId="0" borderId="40" xfId="1" applyNumberFormat="1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3" fontId="2" fillId="0" borderId="14" xfId="1" applyNumberFormat="1" applyFont="1" applyBorder="1" applyAlignment="1"/>
    <xf numFmtId="3" fontId="2" fillId="0" borderId="9" xfId="1" applyNumberFormat="1" applyFont="1" applyBorder="1" applyAlignment="1"/>
    <xf numFmtId="3" fontId="2" fillId="0" borderId="22" xfId="1" applyNumberFormat="1" applyFont="1" applyBorder="1" applyAlignment="1">
      <alignment vertical="center"/>
    </xf>
    <xf numFmtId="0" fontId="3" fillId="0" borderId="41" xfId="0" applyFont="1" applyBorder="1"/>
    <xf numFmtId="0" fontId="3" fillId="0" borderId="0" xfId="0" applyFont="1" applyBorder="1"/>
    <xf numFmtId="0" fontId="3" fillId="0" borderId="42" xfId="0" applyFont="1" applyBorder="1"/>
    <xf numFmtId="0" fontId="3" fillId="0" borderId="27" xfId="0" applyFont="1" applyBorder="1"/>
    <xf numFmtId="0" fontId="3" fillId="0" borderId="12" xfId="0" applyFont="1" applyBorder="1"/>
    <xf numFmtId="0" fontId="3" fillId="0" borderId="30" xfId="0" applyFont="1" applyBorder="1"/>
    <xf numFmtId="0" fontId="8" fillId="2" borderId="37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2" borderId="37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9" xfId="0" applyFont="1" applyBorder="1"/>
    <xf numFmtId="0" fontId="2" fillId="0" borderId="21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5" fontId="7" fillId="0" borderId="43" xfId="2" applyNumberFormat="1" applyFont="1" applyFill="1" applyBorder="1" applyAlignment="1">
      <alignment horizontal="right" vertical="center"/>
    </xf>
    <xf numFmtId="3" fontId="2" fillId="0" borderId="44" xfId="1" applyNumberFormat="1" applyFont="1" applyBorder="1" applyAlignment="1"/>
    <xf numFmtId="166" fontId="2" fillId="0" borderId="45" xfId="1" applyNumberFormat="1" applyFont="1" applyBorder="1" applyAlignment="1"/>
    <xf numFmtId="165" fontId="2" fillId="0" borderId="45" xfId="1" applyNumberFormat="1" applyFont="1" applyBorder="1" applyAlignment="1"/>
    <xf numFmtId="3" fontId="2" fillId="0" borderId="46" xfId="1" applyNumberFormat="1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7"/>
  <sheetViews>
    <sheetView tabSelected="1" zoomScale="75" zoomScaleNormal="75" workbookViewId="0">
      <selection activeCell="Q18" sqref="Q18"/>
    </sheetView>
  </sheetViews>
  <sheetFormatPr defaultRowHeight="15"/>
  <cols>
    <col min="1" max="1" width="7.140625" style="19" customWidth="1"/>
    <col min="2" max="2" width="22.28515625" style="19" customWidth="1"/>
    <col min="3" max="3" width="12.85546875" style="19" customWidth="1"/>
    <col min="4" max="4" width="12" style="19" customWidth="1"/>
    <col min="5" max="5" width="15.85546875" style="19" customWidth="1"/>
    <col min="6" max="6" width="19.5703125" style="19" customWidth="1"/>
    <col min="7" max="7" width="14.5703125" style="19" customWidth="1"/>
    <col min="8" max="8" width="13" style="19" customWidth="1"/>
    <col min="9" max="9" width="15" style="19" hidden="1" customWidth="1"/>
    <col min="10" max="10" width="14.7109375" style="19" customWidth="1"/>
    <col min="11" max="11" width="14.7109375" style="19" hidden="1" customWidth="1"/>
    <col min="12" max="12" width="10.85546875" style="19" hidden="1" customWidth="1"/>
    <col min="13" max="13" width="14.85546875" style="19" customWidth="1"/>
    <col min="14" max="14" width="11.7109375" style="19" customWidth="1"/>
    <col min="15" max="15" width="23.28515625" style="19" customWidth="1"/>
    <col min="16" max="16" width="17" style="19" customWidth="1"/>
    <col min="17" max="17" width="14" style="19" customWidth="1"/>
    <col min="18" max="18" width="12.7109375" style="19" customWidth="1"/>
    <col min="19" max="20" width="15.28515625" style="19" customWidth="1"/>
    <col min="21" max="21" width="14.7109375" style="19" customWidth="1"/>
    <col min="22" max="16384" width="9.140625" style="19"/>
  </cols>
  <sheetData>
    <row r="1" spans="1:21" ht="21.75" thickBot="1">
      <c r="A1" s="81" t="s">
        <v>52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ht="21">
      <c r="A2" s="72" t="s">
        <v>0</v>
      </c>
      <c r="B2" s="72"/>
      <c r="C2" s="69" t="s">
        <v>44</v>
      </c>
      <c r="D2" s="70"/>
      <c r="E2" s="70"/>
      <c r="F2" s="70"/>
      <c r="G2" s="70"/>
      <c r="H2" s="70"/>
      <c r="I2" s="49"/>
      <c r="J2" s="69" t="s">
        <v>43</v>
      </c>
      <c r="K2" s="70"/>
      <c r="L2" s="70"/>
      <c r="M2" s="70"/>
      <c r="N2" s="71"/>
      <c r="O2" s="69" t="s">
        <v>45</v>
      </c>
      <c r="P2" s="70"/>
      <c r="Q2" s="71"/>
    </row>
    <row r="3" spans="1:21" ht="94.5" customHeight="1" thickBot="1">
      <c r="A3" s="73"/>
      <c r="B3" s="73"/>
      <c r="C3" s="50" t="s">
        <v>8</v>
      </c>
      <c r="D3" s="44" t="s">
        <v>26</v>
      </c>
      <c r="E3" s="45" t="s">
        <v>7</v>
      </c>
      <c r="F3" s="46" t="s">
        <v>6</v>
      </c>
      <c r="G3" s="46" t="s">
        <v>28</v>
      </c>
      <c r="H3" s="47" t="s">
        <v>25</v>
      </c>
      <c r="I3" s="46" t="s">
        <v>29</v>
      </c>
      <c r="J3" s="48" t="s">
        <v>27</v>
      </c>
      <c r="K3" s="46" t="s">
        <v>37</v>
      </c>
      <c r="L3" s="46" t="s">
        <v>35</v>
      </c>
      <c r="M3" s="46" t="s">
        <v>40</v>
      </c>
      <c r="N3" s="47" t="s">
        <v>33</v>
      </c>
      <c r="O3" s="55" t="s">
        <v>34</v>
      </c>
      <c r="P3" s="46" t="s">
        <v>36</v>
      </c>
      <c r="Q3" s="47" t="s">
        <v>24</v>
      </c>
    </row>
    <row r="4" spans="1:21" ht="21">
      <c r="A4" s="82" t="s">
        <v>1</v>
      </c>
      <c r="B4" s="83"/>
      <c r="C4" s="51">
        <f>27184.5272929909+'Water &amp; Wetland'!J5</f>
        <v>36621.436363277251</v>
      </c>
      <c r="D4" s="20">
        <f>10145/C4</f>
        <v>0.27702354160453047</v>
      </c>
      <c r="E4" s="21">
        <f>474.73024328634+'Water &amp; Wetland'!K5</f>
        <v>540.35885157058317</v>
      </c>
      <c r="F4" s="22">
        <f t="shared" ref="F4:F12" si="0">E4*2000</f>
        <v>1080717.7031411664</v>
      </c>
      <c r="G4" s="22">
        <f t="shared" ref="G4:G12" si="1">F4/3</f>
        <v>360239.23438038881</v>
      </c>
      <c r="H4" s="23">
        <f t="shared" ref="H4:H11" si="2">G4/$G$12</f>
        <v>0.20179743598895802</v>
      </c>
      <c r="I4" s="24">
        <v>278</v>
      </c>
      <c r="J4" s="25">
        <f>I4*2000/3</f>
        <v>185333.33333333334</v>
      </c>
      <c r="K4" s="28">
        <f t="shared" ref="K4:K12" si="3">J4/C4</f>
        <v>5.0607882087109886</v>
      </c>
      <c r="L4" s="37">
        <f t="shared" ref="L4:L10" si="4">J4/G4</f>
        <v>0.51447292700392988</v>
      </c>
      <c r="M4" s="22">
        <f t="shared" ref="M4:M11" si="5">G4-J4</f>
        <v>174905.90104705546</v>
      </c>
      <c r="N4" s="36">
        <f t="shared" ref="N4:N11" si="6">M4/$M$12</f>
        <v>0.26175223198538111</v>
      </c>
      <c r="O4" s="56">
        <f t="shared" ref="O4:O11" si="7">N4*$O$15</f>
        <v>67434.442269697785</v>
      </c>
      <c r="P4" s="22">
        <f t="shared" ref="P4:P11" si="8">O4+J4</f>
        <v>252767.77560303113</v>
      </c>
      <c r="Q4" s="23">
        <f t="shared" ref="Q4:Q12" si="9">1-P4/G4</f>
        <v>0.29833357535918736</v>
      </c>
    </row>
    <row r="5" spans="1:21" ht="21">
      <c r="A5" s="76" t="s">
        <v>2</v>
      </c>
      <c r="B5" s="77"/>
      <c r="C5" s="52">
        <f>10497.019289+'Water &amp; Wetland'!J6</f>
        <v>11802.019289</v>
      </c>
      <c r="D5" s="20">
        <f>2003/C5</f>
        <v>0.16971671973684063</v>
      </c>
      <c r="E5" s="21">
        <f>245.053736522375+'Water &amp; Wetland'!K6</f>
        <v>253.2078912655416</v>
      </c>
      <c r="F5" s="27">
        <f t="shared" si="0"/>
        <v>506415.78253108321</v>
      </c>
      <c r="G5" s="27">
        <f t="shared" si="1"/>
        <v>168805.26084369441</v>
      </c>
      <c r="H5" s="23">
        <f t="shared" si="2"/>
        <v>9.4560685146623871E-2</v>
      </c>
      <c r="I5" s="24">
        <v>153</v>
      </c>
      <c r="J5" s="25">
        <f t="shared" ref="J5:J11" si="10">I5*2000/3</f>
        <v>102000</v>
      </c>
      <c r="K5" s="28">
        <f t="shared" si="3"/>
        <v>8.6425888233438553</v>
      </c>
      <c r="L5" s="37">
        <f t="shared" si="4"/>
        <v>0.60424657081302169</v>
      </c>
      <c r="M5" s="27">
        <f t="shared" si="5"/>
        <v>66805.260843694414</v>
      </c>
      <c r="N5" s="36">
        <f t="shared" si="6"/>
        <v>9.997619308166264E-2</v>
      </c>
      <c r="O5" s="56">
        <f t="shared" si="7"/>
        <v>25756.5666950495</v>
      </c>
      <c r="P5" s="22">
        <f t="shared" si="8"/>
        <v>127756.56669504949</v>
      </c>
      <c r="Q5" s="23">
        <f t="shared" si="9"/>
        <v>0.24317188897716902</v>
      </c>
    </row>
    <row r="6" spans="1:21" ht="21">
      <c r="A6" s="76" t="s">
        <v>30</v>
      </c>
      <c r="B6" s="77"/>
      <c r="C6" s="52">
        <f>30156.4009870847+'Water &amp; Wetland'!J7</f>
        <v>32984.084827084698</v>
      </c>
      <c r="D6" s="20">
        <f>9037/C6</f>
        <v>0.27398061966476989</v>
      </c>
      <c r="E6" s="21">
        <f>197.772212285045+'Water &amp; Wetland'!K7</f>
        <v>210.2176038873703</v>
      </c>
      <c r="F6" s="27">
        <f t="shared" si="0"/>
        <v>420435.20777474059</v>
      </c>
      <c r="G6" s="27">
        <f t="shared" si="1"/>
        <v>140145.06925824686</v>
      </c>
      <c r="H6" s="23">
        <f t="shared" si="2"/>
        <v>7.8505928682233383E-2</v>
      </c>
      <c r="I6" s="24">
        <v>160</v>
      </c>
      <c r="J6" s="25">
        <f t="shared" si="10"/>
        <v>106666.66666666667</v>
      </c>
      <c r="K6" s="28">
        <f t="shared" si="3"/>
        <v>3.2338828627762299</v>
      </c>
      <c r="L6" s="37">
        <f t="shared" si="4"/>
        <v>0.7611160865753388</v>
      </c>
      <c r="M6" s="27">
        <f t="shared" si="5"/>
        <v>33478.40259158019</v>
      </c>
      <c r="N6" s="36">
        <f t="shared" si="6"/>
        <v>5.0101491997652688E-2</v>
      </c>
      <c r="O6" s="56">
        <f t="shared" si="7"/>
        <v>12907.497078879269</v>
      </c>
      <c r="P6" s="22">
        <f t="shared" si="8"/>
        <v>119574.16374554594</v>
      </c>
      <c r="Q6" s="23">
        <f t="shared" si="9"/>
        <v>0.14678294157316862</v>
      </c>
    </row>
    <row r="7" spans="1:21" ht="21">
      <c r="A7" s="74" t="s">
        <v>3</v>
      </c>
      <c r="B7" s="75"/>
      <c r="C7" s="52">
        <f>34.357994+'Water &amp; Wetland'!J8</f>
        <v>133.727994</v>
      </c>
      <c r="D7" s="20">
        <v>0</v>
      </c>
      <c r="E7" s="29">
        <f>0.447309825611228+'Water &amp; Wetland'!K8</f>
        <v>1.3065717524170388</v>
      </c>
      <c r="F7" s="27">
        <f t="shared" si="0"/>
        <v>2613.1435048340777</v>
      </c>
      <c r="G7" s="27">
        <f t="shared" si="1"/>
        <v>871.04783494469257</v>
      </c>
      <c r="H7" s="23">
        <f t="shared" si="2"/>
        <v>4.8794024342713616E-4</v>
      </c>
      <c r="I7" s="24">
        <v>0.93</v>
      </c>
      <c r="J7" s="25">
        <f t="shared" si="10"/>
        <v>620</v>
      </c>
      <c r="K7" s="28">
        <f t="shared" si="3"/>
        <v>4.6362768292179721</v>
      </c>
      <c r="L7" s="37">
        <f t="shared" si="4"/>
        <v>0.71178639694267432</v>
      </c>
      <c r="M7" s="27">
        <f t="shared" si="5"/>
        <v>251.04783494469257</v>
      </c>
      <c r="N7" s="36">
        <f t="shared" si="6"/>
        <v>3.7570105261452584E-4</v>
      </c>
      <c r="O7" s="56">
        <f t="shared" si="7"/>
        <v>96.790735081922449</v>
      </c>
      <c r="P7" s="22">
        <f t="shared" si="8"/>
        <v>716.79073508192243</v>
      </c>
      <c r="Q7" s="23">
        <f t="shared" si="9"/>
        <v>0.17709371824862497</v>
      </c>
    </row>
    <row r="8" spans="1:21" ht="21" customHeight="1">
      <c r="A8" s="74" t="s">
        <v>31</v>
      </c>
      <c r="B8" s="75"/>
      <c r="C8" s="52">
        <f>50130.8702121949+'Water &amp; Wetland'!J9</f>
        <v>64304.100846855159</v>
      </c>
      <c r="D8" s="20">
        <f>5760/C8</f>
        <v>8.9574380547173094E-2</v>
      </c>
      <c r="E8" s="21">
        <f>749.682816140109+'Water &amp; Wetland'!K9</f>
        <v>834.64361692164027</v>
      </c>
      <c r="F8" s="27">
        <f t="shared" si="0"/>
        <v>1669287.2338432805</v>
      </c>
      <c r="G8" s="27">
        <f t="shared" si="1"/>
        <v>556429.07794776012</v>
      </c>
      <c r="H8" s="23">
        <f t="shared" si="2"/>
        <v>0.31169831190844555</v>
      </c>
      <c r="I8" s="24">
        <v>459</v>
      </c>
      <c r="J8" s="25">
        <f t="shared" si="10"/>
        <v>306000</v>
      </c>
      <c r="K8" s="28">
        <f t="shared" si="3"/>
        <v>4.7586389665685713</v>
      </c>
      <c r="L8" s="37">
        <f t="shared" si="4"/>
        <v>0.54993531453927458</v>
      </c>
      <c r="M8" s="27">
        <f t="shared" si="5"/>
        <v>250429.07794776012</v>
      </c>
      <c r="N8" s="36">
        <f t="shared" si="6"/>
        <v>0.37477506313084302</v>
      </c>
      <c r="O8" s="56">
        <f t="shared" si="7"/>
        <v>96552.175189209695</v>
      </c>
      <c r="P8" s="22">
        <f t="shared" si="8"/>
        <v>402552.17518920969</v>
      </c>
      <c r="Q8" s="23">
        <f t="shared" si="9"/>
        <v>0.27654360430997649</v>
      </c>
    </row>
    <row r="9" spans="1:21" ht="21">
      <c r="A9" s="76" t="s">
        <v>38</v>
      </c>
      <c r="B9" s="77"/>
      <c r="C9" s="52">
        <f>43914.1690330494+'Water &amp; Wetland'!J10</f>
        <v>72097.169033049402</v>
      </c>
      <c r="D9" s="20">
        <f>54/C9</f>
        <v>7.4898918673556173E-4</v>
      </c>
      <c r="E9" s="21">
        <f>182.338066283275+'Water &amp; Wetland'!K10</f>
        <v>308.92788598674315</v>
      </c>
      <c r="F9" s="27">
        <f t="shared" si="0"/>
        <v>617855.77197348629</v>
      </c>
      <c r="G9" s="27">
        <f t="shared" si="1"/>
        <v>205951.9239911621</v>
      </c>
      <c r="H9" s="23">
        <f t="shared" si="2"/>
        <v>0.11536936078018661</v>
      </c>
      <c r="I9" s="24">
        <v>348</v>
      </c>
      <c r="J9" s="25">
        <f>0.95*G9</f>
        <v>195654.32779160398</v>
      </c>
      <c r="K9" s="28">
        <f t="shared" si="3"/>
        <v>2.7137588121097496</v>
      </c>
      <c r="L9" s="37">
        <f t="shared" si="4"/>
        <v>0.95</v>
      </c>
      <c r="M9" s="27">
        <f t="shared" si="5"/>
        <v>10297.596199558116</v>
      </c>
      <c r="N9" s="36">
        <f t="shared" si="6"/>
        <v>1.541067953215231E-2</v>
      </c>
      <c r="O9" s="56">
        <f t="shared" si="7"/>
        <v>3970.2071358298031</v>
      </c>
      <c r="P9" s="22">
        <f t="shared" si="8"/>
        <v>199624.53492743379</v>
      </c>
      <c r="Q9" s="23">
        <f t="shared" si="9"/>
        <v>3.0722650903712068E-2</v>
      </c>
    </row>
    <row r="10" spans="1:21" ht="21">
      <c r="A10" s="74" t="s">
        <v>41</v>
      </c>
      <c r="B10" s="75"/>
      <c r="C10" s="53">
        <v>2255.9463119999991</v>
      </c>
      <c r="D10" s="30"/>
      <c r="E10" s="21">
        <v>42.952873166495422</v>
      </c>
      <c r="F10" s="27">
        <f t="shared" si="0"/>
        <v>85905.74633299085</v>
      </c>
      <c r="G10" s="27">
        <f t="shared" si="1"/>
        <v>28635.248777663615</v>
      </c>
      <c r="H10" s="23">
        <f t="shared" si="2"/>
        <v>1.6040784097760788E-2</v>
      </c>
      <c r="I10" s="24">
        <v>17</v>
      </c>
      <c r="J10" s="25">
        <f t="shared" si="10"/>
        <v>11333.333333333334</v>
      </c>
      <c r="K10" s="28">
        <f t="shared" si="3"/>
        <v>5.0237602167428435</v>
      </c>
      <c r="L10" s="37">
        <f t="shared" si="4"/>
        <v>0.39578260420680145</v>
      </c>
      <c r="M10" s="27">
        <f t="shared" si="5"/>
        <v>17301.915444330283</v>
      </c>
      <c r="N10" s="36">
        <f t="shared" si="6"/>
        <v>2.5892865581232664E-2</v>
      </c>
      <c r="O10" s="56">
        <f t="shared" si="7"/>
        <v>6670.7012810962278</v>
      </c>
      <c r="P10" s="22">
        <f t="shared" si="8"/>
        <v>18004.034614429562</v>
      </c>
      <c r="Q10" s="23">
        <f t="shared" si="9"/>
        <v>0.37126320241808874</v>
      </c>
    </row>
    <row r="11" spans="1:21" ht="21.75" thickBot="1">
      <c r="A11" s="74" t="s">
        <v>5</v>
      </c>
      <c r="B11" s="78">
        <v>0</v>
      </c>
      <c r="C11" s="52">
        <v>39048.262362673071</v>
      </c>
      <c r="D11" s="26"/>
      <c r="E11" s="21">
        <v>486.11373070872992</v>
      </c>
      <c r="F11" s="27">
        <f t="shared" si="0"/>
        <v>972227.46141745988</v>
      </c>
      <c r="G11" s="27">
        <f t="shared" si="1"/>
        <v>324075.82047248661</v>
      </c>
      <c r="H11" s="23">
        <f t="shared" si="2"/>
        <v>0.18153955315236445</v>
      </c>
      <c r="I11" s="24">
        <v>314</v>
      </c>
      <c r="J11" s="25">
        <f t="shared" si="10"/>
        <v>209333.33333333334</v>
      </c>
      <c r="K11" s="43">
        <f t="shared" si="3"/>
        <v>5.3608872883787733</v>
      </c>
      <c r="L11" s="38"/>
      <c r="M11" s="27">
        <f t="shared" si="5"/>
        <v>114742.48713915327</v>
      </c>
      <c r="N11" s="36">
        <f t="shared" si="6"/>
        <v>0.17171577363846111</v>
      </c>
      <c r="O11" s="57">
        <f t="shared" si="7"/>
        <v>44238.619615155818</v>
      </c>
      <c r="P11" s="22">
        <f t="shared" si="8"/>
        <v>253571.95294848917</v>
      </c>
      <c r="Q11" s="41">
        <f t="shared" si="9"/>
        <v>0.21755361884514024</v>
      </c>
    </row>
    <row r="12" spans="1:21" ht="24.75" customHeight="1" thickTop="1" thickBot="1">
      <c r="A12" s="79" t="s">
        <v>32</v>
      </c>
      <c r="B12" s="80"/>
      <c r="C12" s="54">
        <f>SUM(C4:C11)</f>
        <v>259246.74702793956</v>
      </c>
      <c r="D12" s="31"/>
      <c r="E12" s="32">
        <f>SUM(E4:E11)</f>
        <v>2677.7290252595212</v>
      </c>
      <c r="F12" s="33">
        <f t="shared" si="0"/>
        <v>5355458.0505190426</v>
      </c>
      <c r="G12" s="33">
        <f t="shared" si="1"/>
        <v>1785152.6835063475</v>
      </c>
      <c r="H12" s="34">
        <v>1</v>
      </c>
      <c r="I12" s="35">
        <f>SUM(I4:I11)</f>
        <v>1729.9299999999998</v>
      </c>
      <c r="J12" s="88">
        <f>SUM(J4:J11)</f>
        <v>1116940.9944582707</v>
      </c>
      <c r="K12" s="89">
        <f t="shared" si="3"/>
        <v>4.3084089087447479</v>
      </c>
      <c r="L12" s="90">
        <f>J12/G12</f>
        <v>0.62568373270145505</v>
      </c>
      <c r="M12" s="91">
        <f>SUM(M4:M11)</f>
        <v>668211.68904807651</v>
      </c>
      <c r="N12" s="87">
        <f>M12/$M$12</f>
        <v>1</v>
      </c>
      <c r="O12" s="58">
        <f>SUM(O4:O11)</f>
        <v>257627.00000000003</v>
      </c>
      <c r="P12" s="39">
        <f>SUM(P4:P11)</f>
        <v>1374567.9944582707</v>
      </c>
      <c r="Q12" s="42">
        <f t="shared" si="9"/>
        <v>0.22999976015587509</v>
      </c>
    </row>
    <row r="13" spans="1:21" ht="7.5" customHeight="1"/>
    <row r="14" spans="1:21" ht="21">
      <c r="A14" s="40" t="s">
        <v>23</v>
      </c>
      <c r="B14" s="40" t="s">
        <v>39</v>
      </c>
      <c r="N14" s="17"/>
      <c r="O14" s="18"/>
    </row>
    <row r="15" spans="1:21" ht="21.75" thickBot="1">
      <c r="B15" s="40"/>
      <c r="G15" s="68" t="s">
        <v>42</v>
      </c>
      <c r="H15" s="68"/>
      <c r="I15" s="68"/>
      <c r="J15" s="68"/>
      <c r="K15" s="68"/>
      <c r="L15" s="68"/>
      <c r="M15" s="68"/>
      <c r="N15" s="68"/>
      <c r="O15" s="18">
        <v>257627</v>
      </c>
    </row>
    <row r="16" spans="1:21" s="40" customFormat="1" ht="21">
      <c r="B16" s="65" t="s">
        <v>46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2:18" s="40" customFormat="1" ht="18.75">
      <c r="B17" s="59" t="s">
        <v>47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1"/>
      <c r="R17" s="61"/>
    </row>
    <row r="18" spans="2:18" s="40" customFormat="1" ht="18.75">
      <c r="B18" s="59" t="s">
        <v>48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1"/>
    </row>
    <row r="19" spans="2:18" s="40" customFormat="1" ht="18.75">
      <c r="B19" s="59" t="s">
        <v>50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</row>
    <row r="20" spans="2:18" s="40" customFormat="1" ht="18.75">
      <c r="B20" s="59" t="s">
        <v>49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1"/>
    </row>
    <row r="21" spans="2:18" s="40" customFormat="1" ht="19.5" thickBot="1">
      <c r="B21" s="62" t="s">
        <v>51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4"/>
    </row>
    <row r="22" spans="2:18" s="40" customFormat="1" ht="18.75"/>
    <row r="23" spans="2:18" s="40" customFormat="1" ht="18.75"/>
    <row r="24" spans="2:18" s="40" customFormat="1" ht="18.75"/>
    <row r="25" spans="2:18" s="40" customFormat="1" ht="18.75"/>
    <row r="26" spans="2:18" s="40" customFormat="1" ht="18.75"/>
    <row r="27" spans="2:18" s="40" customFormat="1" ht="18.75"/>
  </sheetData>
  <mergeCells count="16">
    <mergeCell ref="A1:U1"/>
    <mergeCell ref="A4:B4"/>
    <mergeCell ref="A5:B5"/>
    <mergeCell ref="A6:B6"/>
    <mergeCell ref="A8:B8"/>
    <mergeCell ref="O2:Q2"/>
    <mergeCell ref="B16:O16"/>
    <mergeCell ref="G15:N15"/>
    <mergeCell ref="J2:N2"/>
    <mergeCell ref="A2:B3"/>
    <mergeCell ref="C2:H2"/>
    <mergeCell ref="A7:B7"/>
    <mergeCell ref="A9:B9"/>
    <mergeCell ref="A10:B10"/>
    <mergeCell ref="A11:B11"/>
    <mergeCell ref="A12:B12"/>
  </mergeCells>
  <printOptions horizontalCentered="1"/>
  <pageMargins left="0.75" right="0.75" top="1" bottom="0.75" header="0.75" footer="0.3"/>
  <pageSetup scale="60" orientation="landscape" r:id="rId1"/>
  <ignoredErrors>
    <ignoredError sqref="N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P4" sqref="P4"/>
    </sheetView>
  </sheetViews>
  <sheetFormatPr defaultRowHeight="15"/>
  <cols>
    <col min="1" max="1" width="20.42578125" customWidth="1"/>
    <col min="2" max="2" width="12.28515625" customWidth="1"/>
    <col min="5" max="5" width="11.140625" customWidth="1"/>
  </cols>
  <sheetData>
    <row r="1" spans="1:13" ht="18.75">
      <c r="A1" s="4" t="s">
        <v>21</v>
      </c>
    </row>
    <row r="3" spans="1:13">
      <c r="B3" s="84" t="s">
        <v>19</v>
      </c>
      <c r="C3" s="85"/>
      <c r="D3" s="85"/>
      <c r="E3" s="86"/>
      <c r="F3" s="84" t="s">
        <v>20</v>
      </c>
      <c r="G3" s="85"/>
      <c r="H3" s="85"/>
      <c r="I3" s="85"/>
      <c r="J3" s="84" t="s">
        <v>53</v>
      </c>
      <c r="K3" s="85"/>
      <c r="L3" s="85"/>
      <c r="M3" s="85"/>
    </row>
    <row r="4" spans="1:13" s="1" customFormat="1" ht="45" customHeight="1" thickBot="1">
      <c r="A4" s="2" t="s">
        <v>9</v>
      </c>
      <c r="B4" s="5" t="s">
        <v>12</v>
      </c>
      <c r="C4" s="2" t="s">
        <v>11</v>
      </c>
      <c r="D4" s="2" t="s">
        <v>10</v>
      </c>
      <c r="E4" s="6" t="s">
        <v>18</v>
      </c>
      <c r="F4" s="5" t="s">
        <v>22</v>
      </c>
      <c r="G4" s="2" t="s">
        <v>11</v>
      </c>
      <c r="H4" s="2" t="s">
        <v>10</v>
      </c>
      <c r="I4" s="2" t="s">
        <v>18</v>
      </c>
      <c r="J4" s="5" t="s">
        <v>22</v>
      </c>
      <c r="K4" s="2" t="s">
        <v>11</v>
      </c>
      <c r="L4" s="2" t="s">
        <v>10</v>
      </c>
      <c r="M4" s="2" t="s">
        <v>18</v>
      </c>
    </row>
    <row r="5" spans="1:13">
      <c r="A5" t="s">
        <v>13</v>
      </c>
      <c r="B5" s="14">
        <v>5458.8683219213945</v>
      </c>
      <c r="C5" s="7">
        <v>38.06174094911534</v>
      </c>
      <c r="D5" s="7">
        <f t="shared" ref="D5:D11" si="0">C5/3</f>
        <v>12.687246983038447</v>
      </c>
      <c r="E5" s="8">
        <f>D5*2000</f>
        <v>25374.493966076894</v>
      </c>
      <c r="F5" s="14">
        <v>3978.0407483649578</v>
      </c>
      <c r="G5" s="7">
        <v>27.566867335127785</v>
      </c>
      <c r="H5" s="7">
        <f t="shared" ref="H5:H11" si="1">G5/3</f>
        <v>9.188955778375929</v>
      </c>
      <c r="I5" s="9">
        <f>H5*2000</f>
        <v>18377.911556751857</v>
      </c>
      <c r="J5" s="14">
        <f>B5+F5</f>
        <v>9436.9090702863523</v>
      </c>
      <c r="K5" s="7">
        <f>C5+G5</f>
        <v>65.628608284243128</v>
      </c>
      <c r="L5" s="7">
        <f t="shared" ref="L5:L11" si="2">K5/3</f>
        <v>21.876202761414376</v>
      </c>
      <c r="M5" s="9">
        <f>L5*2000</f>
        <v>43752.405522828754</v>
      </c>
    </row>
    <row r="6" spans="1:13">
      <c r="A6" t="s">
        <v>14</v>
      </c>
      <c r="B6" s="15">
        <v>1068</v>
      </c>
      <c r="C6" s="7">
        <v>5.9371945882211348</v>
      </c>
      <c r="D6" s="7">
        <f t="shared" si="0"/>
        <v>1.9790648627403782</v>
      </c>
      <c r="E6" s="8">
        <f t="shared" ref="E6:E11" si="3">D6*2000</f>
        <v>3958.1297254807564</v>
      </c>
      <c r="F6" s="15">
        <v>237</v>
      </c>
      <c r="G6" s="7">
        <v>2.2169601549454652</v>
      </c>
      <c r="H6" s="7">
        <f t="shared" si="1"/>
        <v>0.73898671831515506</v>
      </c>
      <c r="I6" s="9">
        <f t="shared" ref="I6:I11" si="4">H6*2000</f>
        <v>1477.9734366303101</v>
      </c>
      <c r="J6" s="15">
        <f>B6+F6</f>
        <v>1305</v>
      </c>
      <c r="K6" s="7">
        <f t="shared" ref="K6:K10" si="5">C6+G6</f>
        <v>8.1541547431666004</v>
      </c>
      <c r="L6" s="7">
        <f t="shared" si="2"/>
        <v>2.7180515810555335</v>
      </c>
      <c r="M6" s="9">
        <f t="shared" ref="M6:M11" si="6">L6*2000</f>
        <v>5436.1031621110669</v>
      </c>
    </row>
    <row r="7" spans="1:13">
      <c r="A7" t="s">
        <v>15</v>
      </c>
      <c r="B7" s="15">
        <v>2083</v>
      </c>
      <c r="C7" s="7">
        <v>9.1665799809712247</v>
      </c>
      <c r="D7" s="7">
        <f t="shared" si="0"/>
        <v>3.0555266603237414</v>
      </c>
      <c r="E7" s="8">
        <f t="shared" si="3"/>
        <v>6111.0533206474829</v>
      </c>
      <c r="F7" s="15">
        <v>744.68384000000003</v>
      </c>
      <c r="G7" s="7">
        <v>3.2788116213540865</v>
      </c>
      <c r="H7" s="7">
        <f t="shared" si="1"/>
        <v>1.0929372071180288</v>
      </c>
      <c r="I7" s="9">
        <f t="shared" si="4"/>
        <v>2185.8744142360574</v>
      </c>
      <c r="J7" s="15">
        <f>B7+F7</f>
        <v>2827.6838400000001</v>
      </c>
      <c r="K7" s="7">
        <f t="shared" si="5"/>
        <v>12.445391602325312</v>
      </c>
      <c r="L7" s="7">
        <f t="shared" si="2"/>
        <v>4.1484638674417704</v>
      </c>
      <c r="M7" s="9">
        <f t="shared" si="6"/>
        <v>8296.9277348835403</v>
      </c>
    </row>
    <row r="8" spans="1:13">
      <c r="A8" t="s">
        <v>3</v>
      </c>
      <c r="B8" s="15">
        <v>75.08</v>
      </c>
      <c r="C8" s="7">
        <v>0.6492239656292671</v>
      </c>
      <c r="D8" s="7">
        <f t="shared" si="0"/>
        <v>0.21640798854308904</v>
      </c>
      <c r="E8" s="8">
        <f t="shared" si="3"/>
        <v>432.81597708617807</v>
      </c>
      <c r="F8" s="15">
        <v>24.29</v>
      </c>
      <c r="G8" s="7">
        <v>0.21003796117654364</v>
      </c>
      <c r="H8" s="7">
        <f t="shared" si="1"/>
        <v>7.0012653725514545E-2</v>
      </c>
      <c r="I8" s="9">
        <f t="shared" si="4"/>
        <v>140.02530745102908</v>
      </c>
      <c r="J8" s="15">
        <f>B8+F8</f>
        <v>99.37</v>
      </c>
      <c r="K8" s="7">
        <f t="shared" si="5"/>
        <v>0.85926192680581071</v>
      </c>
      <c r="L8" s="7">
        <f t="shared" si="2"/>
        <v>0.28642064226860359</v>
      </c>
      <c r="M8" s="9">
        <f t="shared" si="6"/>
        <v>572.84128453720723</v>
      </c>
    </row>
    <row r="9" spans="1:13">
      <c r="A9" t="s">
        <v>16</v>
      </c>
      <c r="B9" s="15">
        <v>11404.50311154534</v>
      </c>
      <c r="C9" s="7">
        <v>64.267178255369288</v>
      </c>
      <c r="D9" s="7">
        <f t="shared" si="0"/>
        <v>21.422392751789761</v>
      </c>
      <c r="E9" s="8">
        <f t="shared" si="3"/>
        <v>42844.785503579522</v>
      </c>
      <c r="F9" s="15">
        <v>2768.7275231149197</v>
      </c>
      <c r="G9" s="7">
        <v>20.693622526161963</v>
      </c>
      <c r="H9" s="7">
        <f t="shared" si="1"/>
        <v>6.8978741753873214</v>
      </c>
      <c r="I9" s="9">
        <f t="shared" si="4"/>
        <v>13795.748350774642</v>
      </c>
      <c r="J9" s="15">
        <f>B9+F9</f>
        <v>14173.23063466026</v>
      </c>
      <c r="K9" s="7">
        <f t="shared" si="5"/>
        <v>84.960800781531248</v>
      </c>
      <c r="L9" s="7">
        <f t="shared" si="2"/>
        <v>28.320266927177084</v>
      </c>
      <c r="M9" s="9">
        <f t="shared" si="6"/>
        <v>56640.533854354166</v>
      </c>
    </row>
    <row r="10" spans="1:13" ht="15.75" thickBot="1">
      <c r="A10" s="3" t="s">
        <v>4</v>
      </c>
      <c r="B10" s="16">
        <v>27109</v>
      </c>
      <c r="C10" s="10">
        <v>121.14687636405336</v>
      </c>
      <c r="D10" s="10">
        <f t="shared" si="0"/>
        <v>40.382292121351121</v>
      </c>
      <c r="E10" s="11">
        <f t="shared" si="3"/>
        <v>80764.584242702244</v>
      </c>
      <c r="F10" s="16">
        <v>1074</v>
      </c>
      <c r="G10" s="10">
        <v>5.442943339414775</v>
      </c>
      <c r="H10" s="10">
        <f t="shared" si="1"/>
        <v>1.8143144464715917</v>
      </c>
      <c r="I10" s="12">
        <f t="shared" si="4"/>
        <v>3628.6288929431835</v>
      </c>
      <c r="J10" s="16">
        <f>B10+F10</f>
        <v>28183</v>
      </c>
      <c r="K10" s="10">
        <f t="shared" si="5"/>
        <v>126.58981970346812</v>
      </c>
      <c r="L10" s="10">
        <f t="shared" si="2"/>
        <v>42.196606567822705</v>
      </c>
      <c r="M10" s="12">
        <f t="shared" si="6"/>
        <v>84393.213135645405</v>
      </c>
    </row>
    <row r="11" spans="1:13" ht="15.75" thickTop="1">
      <c r="A11" t="s">
        <v>17</v>
      </c>
      <c r="B11" s="13">
        <f>SUM(B5:B10)</f>
        <v>47198.451433466733</v>
      </c>
      <c r="C11" s="7">
        <f>SUM(C5:C10)</f>
        <v>239.2287941033596</v>
      </c>
      <c r="D11" s="7">
        <f t="shared" si="0"/>
        <v>79.742931367786539</v>
      </c>
      <c r="E11" s="8">
        <f t="shared" si="3"/>
        <v>159485.86273557309</v>
      </c>
      <c r="F11" s="13">
        <f>SUM(F5:F10)</f>
        <v>8826.7421114798781</v>
      </c>
      <c r="G11" s="7">
        <f>SUM(G5:G10)</f>
        <v>59.409242938180618</v>
      </c>
      <c r="H11" s="7">
        <f t="shared" si="1"/>
        <v>19.803080979393538</v>
      </c>
      <c r="I11" s="9">
        <f t="shared" si="4"/>
        <v>39606.161958787074</v>
      </c>
      <c r="J11" s="13">
        <f>SUM(J5:J10)</f>
        <v>56025.193544946611</v>
      </c>
      <c r="K11" s="7">
        <f>SUM(K5:K10)</f>
        <v>298.6380370415402</v>
      </c>
      <c r="L11" s="7">
        <f t="shared" si="2"/>
        <v>99.546012347180067</v>
      </c>
      <c r="M11" s="9">
        <f t="shared" si="6"/>
        <v>199092.02469436012</v>
      </c>
    </row>
  </sheetData>
  <mergeCells count="3">
    <mergeCell ref="B3:E3"/>
    <mergeCell ref="F3:I3"/>
    <mergeCell ref="J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Alternative</vt:lpstr>
      <vt:lpstr>Water &amp; Wetland</vt:lpstr>
      <vt:lpstr>Alternative!Print_Area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</dc:creator>
  <cp:lastModifiedBy>alvi_e</cp:lastModifiedBy>
  <cp:lastPrinted>2010-09-02T14:01:10Z</cp:lastPrinted>
  <dcterms:created xsi:type="dcterms:W3CDTF">2010-06-18T12:33:44Z</dcterms:created>
  <dcterms:modified xsi:type="dcterms:W3CDTF">2010-09-29T20:41:14Z</dcterms:modified>
</cp:coreProperties>
</file>