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35" windowHeight="8445"/>
  </bookViews>
  <sheets>
    <sheet name="Project Credit" sheetId="1" r:id="rId1"/>
    <sheet name="Wet Pond Calcs" sheetId="8" r:id="rId2"/>
    <sheet name="Retention Efficiency Calcs" sheetId="5" r:id="rId3"/>
    <sheet name="1 N Osceola Drive" sheetId="2" r:id="rId4"/>
    <sheet name="2 Datura Drive" sheetId="3" r:id="rId5"/>
    <sheet name="3 Coquina Palms" sheetId="4" r:id="rId6"/>
    <sheet name="5 Inlet Cleaning" sheetId="6" r:id="rId7"/>
    <sheet name="6 Street Sweeping" sheetId="7" r:id="rId8"/>
    <sheet name="7 Gleason Park" sheetId="9" r:id="rId9"/>
    <sheet name="8 Atlantic Ave" sheetId="10" r:id="rId10"/>
  </sheets>
  <calcPr calcId="125725"/>
</workbook>
</file>

<file path=xl/calcChain.xml><?xml version="1.0" encoding="utf-8"?>
<calcChain xmlns="http://schemas.openxmlformats.org/spreadsheetml/2006/main">
  <c r="A13" i="7"/>
  <c r="A9"/>
  <c r="A2"/>
  <c r="J9" i="1"/>
  <c r="H9"/>
  <c r="G9"/>
  <c r="E9"/>
  <c r="D9"/>
  <c r="M6" i="10"/>
  <c r="N6"/>
  <c r="N3"/>
  <c r="N4"/>
  <c r="N5"/>
  <c r="M3"/>
  <c r="M4"/>
  <c r="M5"/>
  <c r="L3"/>
  <c r="L4"/>
  <c r="L5"/>
  <c r="L2"/>
  <c r="M2" s="1"/>
  <c r="I3"/>
  <c r="J3"/>
  <c r="I4"/>
  <c r="J4"/>
  <c r="I5"/>
  <c r="J5"/>
  <c r="J2"/>
  <c r="I2"/>
  <c r="C6"/>
  <c r="J8" i="1"/>
  <c r="H8"/>
  <c r="G8"/>
  <c r="E8"/>
  <c r="D8"/>
  <c r="M36" i="9"/>
  <c r="N36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2"/>
  <c r="M2" s="1"/>
  <c r="I28"/>
  <c r="J28"/>
  <c r="I29"/>
  <c r="J29"/>
  <c r="I30"/>
  <c r="J30"/>
  <c r="I31"/>
  <c r="J31"/>
  <c r="I32"/>
  <c r="J32"/>
  <c r="I33"/>
  <c r="J33"/>
  <c r="I34"/>
  <c r="J34"/>
  <c r="I35"/>
  <c r="J35"/>
  <c r="J27"/>
  <c r="I27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J2"/>
  <c r="I2"/>
  <c r="C36"/>
  <c r="I9" i="1"/>
  <c r="F9"/>
  <c r="I8"/>
  <c r="F8"/>
  <c r="B4" i="8"/>
  <c r="N2" i="10" l="1"/>
  <c r="N2" i="9"/>
  <c r="B3" i="8"/>
  <c r="A10" i="7" l="1"/>
  <c r="G7" i="1" s="1"/>
  <c r="A14" i="7"/>
  <c r="J7" i="1" s="1"/>
  <c r="J6"/>
  <c r="G6"/>
  <c r="A13" i="6"/>
  <c r="A12"/>
  <c r="A8"/>
  <c r="A9" s="1"/>
  <c r="J5" i="1" l="1"/>
  <c r="G5" l="1"/>
  <c r="B7" i="5" l="1"/>
  <c r="I3" i="1" s="1"/>
  <c r="B3" i="5"/>
  <c r="I2" i="1" s="1"/>
  <c r="F3"/>
  <c r="H4"/>
  <c r="J4" s="1"/>
  <c r="E4"/>
  <c r="G4" s="1"/>
  <c r="N16" i="4"/>
  <c r="N3"/>
  <c r="N4"/>
  <c r="N5"/>
  <c r="N6"/>
  <c r="N7"/>
  <c r="N8"/>
  <c r="N9"/>
  <c r="N10"/>
  <c r="N11"/>
  <c r="N12"/>
  <c r="N13"/>
  <c r="N14"/>
  <c r="N15"/>
  <c r="N2"/>
  <c r="M16"/>
  <c r="M3"/>
  <c r="M4"/>
  <c r="M5"/>
  <c r="M6"/>
  <c r="M7"/>
  <c r="M8"/>
  <c r="M9"/>
  <c r="M10"/>
  <c r="M11"/>
  <c r="M12"/>
  <c r="M13"/>
  <c r="M14"/>
  <c r="M15"/>
  <c r="M2"/>
  <c r="L3"/>
  <c r="L4"/>
  <c r="L5"/>
  <c r="L6"/>
  <c r="L7"/>
  <c r="L8"/>
  <c r="L9"/>
  <c r="L10"/>
  <c r="L11"/>
  <c r="L12"/>
  <c r="L13"/>
  <c r="L14"/>
  <c r="L15"/>
  <c r="L2"/>
  <c r="H3" i="1"/>
  <c r="E3"/>
  <c r="M5" i="3"/>
  <c r="N5"/>
  <c r="N3"/>
  <c r="N4"/>
  <c r="N2"/>
  <c r="M3"/>
  <c r="M4"/>
  <c r="M2"/>
  <c r="L3"/>
  <c r="L4"/>
  <c r="L2"/>
  <c r="H2" i="1"/>
  <c r="E2"/>
  <c r="N2" i="2"/>
  <c r="M2"/>
  <c r="L2"/>
  <c r="J11" i="4"/>
  <c r="I11"/>
  <c r="J7"/>
  <c r="I7"/>
  <c r="J6"/>
  <c r="I6"/>
  <c r="J4"/>
  <c r="I4"/>
  <c r="J3"/>
  <c r="I3"/>
  <c r="J2"/>
  <c r="I2"/>
  <c r="J4" i="3"/>
  <c r="I4"/>
  <c r="J2"/>
  <c r="I2"/>
  <c r="J2" i="2"/>
  <c r="I2"/>
  <c r="D2" i="1"/>
  <c r="J5" i="4"/>
  <c r="J8"/>
  <c r="J9"/>
  <c r="J10"/>
  <c r="J12"/>
  <c r="J13"/>
  <c r="J14"/>
  <c r="J15"/>
  <c r="I5"/>
  <c r="I8"/>
  <c r="I9"/>
  <c r="I10"/>
  <c r="I12"/>
  <c r="I13"/>
  <c r="I14"/>
  <c r="I15"/>
  <c r="C16"/>
  <c r="D4" i="1" s="1"/>
  <c r="J3" i="3"/>
  <c r="I3"/>
  <c r="C5"/>
  <c r="D3" i="1" s="1"/>
  <c r="F2" l="1"/>
  <c r="G2" s="1"/>
  <c r="G12" s="1"/>
  <c r="G3"/>
  <c r="J3"/>
  <c r="J2"/>
  <c r="J12" l="1"/>
  <c r="J14" s="1"/>
  <c r="G14"/>
</calcChain>
</file>

<file path=xl/sharedStrings.xml><?xml version="1.0" encoding="utf-8"?>
<sst xmlns="http://schemas.openxmlformats.org/spreadsheetml/2006/main" count="213" uniqueCount="70">
  <si>
    <t>Project Number</t>
  </si>
  <si>
    <t>Project Name</t>
  </si>
  <si>
    <t>N. Osceola Dive.</t>
  </si>
  <si>
    <t>Datura Drive</t>
  </si>
  <si>
    <t>Coquina Palms Subdivision</t>
  </si>
  <si>
    <t>Project Type</t>
  </si>
  <si>
    <t>IHB-1</t>
  </si>
  <si>
    <t>IHB-2</t>
  </si>
  <si>
    <t>IHB-3</t>
  </si>
  <si>
    <t>Exfiltration Trench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</si>
  <si>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</si>
  <si>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</si>
  <si>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</si>
  <si>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</si>
  <si>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</si>
  <si>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</si>
  <si>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</si>
  <si>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LCCODE</t>
  </si>
  <si>
    <t>C</t>
  </si>
  <si>
    <t>TN_MG_L</t>
  </si>
  <si>
    <t>TP_MG_L</t>
  </si>
  <si>
    <t>VOLUME_M3</t>
  </si>
  <si>
    <t>AVG_ANNUAL</t>
  </si>
  <si>
    <t>Acres</t>
  </si>
  <si>
    <t>Entity</t>
  </si>
  <si>
    <t>Indian Harbour Beach</t>
  </si>
  <si>
    <t>EMC TN</t>
  </si>
  <si>
    <t>EMC TP</t>
  </si>
  <si>
    <t>Annual Runoff (m3)</t>
  </si>
  <si>
    <t>TN Load (lbs/yr)</t>
  </si>
  <si>
    <t>TP Load (lbs/yr)</t>
  </si>
  <si>
    <t>GRID_CODE</t>
  </si>
  <si>
    <t>TN (lbs/yr)</t>
  </si>
  <si>
    <t>TP (lbs/yr)</t>
  </si>
  <si>
    <t>Total Credit</t>
  </si>
  <si>
    <t>100% Retention</t>
  </si>
  <si>
    <t>inches retention</t>
  </si>
  <si>
    <t>efficiency</t>
  </si>
  <si>
    <t>15% of Required Reductions</t>
  </si>
  <si>
    <t>Reductions Remaining</t>
  </si>
  <si>
    <t>IHB-4</t>
  </si>
  <si>
    <t>IHB-5</t>
  </si>
  <si>
    <t>IHB-6</t>
  </si>
  <si>
    <t>IHB-7</t>
  </si>
  <si>
    <t>IHB-8</t>
  </si>
  <si>
    <t>Education</t>
  </si>
  <si>
    <t>Inlet Cleaning</t>
  </si>
  <si>
    <t>Street Sweeping</t>
  </si>
  <si>
    <t>Gleason Park Phase 1</t>
  </si>
  <si>
    <t>Wet Detention Pond</t>
  </si>
  <si>
    <t>Atlantic Ave Swale</t>
  </si>
  <si>
    <t>Retention BMP</t>
  </si>
  <si>
    <t>Landscape, irrigation, fertilizer, pet waste; pamplets, illicit discharge program</t>
  </si>
  <si>
    <t>N/A</t>
  </si>
  <si>
    <t>kg/yr dry</t>
  </si>
  <si>
    <t>From FSA study for street sweeping residential areas (median values)</t>
  </si>
  <si>
    <t>TP (mg/kg)</t>
  </si>
  <si>
    <t>TN (mg/kg)</t>
  </si>
  <si>
    <t>TN reduction</t>
  </si>
  <si>
    <t>mg/yr</t>
  </si>
  <si>
    <t>lbs/yr</t>
  </si>
  <si>
    <t>TP reduction</t>
  </si>
  <si>
    <t>From FSA study for inlet cleaning residential areas (median values)</t>
  </si>
  <si>
    <t>kg/yr total</t>
  </si>
  <si>
    <t>residence time</t>
  </si>
  <si>
    <t>days (from permit)</t>
  </si>
  <si>
    <t>TP efficiency</t>
  </si>
  <si>
    <t>%</t>
  </si>
  <si>
    <t>TN efficiency</t>
  </si>
  <si>
    <t>IHB</t>
  </si>
</sst>
</file>

<file path=xl/styles.xml><?xml version="1.0" encoding="utf-8"?>
<styleSheet xmlns="http://schemas.openxmlformats.org/spreadsheetml/2006/main">
  <numFmts count="6">
    <numFmt numFmtId="164" formatCode="0.00000000000"/>
    <numFmt numFmtId="165" formatCode="0.0000000000"/>
    <numFmt numFmtId="166" formatCode="0.000"/>
    <numFmt numFmtId="167" formatCode="0.0"/>
    <numFmt numFmtId="168" formatCode="#,##0.0"/>
    <numFmt numFmtId="169" formatCode="0.0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9" fillId="0" borderId="0"/>
  </cellStyleXfs>
  <cellXfs count="32">
    <xf numFmtId="0" fontId="0" fillId="0" borderId="0" xfId="0"/>
    <xf numFmtId="0" fontId="21" fillId="0" borderId="10" xfId="42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6" fillId="33" borderId="10" xfId="0" applyFont="1" applyFill="1" applyBorder="1" applyAlignment="1">
      <alignment horizontal="center" wrapText="1"/>
    </xf>
    <xf numFmtId="0" fontId="1" fillId="0" borderId="0" xfId="0" applyFont="1"/>
    <xf numFmtId="167" fontId="1" fillId="0" borderId="10" xfId="0" applyNumberFormat="1" applyFont="1" applyBorder="1"/>
    <xf numFmtId="1" fontId="0" fillId="0" borderId="0" xfId="0" applyNumberFormat="1" applyAlignment="1">
      <alignment horizontal="center" wrapText="1"/>
    </xf>
    <xf numFmtId="164" fontId="0" fillId="0" borderId="0" xfId="0" applyNumberFormat="1"/>
    <xf numFmtId="1" fontId="0" fillId="0" borderId="0" xfId="0" applyNumberFormat="1"/>
    <xf numFmtId="166" fontId="0" fillId="0" borderId="0" xfId="0" applyNumberFormat="1"/>
    <xf numFmtId="165" fontId="0" fillId="0" borderId="0" xfId="0" applyNumberFormat="1"/>
    <xf numFmtId="0" fontId="22" fillId="0" borderId="10" xfId="42" applyFont="1" applyFill="1" applyBorder="1" applyAlignment="1">
      <alignment horizontal="center" wrapText="1"/>
    </xf>
    <xf numFmtId="0" fontId="20" fillId="33" borderId="10" xfId="42" applyFont="1" applyFill="1" applyBorder="1" applyAlignment="1">
      <alignment horizontal="center" wrapText="1"/>
    </xf>
    <xf numFmtId="0" fontId="0" fillId="0" borderId="0" xfId="0"/>
    <xf numFmtId="0" fontId="16" fillId="0" borderId="0" xfId="0" applyFont="1"/>
    <xf numFmtId="0" fontId="0" fillId="0" borderId="0" xfId="0" applyFont="1"/>
    <xf numFmtId="0" fontId="16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7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right"/>
    </xf>
    <xf numFmtId="167" fontId="16" fillId="0" borderId="0" xfId="0" applyNumberFormat="1" applyFont="1"/>
    <xf numFmtId="167" fontId="1" fillId="0" borderId="10" xfId="0" applyNumberFormat="1" applyFont="1" applyFill="1" applyBorder="1"/>
    <xf numFmtId="167" fontId="0" fillId="0" borderId="0" xfId="0" applyNumberFormat="1"/>
    <xf numFmtId="168" fontId="16" fillId="0" borderId="0" xfId="0" applyNumberFormat="1" applyFont="1"/>
    <xf numFmtId="167" fontId="0" fillId="0" borderId="10" xfId="0" applyNumberFormat="1" applyFill="1" applyBorder="1"/>
    <xf numFmtId="167" fontId="0" fillId="0" borderId="10" xfId="0" applyNumberFormat="1" applyFill="1" applyBorder="1" applyAlignment="1">
      <alignment horizontal="right"/>
    </xf>
    <xf numFmtId="3" fontId="1" fillId="0" borderId="10" xfId="0" applyNumberFormat="1" applyFont="1" applyBorder="1"/>
    <xf numFmtId="3" fontId="1" fillId="0" borderId="10" xfId="0" applyNumberFormat="1" applyFont="1" applyFill="1" applyBorder="1"/>
    <xf numFmtId="168" fontId="1" fillId="0" borderId="10" xfId="0" applyNumberFormat="1" applyFont="1" applyBorder="1"/>
    <xf numFmtId="168" fontId="1" fillId="0" borderId="10" xfId="0" applyNumberFormat="1" applyFont="1" applyFill="1" applyBorder="1"/>
    <xf numFmtId="168" fontId="16" fillId="0" borderId="0" xfId="0" applyNumberFormat="1" applyFont="1" applyFill="1" applyBorder="1"/>
    <xf numFmtId="169" fontId="0" fillId="0" borderId="0" xfId="0" applyNumberFormat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2 2" xfId="44"/>
    <cellStyle name="Normal 3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zoomScaleNormal="100" workbookViewId="0">
      <selection activeCell="C29" sqref="C29"/>
    </sheetView>
  </sheetViews>
  <sheetFormatPr defaultRowHeight="15"/>
  <cols>
    <col min="1" max="1" width="9.85546875" style="4" customWidth="1"/>
    <col min="2" max="2" width="31.28515625" style="4" customWidth="1"/>
    <col min="3" max="3" width="22.28515625" style="4" customWidth="1"/>
    <col min="4" max="4" width="9.140625" style="4"/>
    <col min="5" max="6" width="14.140625" style="4" customWidth="1"/>
    <col min="7" max="7" width="11.28515625" style="4" customWidth="1"/>
    <col min="8" max="8" width="12.28515625" style="4" bestFit="1" customWidth="1"/>
    <col min="9" max="9" width="14.42578125" style="4" customWidth="1"/>
    <col min="10" max="10" width="11.28515625" style="4" customWidth="1"/>
    <col min="11" max="16384" width="9.140625" style="4"/>
  </cols>
  <sheetData>
    <row r="1" spans="1:11" s="2" customFormat="1" ht="30">
      <c r="A1" s="12" t="s">
        <v>0</v>
      </c>
      <c r="B1" s="12" t="s">
        <v>1</v>
      </c>
      <c r="C1" s="12" t="s">
        <v>5</v>
      </c>
      <c r="D1" s="3" t="s">
        <v>10</v>
      </c>
      <c r="E1" s="3" t="s">
        <v>11</v>
      </c>
      <c r="F1" s="3" t="s">
        <v>12</v>
      </c>
      <c r="G1" s="3" t="s">
        <v>13</v>
      </c>
      <c r="H1" s="3" t="s">
        <v>14</v>
      </c>
      <c r="I1" s="3" t="s">
        <v>15</v>
      </c>
      <c r="J1" s="3" t="s">
        <v>16</v>
      </c>
    </row>
    <row r="2" spans="1:11">
      <c r="A2" s="1" t="s">
        <v>6</v>
      </c>
      <c r="B2" s="1" t="s">
        <v>2</v>
      </c>
      <c r="C2" s="11" t="s">
        <v>9</v>
      </c>
      <c r="D2" s="5">
        <f>'1 N Osceola Drive'!C2</f>
        <v>8.6161747651000002</v>
      </c>
      <c r="E2" s="26">
        <f>'1 N Osceola Drive'!M2</f>
        <v>79</v>
      </c>
      <c r="F2" s="5">
        <f>'Retention Efficiency Calcs'!B3</f>
        <v>34</v>
      </c>
      <c r="G2" s="26">
        <f t="shared" ref="G2:G3" si="0">ROUND(E2*F2/100,0)</f>
        <v>27</v>
      </c>
      <c r="H2" s="28">
        <f>'1 N Osceola Drive'!N2</f>
        <v>11.2</v>
      </c>
      <c r="I2" s="5">
        <f>'Retention Efficiency Calcs'!B3</f>
        <v>34</v>
      </c>
      <c r="J2" s="28">
        <f t="shared" ref="J2:J3" si="1">ROUND(H2*I2/100,1)</f>
        <v>3.8</v>
      </c>
    </row>
    <row r="3" spans="1:11">
      <c r="A3" s="1" t="s">
        <v>7</v>
      </c>
      <c r="B3" s="1" t="s">
        <v>3</v>
      </c>
      <c r="C3" s="11" t="s">
        <v>9</v>
      </c>
      <c r="D3" s="5">
        <f>'2 Datura Drive'!C5</f>
        <v>0.72658181820000001</v>
      </c>
      <c r="E3" s="26">
        <f>'2 Datura Drive'!M5</f>
        <v>6</v>
      </c>
      <c r="F3" s="5">
        <f>'Retention Efficiency Calcs'!B7</f>
        <v>44</v>
      </c>
      <c r="G3" s="26">
        <f t="shared" si="0"/>
        <v>3</v>
      </c>
      <c r="H3" s="28">
        <f>'2 Datura Drive'!N5</f>
        <v>0.89999999999999991</v>
      </c>
      <c r="I3" s="5">
        <f>'Retention Efficiency Calcs'!B7</f>
        <v>44</v>
      </c>
      <c r="J3" s="28">
        <f t="shared" si="1"/>
        <v>0.4</v>
      </c>
    </row>
    <row r="4" spans="1:11">
      <c r="A4" s="1" t="s">
        <v>8</v>
      </c>
      <c r="B4" s="1" t="s">
        <v>4</v>
      </c>
      <c r="C4" s="11" t="s">
        <v>35</v>
      </c>
      <c r="D4" s="21">
        <f>'3 Coquina Palms'!C16</f>
        <v>6.3111209726999986</v>
      </c>
      <c r="E4" s="27">
        <f>'3 Coquina Palms'!M16</f>
        <v>61</v>
      </c>
      <c r="F4" s="21">
        <v>100</v>
      </c>
      <c r="G4" s="27">
        <f>ROUND(E4*F4/100,0)</f>
        <v>61</v>
      </c>
      <c r="H4" s="29">
        <f>'3 Coquina Palms'!N16</f>
        <v>10.9</v>
      </c>
      <c r="I4" s="21">
        <v>100</v>
      </c>
      <c r="J4" s="29">
        <f>ROUND(H4*I4/100,1)</f>
        <v>10.9</v>
      </c>
    </row>
    <row r="5" spans="1:11" ht="45">
      <c r="A5" s="1" t="s">
        <v>40</v>
      </c>
      <c r="B5" s="1" t="s">
        <v>52</v>
      </c>
      <c r="C5" s="11" t="s">
        <v>45</v>
      </c>
      <c r="D5" s="25" t="s">
        <v>53</v>
      </c>
      <c r="E5" s="27">
        <v>11266</v>
      </c>
      <c r="F5" s="21">
        <v>2.5</v>
      </c>
      <c r="G5" s="27">
        <f>ROUND(E5*F5/100,0)</f>
        <v>282</v>
      </c>
      <c r="H5" s="29">
        <v>2101.1999999999998</v>
      </c>
      <c r="I5" s="21">
        <v>2.5</v>
      </c>
      <c r="J5" s="29">
        <f>ROUND(H5*I5/100,1)</f>
        <v>52.5</v>
      </c>
    </row>
    <row r="6" spans="1:11">
      <c r="A6" s="1" t="s">
        <v>41</v>
      </c>
      <c r="B6" s="1" t="s">
        <v>46</v>
      </c>
      <c r="C6" s="11" t="s">
        <v>46</v>
      </c>
      <c r="D6" s="25" t="s">
        <v>53</v>
      </c>
      <c r="E6" s="25" t="s">
        <v>53</v>
      </c>
      <c r="F6" s="25" t="s">
        <v>53</v>
      </c>
      <c r="G6" s="29">
        <f>ROUND('5 Inlet Cleaning'!A9,1)</f>
        <v>0.5</v>
      </c>
      <c r="H6" s="25" t="s">
        <v>53</v>
      </c>
      <c r="I6" s="25" t="s">
        <v>53</v>
      </c>
      <c r="J6" s="29">
        <f>ROUND('5 Inlet Cleaning'!A13,1)</f>
        <v>0.3</v>
      </c>
    </row>
    <row r="7" spans="1:11">
      <c r="A7" s="1" t="s">
        <v>42</v>
      </c>
      <c r="B7" s="1" t="s">
        <v>47</v>
      </c>
      <c r="C7" s="11" t="s">
        <v>47</v>
      </c>
      <c r="D7" s="25" t="s">
        <v>53</v>
      </c>
      <c r="E7" s="25" t="s">
        <v>53</v>
      </c>
      <c r="F7" s="25" t="s">
        <v>53</v>
      </c>
      <c r="G7" s="27">
        <f>ROUND('6 Street Sweeping'!A10,0)</f>
        <v>194</v>
      </c>
      <c r="H7" s="25" t="s">
        <v>53</v>
      </c>
      <c r="I7" s="25" t="s">
        <v>53</v>
      </c>
      <c r="J7" s="29">
        <f>ROUND('6 Street Sweeping'!A14,1)</f>
        <v>87.3</v>
      </c>
    </row>
    <row r="8" spans="1:11">
      <c r="A8" s="1" t="s">
        <v>43</v>
      </c>
      <c r="B8" s="1" t="s">
        <v>48</v>
      </c>
      <c r="C8" s="11" t="s">
        <v>49</v>
      </c>
      <c r="D8" s="21">
        <f>'7 Gleason Park'!C36</f>
        <v>101.29100608329999</v>
      </c>
      <c r="E8" s="27">
        <f>'7 Gleason Park'!M36</f>
        <v>982</v>
      </c>
      <c r="F8" s="21">
        <f>'Wet Pond Calcs'!B3</f>
        <v>36.4</v>
      </c>
      <c r="G8" s="27">
        <f>ROUND(E8*F8/100,0)</f>
        <v>357</v>
      </c>
      <c r="H8" s="29">
        <f>'7 Gleason Park'!N36</f>
        <v>176.99999999999997</v>
      </c>
      <c r="I8" s="21">
        <f>'Wet Pond Calcs'!B4</f>
        <v>64.8</v>
      </c>
      <c r="J8" s="29">
        <f>ROUND(H8*I8/100,1)</f>
        <v>114.7</v>
      </c>
    </row>
    <row r="9" spans="1:11">
      <c r="A9" s="1" t="s">
        <v>44</v>
      </c>
      <c r="B9" s="1" t="s">
        <v>50</v>
      </c>
      <c r="C9" s="11" t="s">
        <v>51</v>
      </c>
      <c r="D9" s="24">
        <f>'8 Atlantic Ave'!C6</f>
        <v>0.95710492380000001</v>
      </c>
      <c r="E9" s="27">
        <f>'8 Atlantic Ave'!M6</f>
        <v>8</v>
      </c>
      <c r="F9" s="21">
        <f>'Retention Efficiency Calcs'!B11</f>
        <v>100</v>
      </c>
      <c r="G9" s="27">
        <f>ROUND(E9*F9/100,0)</f>
        <v>8</v>
      </c>
      <c r="H9" s="29">
        <f>'8 Atlantic Ave'!N6</f>
        <v>1.2</v>
      </c>
      <c r="I9" s="21">
        <f>'Retention Efficiency Calcs'!B11</f>
        <v>100</v>
      </c>
      <c r="J9" s="29">
        <f>ROUND(H9*I9/100,1)</f>
        <v>1.2</v>
      </c>
    </row>
    <row r="11" spans="1:11">
      <c r="F11" s="15"/>
      <c r="G11" s="16" t="s">
        <v>32</v>
      </c>
      <c r="H11" s="17"/>
      <c r="I11" s="17"/>
      <c r="J11" s="18" t="s">
        <v>33</v>
      </c>
    </row>
    <row r="12" spans="1:11">
      <c r="F12" s="19" t="s">
        <v>34</v>
      </c>
      <c r="G12" s="30">
        <f>SUM(G2:G9)</f>
        <v>932.5</v>
      </c>
      <c r="H12" s="15"/>
      <c r="I12" s="15"/>
      <c r="J12" s="20">
        <f>SUM(J2:J9)</f>
        <v>271.09999999999997</v>
      </c>
    </row>
    <row r="13" spans="1:11">
      <c r="F13" s="19" t="s">
        <v>38</v>
      </c>
      <c r="G13" s="23">
        <v>1348.1</v>
      </c>
      <c r="H13" s="14"/>
      <c r="I13" s="14"/>
      <c r="J13" s="23">
        <v>254</v>
      </c>
      <c r="K13" s="14"/>
    </row>
    <row r="14" spans="1:11">
      <c r="F14" s="19" t="s">
        <v>39</v>
      </c>
      <c r="G14" s="23">
        <f>G13-G12</f>
        <v>415.59999999999991</v>
      </c>
      <c r="H14" s="14"/>
      <c r="I14" s="14"/>
      <c r="J14" s="23">
        <f>J13-J12</f>
        <v>-17.099999999999966</v>
      </c>
      <c r="K14" s="14"/>
    </row>
  </sheetData>
  <pageMargins left="0.7" right="0.7" top="0.75" bottom="0.75" header="0.3" footer="0.3"/>
  <pageSetup scale="80" orientation="landscape" horizontalDpi="0" verticalDpi="0" r:id="rId1"/>
  <headerFooter>
    <oddHeader>&amp;C&amp;"-,Bold"Banana River Lagoon
Indian Harbour Beach Projects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N6"/>
  <sheetViews>
    <sheetView workbookViewId="0">
      <selection activeCell="M2" sqref="M2:M6"/>
    </sheetView>
  </sheetViews>
  <sheetFormatPr defaultRowHeight="15"/>
  <cols>
    <col min="1" max="1" width="9.42578125" style="8" bestFit="1" customWidth="1"/>
    <col min="2" max="2" width="7.85546875" style="8" bestFit="1" customWidth="1"/>
    <col min="3" max="3" width="12.5703125" style="10" bestFit="1" customWidth="1"/>
    <col min="4" max="4" width="13.7109375" style="7" customWidth="1"/>
    <col min="5" max="5" width="14.85546875" style="7" customWidth="1"/>
    <col min="6" max="7" width="13.7109375" style="7" customWidth="1"/>
    <col min="8" max="8" width="11.140625" style="8" bestFit="1" customWidth="1"/>
    <col min="9" max="10" width="11.140625" style="8" customWidth="1"/>
    <col min="11" max="11" width="12.28515625" style="8" bestFit="1" customWidth="1"/>
    <col min="12" max="12" width="15" customWidth="1"/>
    <col min="15" max="16384" width="9.140625" style="13"/>
  </cols>
  <sheetData>
    <row r="1" spans="1:14" ht="30">
      <c r="A1" s="8" t="s">
        <v>24</v>
      </c>
      <c r="B1" s="8" t="s">
        <v>17</v>
      </c>
      <c r="C1" s="10" t="s">
        <v>23</v>
      </c>
      <c r="D1" s="7" t="s">
        <v>18</v>
      </c>
      <c r="E1" s="7" t="s">
        <v>22</v>
      </c>
      <c r="F1" s="7" t="s">
        <v>19</v>
      </c>
      <c r="G1" s="7" t="s">
        <v>20</v>
      </c>
      <c r="H1" s="8" t="s">
        <v>31</v>
      </c>
      <c r="I1" s="8" t="s">
        <v>26</v>
      </c>
      <c r="J1" s="8" t="s">
        <v>27</v>
      </c>
      <c r="K1" s="8" t="s">
        <v>21</v>
      </c>
      <c r="L1" s="6" t="s">
        <v>28</v>
      </c>
      <c r="M1" s="6" t="s">
        <v>29</v>
      </c>
      <c r="N1" s="6" t="s">
        <v>30</v>
      </c>
    </row>
    <row r="2" spans="1:14">
      <c r="A2" s="8" t="s">
        <v>69</v>
      </c>
      <c r="B2" s="8">
        <v>1200</v>
      </c>
      <c r="C2" s="10">
        <v>0.91305997780000003</v>
      </c>
      <c r="D2" s="7">
        <v>0.38900000000000001</v>
      </c>
      <c r="E2" s="7">
        <v>46.66</v>
      </c>
      <c r="F2" s="7">
        <v>2.23</v>
      </c>
      <c r="G2" s="7">
        <v>0.316</v>
      </c>
      <c r="H2" s="8">
        <v>1</v>
      </c>
      <c r="I2" s="31">
        <f>F2</f>
        <v>2.23</v>
      </c>
      <c r="J2" s="31">
        <f>G2</f>
        <v>0.316</v>
      </c>
      <c r="K2" s="8">
        <v>237839</v>
      </c>
      <c r="L2" s="13">
        <f>ROUND(E2*D2*C2*102.79,0)</f>
        <v>1704</v>
      </c>
      <c r="M2" s="13">
        <f>ROUND(I2*L2*0.002205,0)</f>
        <v>8</v>
      </c>
      <c r="N2" s="13">
        <f>ROUND(J2*L2*0.002205,1)</f>
        <v>1.2</v>
      </c>
    </row>
    <row r="3" spans="1:14">
      <c r="A3" s="8" t="s">
        <v>69</v>
      </c>
      <c r="B3" s="8">
        <v>1200</v>
      </c>
      <c r="C3" s="10">
        <v>3.9725708999999998E-2</v>
      </c>
      <c r="D3" s="7">
        <v>0.22</v>
      </c>
      <c r="E3" s="7">
        <v>46.66</v>
      </c>
      <c r="F3" s="7">
        <v>2.23</v>
      </c>
      <c r="G3" s="7">
        <v>0.316</v>
      </c>
      <c r="H3" s="8">
        <v>1</v>
      </c>
      <c r="I3" s="31">
        <f t="shared" ref="I3:I5" si="0">F3</f>
        <v>2.23</v>
      </c>
      <c r="J3" s="31">
        <f t="shared" ref="J3:J5" si="1">G3</f>
        <v>0.316</v>
      </c>
      <c r="K3" s="8">
        <v>177</v>
      </c>
      <c r="L3" s="13">
        <f t="shared" ref="L3:L5" si="2">ROUND(E3*D3*C3*102.79,0)</f>
        <v>42</v>
      </c>
      <c r="M3" s="13">
        <f t="shared" ref="M3:M5" si="3">ROUND(I3*L3*0.002205,0)</f>
        <v>0</v>
      </c>
      <c r="N3" s="13">
        <f t="shared" ref="N3:N5" si="4">ROUND(J3*L3*0.002205,1)</f>
        <v>0</v>
      </c>
    </row>
    <row r="4" spans="1:14">
      <c r="A4" s="8" t="s">
        <v>69</v>
      </c>
      <c r="B4" s="8">
        <v>1200</v>
      </c>
      <c r="C4" s="10">
        <v>4.8392300000000001E-5</v>
      </c>
      <c r="D4" s="7">
        <v>0.22</v>
      </c>
      <c r="E4" s="7">
        <v>46.66</v>
      </c>
      <c r="F4" s="7">
        <v>2.23</v>
      </c>
      <c r="G4" s="7">
        <v>0.316</v>
      </c>
      <c r="H4" s="8">
        <v>1</v>
      </c>
      <c r="I4" s="31">
        <f t="shared" si="0"/>
        <v>2.23</v>
      </c>
      <c r="J4" s="31">
        <f t="shared" si="1"/>
        <v>0.316</v>
      </c>
      <c r="K4" s="8">
        <v>0</v>
      </c>
      <c r="L4" s="13">
        <f t="shared" si="2"/>
        <v>0</v>
      </c>
      <c r="M4" s="13">
        <f t="shared" si="3"/>
        <v>0</v>
      </c>
      <c r="N4" s="13">
        <f t="shared" si="4"/>
        <v>0</v>
      </c>
    </row>
    <row r="5" spans="1:14">
      <c r="A5" s="8" t="s">
        <v>69</v>
      </c>
      <c r="B5" s="8">
        <v>1200</v>
      </c>
      <c r="C5" s="10">
        <v>4.2708447E-3</v>
      </c>
      <c r="D5" s="7">
        <v>0.22</v>
      </c>
      <c r="E5" s="7">
        <v>46.66</v>
      </c>
      <c r="F5" s="7">
        <v>2.23</v>
      </c>
      <c r="G5" s="7">
        <v>0.316</v>
      </c>
      <c r="H5" s="8">
        <v>1</v>
      </c>
      <c r="I5" s="31">
        <f t="shared" si="0"/>
        <v>2.23</v>
      </c>
      <c r="J5" s="31">
        <f t="shared" si="1"/>
        <v>0.316</v>
      </c>
      <c r="K5" s="8">
        <v>8</v>
      </c>
      <c r="L5" s="13">
        <f t="shared" si="2"/>
        <v>5</v>
      </c>
      <c r="M5" s="13">
        <f t="shared" si="3"/>
        <v>0</v>
      </c>
      <c r="N5" s="13">
        <f t="shared" si="4"/>
        <v>0</v>
      </c>
    </row>
    <row r="6" spans="1:14">
      <c r="C6" s="10">
        <f>SUM(C2:C5)</f>
        <v>0.95710492380000001</v>
      </c>
      <c r="M6">
        <f>SUM(M2:M5)</f>
        <v>8</v>
      </c>
      <c r="N6">
        <f>SUM(N2:N5)</f>
        <v>1.2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>
      <selection activeCell="A3" sqref="A3:C3"/>
    </sheetView>
  </sheetViews>
  <sheetFormatPr defaultRowHeight="15"/>
  <cols>
    <col min="1" max="1" width="20" bestFit="1" customWidth="1"/>
  </cols>
  <sheetData>
    <row r="1" spans="1:3">
      <c r="A1" s="14" t="s">
        <v>48</v>
      </c>
    </row>
    <row r="2" spans="1:3">
      <c r="A2" t="s">
        <v>64</v>
      </c>
      <c r="B2">
        <v>21.6</v>
      </c>
      <c r="C2" t="s">
        <v>65</v>
      </c>
    </row>
    <row r="3" spans="1:3" s="13" customFormat="1">
      <c r="A3" t="s">
        <v>68</v>
      </c>
      <c r="B3">
        <f>ROUND((43.75*B2)/(4.38+B2),1)</f>
        <v>36.4</v>
      </c>
      <c r="C3" t="s">
        <v>67</v>
      </c>
    </row>
    <row r="4" spans="1:3">
      <c r="A4" t="s">
        <v>66</v>
      </c>
      <c r="B4">
        <f>ROUND(44.53+6.146*LN(B2)+0.145*(LN(B2)^2),1)</f>
        <v>64.8</v>
      </c>
      <c r="C4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1"/>
  <sheetViews>
    <sheetView workbookViewId="0">
      <selection activeCell="A10" sqref="A10"/>
    </sheetView>
  </sheetViews>
  <sheetFormatPr defaultRowHeight="15"/>
  <cols>
    <col min="1" max="1" width="19.5703125" bestFit="1" customWidth="1"/>
    <col min="3" max="3" width="18.28515625" bestFit="1" customWidth="1"/>
    <col min="4" max="4" width="19.28515625" bestFit="1" customWidth="1"/>
    <col min="7" max="7" width="10.28515625" bestFit="1" customWidth="1"/>
  </cols>
  <sheetData>
    <row r="1" spans="1:3">
      <c r="A1" s="14" t="s">
        <v>6</v>
      </c>
    </row>
    <row r="2" spans="1:3">
      <c r="A2" s="13" t="s">
        <v>36</v>
      </c>
      <c r="B2">
        <v>0.17599999999999999</v>
      </c>
      <c r="C2" s="13"/>
    </row>
    <row r="3" spans="1:3">
      <c r="A3" s="13" t="s">
        <v>37</v>
      </c>
      <c r="B3" s="22">
        <f>ROUND((0.8656*B2^0.5403)*100,0)</f>
        <v>34</v>
      </c>
      <c r="C3" s="13"/>
    </row>
    <row r="4" spans="1:3" s="13" customFormat="1"/>
    <row r="5" spans="1:3">
      <c r="A5" s="14" t="s">
        <v>7</v>
      </c>
    </row>
    <row r="6" spans="1:3">
      <c r="A6" s="13" t="s">
        <v>36</v>
      </c>
      <c r="B6">
        <v>0.28000000000000003</v>
      </c>
      <c r="C6" s="13"/>
    </row>
    <row r="7" spans="1:3">
      <c r="A7" s="13" t="s">
        <v>37</v>
      </c>
      <c r="B7" s="22">
        <f>ROUND((0.8656*B6^0.5403)*100,0)</f>
        <v>44</v>
      </c>
      <c r="C7" s="13"/>
    </row>
    <row r="8" spans="1:3">
      <c r="A8" s="13"/>
    </row>
    <row r="9" spans="1:3">
      <c r="A9" s="14" t="s">
        <v>44</v>
      </c>
      <c r="B9" s="13"/>
    </row>
    <row r="10" spans="1:3">
      <c r="A10" s="13" t="s">
        <v>36</v>
      </c>
      <c r="B10" s="13">
        <v>9</v>
      </c>
    </row>
    <row r="11" spans="1:3">
      <c r="A11" s="13" t="s">
        <v>37</v>
      </c>
      <c r="B11" s="22">
        <v>100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"/>
  <sheetViews>
    <sheetView zoomScaleNormal="100" workbookViewId="0">
      <selection activeCell="N2" sqref="N2"/>
    </sheetView>
  </sheetViews>
  <sheetFormatPr defaultRowHeight="15"/>
  <cols>
    <col min="1" max="1" width="20.140625" style="8" bestFit="1" customWidth="1"/>
    <col min="2" max="2" width="8" style="8" bestFit="1" customWidth="1"/>
    <col min="3" max="3" width="13.7109375" style="8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7" bestFit="1" customWidth="1"/>
    <col min="9" max="9" width="7.85546875" style="7" bestFit="1" customWidth="1"/>
    <col min="10" max="10" width="7.5703125" style="7" bestFit="1" customWidth="1"/>
    <col min="11" max="11" width="12.42578125" style="8" bestFit="1" customWidth="1"/>
    <col min="12" max="12" width="15.140625" style="10" customWidth="1"/>
    <col min="13" max="14" width="9.28515625" style="13" bestFit="1" customWidth="1"/>
    <col min="15" max="16384" width="9.140625" style="13"/>
  </cols>
  <sheetData>
    <row r="1" spans="1:14" ht="30">
      <c r="A1" s="8" t="s">
        <v>24</v>
      </c>
      <c r="B1" s="8" t="s">
        <v>17</v>
      </c>
      <c r="C1" s="10" t="s">
        <v>23</v>
      </c>
      <c r="D1" s="7" t="s">
        <v>18</v>
      </c>
      <c r="E1" s="7" t="s">
        <v>22</v>
      </c>
      <c r="F1" s="7" t="s">
        <v>19</v>
      </c>
      <c r="G1" s="7" t="s">
        <v>20</v>
      </c>
      <c r="H1" s="8" t="s">
        <v>31</v>
      </c>
      <c r="I1" s="6" t="s">
        <v>26</v>
      </c>
      <c r="J1" s="6" t="s">
        <v>27</v>
      </c>
      <c r="K1" s="8" t="s">
        <v>21</v>
      </c>
      <c r="L1" s="6" t="s">
        <v>28</v>
      </c>
      <c r="M1" s="6" t="s">
        <v>29</v>
      </c>
      <c r="N1" s="6" t="s">
        <v>30</v>
      </c>
    </row>
    <row r="2" spans="1:14">
      <c r="A2" s="8" t="s">
        <v>25</v>
      </c>
      <c r="B2" s="8">
        <v>1200</v>
      </c>
      <c r="C2" s="10">
        <v>8.6161747651000002</v>
      </c>
      <c r="D2" s="9">
        <v>0.38900000000000001</v>
      </c>
      <c r="E2" s="9">
        <v>46.66</v>
      </c>
      <c r="F2" s="9">
        <v>2.23</v>
      </c>
      <c r="G2" s="9">
        <v>0.316</v>
      </c>
      <c r="H2" s="8">
        <v>1</v>
      </c>
      <c r="I2" s="9">
        <f>F2</f>
        <v>2.23</v>
      </c>
      <c r="J2" s="9">
        <f>G2</f>
        <v>0.316</v>
      </c>
      <c r="K2" s="8">
        <v>237839</v>
      </c>
      <c r="L2" s="13">
        <f>ROUND(E2*D2*C2*102.79,0)</f>
        <v>16075</v>
      </c>
      <c r="M2" s="13">
        <f>ROUND(I2*L2*0.002205,0)</f>
        <v>79</v>
      </c>
      <c r="N2" s="13">
        <f>ROUND(J2*L2*0.002205,1)</f>
        <v>11.2</v>
      </c>
    </row>
  </sheetData>
  <pageMargins left="0.7" right="0.7" top="0.75" bottom="0.75" header="0.3" footer="0.3"/>
  <pageSetup scale="7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5"/>
  <sheetViews>
    <sheetView zoomScaleNormal="100" workbookViewId="0">
      <selection activeCell="A5" sqref="A5"/>
    </sheetView>
  </sheetViews>
  <sheetFormatPr defaultRowHeight="15"/>
  <cols>
    <col min="1" max="2" width="9.7109375" style="8" customWidth="1"/>
    <col min="3" max="3" width="14.7109375" style="8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7" bestFit="1" customWidth="1"/>
    <col min="9" max="10" width="9" style="7" customWidth="1"/>
    <col min="11" max="11" width="12.42578125" style="8" bestFit="1" customWidth="1"/>
    <col min="12" max="12" width="14.5703125" style="10" customWidth="1"/>
    <col min="13" max="14" width="9.28515625" style="13" bestFit="1" customWidth="1"/>
    <col min="15" max="16384" width="9.140625" style="13"/>
  </cols>
  <sheetData>
    <row r="1" spans="1:14" ht="30">
      <c r="A1" s="8" t="s">
        <v>24</v>
      </c>
      <c r="B1" s="8" t="s">
        <v>17</v>
      </c>
      <c r="C1" s="10" t="s">
        <v>23</v>
      </c>
      <c r="D1" s="7" t="s">
        <v>18</v>
      </c>
      <c r="E1" s="7" t="s">
        <v>22</v>
      </c>
      <c r="F1" s="7" t="s">
        <v>19</v>
      </c>
      <c r="G1" s="7" t="s">
        <v>20</v>
      </c>
      <c r="H1" s="8" t="s">
        <v>31</v>
      </c>
      <c r="I1" s="6" t="s">
        <v>26</v>
      </c>
      <c r="J1" s="6" t="s">
        <v>27</v>
      </c>
      <c r="K1" s="8" t="s">
        <v>21</v>
      </c>
      <c r="L1" s="6" t="s">
        <v>28</v>
      </c>
      <c r="M1" s="6" t="s">
        <v>29</v>
      </c>
      <c r="N1" s="6" t="s">
        <v>30</v>
      </c>
    </row>
    <row r="2" spans="1:14">
      <c r="A2" s="8" t="s">
        <v>69</v>
      </c>
      <c r="B2" s="8">
        <v>1200</v>
      </c>
      <c r="C2" s="10">
        <v>0.16881905189999999</v>
      </c>
      <c r="D2" s="9">
        <v>0.30399999999999999</v>
      </c>
      <c r="E2" s="9">
        <v>46.66</v>
      </c>
      <c r="F2" s="9">
        <v>2.23</v>
      </c>
      <c r="G2" s="9">
        <v>0.316</v>
      </c>
      <c r="H2" s="8">
        <v>1</v>
      </c>
      <c r="I2" s="9">
        <f>F2</f>
        <v>2.23</v>
      </c>
      <c r="J2" s="9">
        <f>G2</f>
        <v>0.316</v>
      </c>
      <c r="K2" s="8">
        <v>2960</v>
      </c>
      <c r="L2" s="13">
        <f>ROUND(E2*D2*C2*102.79,0)</f>
        <v>246</v>
      </c>
      <c r="M2" s="13">
        <f>ROUND(I2*L2*0.002205,0)</f>
        <v>1</v>
      </c>
      <c r="N2" s="13">
        <f>ROUND(J2*L2*0.002205,1)</f>
        <v>0.2</v>
      </c>
    </row>
    <row r="3" spans="1:14">
      <c r="A3" s="8" t="s">
        <v>69</v>
      </c>
      <c r="B3" s="8">
        <v>1200</v>
      </c>
      <c r="C3" s="10">
        <v>3.5975971799999999E-2</v>
      </c>
      <c r="D3" s="9">
        <v>0.30399999999999999</v>
      </c>
      <c r="E3" s="9">
        <v>46.66</v>
      </c>
      <c r="F3" s="9">
        <v>2.23</v>
      </c>
      <c r="G3" s="9">
        <v>0.316</v>
      </c>
      <c r="H3" s="8">
        <v>0</v>
      </c>
      <c r="I3" s="9">
        <f t="shared" ref="I3" si="0">0.7*F3</f>
        <v>1.5609999999999999</v>
      </c>
      <c r="J3" s="9">
        <f t="shared" ref="J3" si="1">0.5*G3</f>
        <v>0.158</v>
      </c>
      <c r="K3" s="8">
        <v>720</v>
      </c>
      <c r="L3" s="13">
        <f t="shared" ref="L3:L4" si="2">ROUND(E3*D3*C3*102.79,0)</f>
        <v>52</v>
      </c>
      <c r="M3" s="13">
        <f t="shared" ref="M3:M4" si="3">ROUND(I3*L3*0.002205,0)</f>
        <v>0</v>
      </c>
      <c r="N3" s="13">
        <f t="shared" ref="N3:N4" si="4">ROUND(J3*L3*0.002205,1)</f>
        <v>0</v>
      </c>
    </row>
    <row r="4" spans="1:14">
      <c r="A4" s="8" t="s">
        <v>69</v>
      </c>
      <c r="B4" s="8">
        <v>1200</v>
      </c>
      <c r="C4" s="10">
        <v>0.52178679449999998</v>
      </c>
      <c r="D4" s="9">
        <v>0.38900000000000001</v>
      </c>
      <c r="E4" s="9">
        <v>46.66</v>
      </c>
      <c r="F4" s="9">
        <v>2.23</v>
      </c>
      <c r="G4" s="9">
        <v>0.316</v>
      </c>
      <c r="H4" s="8">
        <v>1</v>
      </c>
      <c r="I4" s="9">
        <f>F4</f>
        <v>2.23</v>
      </c>
      <c r="J4" s="9">
        <f>G4</f>
        <v>0.316</v>
      </c>
      <c r="K4" s="8">
        <v>12578</v>
      </c>
      <c r="L4" s="13">
        <f t="shared" si="2"/>
        <v>974</v>
      </c>
      <c r="M4" s="13">
        <f t="shared" si="3"/>
        <v>5</v>
      </c>
      <c r="N4" s="13">
        <f t="shared" si="4"/>
        <v>0.7</v>
      </c>
    </row>
    <row r="5" spans="1:14">
      <c r="C5" s="8">
        <f>SUM(C2:C4)</f>
        <v>0.72658181820000001</v>
      </c>
      <c r="M5" s="13">
        <f>SUM(M2:M4)</f>
        <v>6</v>
      </c>
      <c r="N5" s="13">
        <f>SUM(N2:N4)</f>
        <v>0.89999999999999991</v>
      </c>
    </row>
  </sheetData>
  <pageMargins left="0.7" right="0.7" top="0.75" bottom="0.75" header="0.3" footer="0.3"/>
  <pageSetup scale="82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6"/>
  <sheetViews>
    <sheetView zoomScaleNormal="100" workbookViewId="0">
      <selection activeCell="L1" sqref="L1:N2"/>
    </sheetView>
  </sheetViews>
  <sheetFormatPr defaultRowHeight="15"/>
  <cols>
    <col min="1" max="2" width="9.7109375" style="8" customWidth="1"/>
    <col min="3" max="3" width="15.140625" style="8" bestFit="1" customWidth="1"/>
    <col min="4" max="4" width="6.85546875" style="7" bestFit="1" customWidth="1"/>
    <col min="5" max="5" width="14.85546875" style="7" bestFit="1" customWidth="1"/>
    <col min="6" max="6" width="9.42578125" style="7" bestFit="1" customWidth="1"/>
    <col min="7" max="7" width="9.140625" style="7" bestFit="1" customWidth="1"/>
    <col min="8" max="8" width="11.28515625" style="8" bestFit="1" customWidth="1"/>
    <col min="9" max="10" width="9" style="7" customWidth="1"/>
    <col min="11" max="11" width="12.42578125" style="8" bestFit="1" customWidth="1"/>
    <col min="12" max="12" width="14.28515625" style="10" customWidth="1"/>
    <col min="13" max="14" width="9.28515625" style="13" bestFit="1" customWidth="1"/>
    <col min="15" max="16384" width="9.140625" style="13"/>
  </cols>
  <sheetData>
    <row r="1" spans="1:14" ht="30">
      <c r="A1" s="8" t="s">
        <v>24</v>
      </c>
      <c r="B1" s="8" t="s">
        <v>17</v>
      </c>
      <c r="C1" s="10" t="s">
        <v>23</v>
      </c>
      <c r="D1" s="7" t="s">
        <v>18</v>
      </c>
      <c r="E1" s="7" t="s">
        <v>22</v>
      </c>
      <c r="F1" s="7" t="s">
        <v>19</v>
      </c>
      <c r="G1" s="7" t="s">
        <v>20</v>
      </c>
      <c r="H1" s="8" t="s">
        <v>31</v>
      </c>
      <c r="I1" s="6" t="s">
        <v>26</v>
      </c>
      <c r="J1" s="6" t="s">
        <v>27</v>
      </c>
      <c r="K1" s="8" t="s">
        <v>21</v>
      </c>
      <c r="L1" s="6" t="s">
        <v>28</v>
      </c>
      <c r="M1" s="6" t="s">
        <v>29</v>
      </c>
      <c r="N1" s="6" t="s">
        <v>30</v>
      </c>
    </row>
    <row r="2" spans="1:14">
      <c r="A2" s="8" t="s">
        <v>69</v>
      </c>
      <c r="B2" s="8">
        <v>1200</v>
      </c>
      <c r="C2" s="10">
        <v>2.9393683800000001E-2</v>
      </c>
      <c r="D2" s="9">
        <v>0.38900000000000001</v>
      </c>
      <c r="E2" s="9">
        <v>46.66</v>
      </c>
      <c r="F2" s="9">
        <v>2.23</v>
      </c>
      <c r="G2" s="9">
        <v>0.316</v>
      </c>
      <c r="H2" s="8">
        <v>1</v>
      </c>
      <c r="I2" s="9">
        <f>F2</f>
        <v>2.23</v>
      </c>
      <c r="J2" s="9">
        <f>G2</f>
        <v>0.316</v>
      </c>
      <c r="K2" s="8">
        <v>237839</v>
      </c>
      <c r="L2" s="13">
        <f>ROUND(E2*D2*C2*102.79,0)</f>
        <v>55</v>
      </c>
      <c r="M2" s="13">
        <f>ROUND(I2*L2*0.002205,0)</f>
        <v>0</v>
      </c>
      <c r="N2" s="13">
        <f>ROUND(J2*L2*0.002205,1)</f>
        <v>0</v>
      </c>
    </row>
    <row r="3" spans="1:14">
      <c r="A3" s="8" t="s">
        <v>69</v>
      </c>
      <c r="B3" s="8">
        <v>3200</v>
      </c>
      <c r="C3" s="10">
        <v>9.9483716000000003E-3</v>
      </c>
      <c r="D3" s="9">
        <v>0.06</v>
      </c>
      <c r="E3" s="9">
        <v>46.66</v>
      </c>
      <c r="F3" s="9">
        <v>1.2</v>
      </c>
      <c r="G3" s="9">
        <v>6.4000000000000001E-2</v>
      </c>
      <c r="H3" s="8">
        <v>1</v>
      </c>
      <c r="I3" s="9">
        <f t="shared" ref="I3:I4" si="0">F3</f>
        <v>1.2</v>
      </c>
      <c r="J3" s="9">
        <f t="shared" ref="J3:J4" si="1">G3</f>
        <v>6.4000000000000001E-2</v>
      </c>
      <c r="K3" s="8">
        <v>46</v>
      </c>
      <c r="L3" s="13">
        <f t="shared" ref="L3:L15" si="2">ROUND(E3*D3*C3*102.79,0)</f>
        <v>3</v>
      </c>
      <c r="M3" s="13">
        <f t="shared" ref="M3:M15" si="3">ROUND(I3*L3*0.002205,0)</f>
        <v>0</v>
      </c>
      <c r="N3" s="13">
        <f t="shared" ref="N3:N15" si="4">ROUND(J3*L3*0.002205,1)</f>
        <v>0</v>
      </c>
    </row>
    <row r="4" spans="1:14">
      <c r="A4" s="8" t="s">
        <v>69</v>
      </c>
      <c r="B4" s="8">
        <v>3200</v>
      </c>
      <c r="C4" s="10">
        <v>5.7856909999999995E-4</v>
      </c>
      <c r="D4" s="9">
        <v>0.06</v>
      </c>
      <c r="E4" s="9">
        <v>46.66</v>
      </c>
      <c r="F4" s="9">
        <v>1.2</v>
      </c>
      <c r="G4" s="9">
        <v>6.4000000000000001E-2</v>
      </c>
      <c r="H4" s="8">
        <v>1</v>
      </c>
      <c r="I4" s="9">
        <f t="shared" si="0"/>
        <v>1.2</v>
      </c>
      <c r="J4" s="9">
        <f t="shared" si="1"/>
        <v>6.4000000000000001E-2</v>
      </c>
      <c r="K4" s="8">
        <v>13</v>
      </c>
      <c r="L4" s="13">
        <f t="shared" si="2"/>
        <v>0</v>
      </c>
      <c r="M4" s="13">
        <f t="shared" si="3"/>
        <v>0</v>
      </c>
      <c r="N4" s="13">
        <f t="shared" si="4"/>
        <v>0</v>
      </c>
    </row>
    <row r="5" spans="1:14">
      <c r="A5" s="8" t="s">
        <v>69</v>
      </c>
      <c r="B5" s="8">
        <v>1200</v>
      </c>
      <c r="C5" s="10">
        <v>2.9360200100000001E-2</v>
      </c>
      <c r="D5" s="9">
        <v>0.22</v>
      </c>
      <c r="E5" s="9">
        <v>46.66</v>
      </c>
      <c r="F5" s="9">
        <v>2.23</v>
      </c>
      <c r="G5" s="9">
        <v>0.316</v>
      </c>
      <c r="H5" s="8">
        <v>0</v>
      </c>
      <c r="I5" s="9">
        <f t="shared" ref="I5:I15" si="5">0.7*F5</f>
        <v>1.5609999999999999</v>
      </c>
      <c r="J5" s="9">
        <f t="shared" ref="J5:J15" si="6">0.5*G5</f>
        <v>0.158</v>
      </c>
      <c r="K5" s="8">
        <v>24</v>
      </c>
      <c r="L5" s="13">
        <f t="shared" si="2"/>
        <v>31</v>
      </c>
      <c r="M5" s="13">
        <f t="shared" si="3"/>
        <v>0</v>
      </c>
      <c r="N5" s="13">
        <f t="shared" si="4"/>
        <v>0</v>
      </c>
    </row>
    <row r="6" spans="1:14">
      <c r="A6" s="8" t="s">
        <v>69</v>
      </c>
      <c r="B6" s="8">
        <v>1200</v>
      </c>
      <c r="C6" s="10">
        <v>6.9457042499999996E-2</v>
      </c>
      <c r="D6" s="9">
        <v>0.22</v>
      </c>
      <c r="E6" s="9">
        <v>46.66</v>
      </c>
      <c r="F6" s="9">
        <v>2.23</v>
      </c>
      <c r="G6" s="9">
        <v>0.316</v>
      </c>
      <c r="H6" s="8">
        <v>1</v>
      </c>
      <c r="I6" s="9">
        <f t="shared" ref="I6:I7" si="7">F6</f>
        <v>2.23</v>
      </c>
      <c r="J6" s="9">
        <f t="shared" ref="J6:J7" si="8">G6</f>
        <v>0.316</v>
      </c>
      <c r="K6" s="8">
        <v>64</v>
      </c>
      <c r="L6" s="13">
        <f t="shared" si="2"/>
        <v>73</v>
      </c>
      <c r="M6" s="13">
        <f t="shared" si="3"/>
        <v>0</v>
      </c>
      <c r="N6" s="13">
        <f t="shared" si="4"/>
        <v>0.1</v>
      </c>
    </row>
    <row r="7" spans="1:14">
      <c r="A7" s="8" t="s">
        <v>69</v>
      </c>
      <c r="B7" s="8">
        <v>1300</v>
      </c>
      <c r="C7" s="10">
        <v>3.9467700000000002E-5</v>
      </c>
      <c r="D7" s="9">
        <v>0.69199999999999995</v>
      </c>
      <c r="E7" s="9">
        <v>46.66</v>
      </c>
      <c r="F7" s="9">
        <v>2.1</v>
      </c>
      <c r="G7" s="9">
        <v>0.51600000000000001</v>
      </c>
      <c r="H7" s="8">
        <v>1</v>
      </c>
      <c r="I7" s="9">
        <f t="shared" si="7"/>
        <v>2.1</v>
      </c>
      <c r="J7" s="9">
        <f t="shared" si="8"/>
        <v>0.51600000000000001</v>
      </c>
      <c r="K7" s="8">
        <v>16</v>
      </c>
      <c r="L7" s="13">
        <f t="shared" si="2"/>
        <v>0</v>
      </c>
      <c r="M7" s="13">
        <f t="shared" si="3"/>
        <v>0</v>
      </c>
      <c r="N7" s="13">
        <f t="shared" si="4"/>
        <v>0</v>
      </c>
    </row>
    <row r="8" spans="1:14">
      <c r="A8" s="8" t="s">
        <v>69</v>
      </c>
      <c r="B8" s="8">
        <v>1300</v>
      </c>
      <c r="C8" s="10">
        <v>0.84879161290000005</v>
      </c>
      <c r="D8" s="9">
        <v>0.69199999999999995</v>
      </c>
      <c r="E8" s="9">
        <v>46.66</v>
      </c>
      <c r="F8" s="9">
        <v>2.1</v>
      </c>
      <c r="G8" s="9">
        <v>0.51600000000000001</v>
      </c>
      <c r="H8" s="8">
        <v>0</v>
      </c>
      <c r="I8" s="9">
        <f t="shared" si="5"/>
        <v>1.47</v>
      </c>
      <c r="J8" s="9">
        <f t="shared" si="6"/>
        <v>0.25800000000000001</v>
      </c>
      <c r="K8" s="8">
        <v>1132</v>
      </c>
      <c r="L8" s="13">
        <f t="shared" si="2"/>
        <v>2817</v>
      </c>
      <c r="M8" s="13">
        <f t="shared" si="3"/>
        <v>9</v>
      </c>
      <c r="N8" s="13">
        <f t="shared" si="4"/>
        <v>1.6</v>
      </c>
    </row>
    <row r="9" spans="1:14">
      <c r="A9" s="8" t="s">
        <v>69</v>
      </c>
      <c r="B9" s="8">
        <v>1300</v>
      </c>
      <c r="C9" s="10">
        <v>4.9042259706999998</v>
      </c>
      <c r="D9" s="9">
        <v>0.63100000000000001</v>
      </c>
      <c r="E9" s="9">
        <v>46.66</v>
      </c>
      <c r="F9" s="9">
        <v>2.1</v>
      </c>
      <c r="G9" s="9">
        <v>0.51600000000000001</v>
      </c>
      <c r="H9" s="8">
        <v>0</v>
      </c>
      <c r="I9" s="9">
        <f t="shared" si="5"/>
        <v>1.47</v>
      </c>
      <c r="J9" s="9">
        <f t="shared" si="6"/>
        <v>0.25800000000000001</v>
      </c>
      <c r="K9" s="8">
        <v>5201</v>
      </c>
      <c r="L9" s="13">
        <f t="shared" si="2"/>
        <v>14842</v>
      </c>
      <c r="M9" s="13">
        <f t="shared" si="3"/>
        <v>48</v>
      </c>
      <c r="N9" s="13">
        <f t="shared" si="4"/>
        <v>8.4</v>
      </c>
    </row>
    <row r="10" spans="1:14">
      <c r="A10" s="8" t="s">
        <v>69</v>
      </c>
      <c r="B10" s="8">
        <v>1300</v>
      </c>
      <c r="C10" s="10">
        <v>2.1117189500000001E-2</v>
      </c>
      <c r="D10" s="9">
        <v>0.63100000000000001</v>
      </c>
      <c r="E10" s="9">
        <v>46.66</v>
      </c>
      <c r="F10" s="9">
        <v>2.1</v>
      </c>
      <c r="G10" s="9">
        <v>0.51600000000000001</v>
      </c>
      <c r="H10" s="8">
        <v>0</v>
      </c>
      <c r="I10" s="9">
        <f t="shared" si="5"/>
        <v>1.47</v>
      </c>
      <c r="J10" s="9">
        <f t="shared" si="6"/>
        <v>0.25800000000000001</v>
      </c>
      <c r="K10" s="8">
        <v>22</v>
      </c>
      <c r="L10" s="13">
        <f t="shared" si="2"/>
        <v>64</v>
      </c>
      <c r="M10" s="13">
        <f t="shared" si="3"/>
        <v>0</v>
      </c>
      <c r="N10" s="13">
        <f t="shared" si="4"/>
        <v>0</v>
      </c>
    </row>
    <row r="11" spans="1:14">
      <c r="A11" s="8" t="s">
        <v>69</v>
      </c>
      <c r="B11" s="8">
        <v>1300</v>
      </c>
      <c r="C11" s="10">
        <v>0.14619580660000001</v>
      </c>
      <c r="D11" s="9">
        <v>0.63100000000000001</v>
      </c>
      <c r="E11" s="9">
        <v>46.66</v>
      </c>
      <c r="F11" s="9">
        <v>2.1</v>
      </c>
      <c r="G11" s="9">
        <v>0.51600000000000001</v>
      </c>
      <c r="H11" s="8">
        <v>1</v>
      </c>
      <c r="I11" s="9">
        <f>F11</f>
        <v>2.1</v>
      </c>
      <c r="J11" s="9">
        <f>G11</f>
        <v>0.51600000000000001</v>
      </c>
      <c r="K11" s="8">
        <v>155</v>
      </c>
      <c r="L11" s="13">
        <f t="shared" si="2"/>
        <v>442</v>
      </c>
      <c r="M11" s="13">
        <f t="shared" si="3"/>
        <v>2</v>
      </c>
      <c r="N11" s="13">
        <f t="shared" si="4"/>
        <v>0.5</v>
      </c>
    </row>
    <row r="12" spans="1:14">
      <c r="A12" s="8" t="s">
        <v>69</v>
      </c>
      <c r="B12" s="8">
        <v>1300</v>
      </c>
      <c r="C12" s="10">
        <v>0.113052483</v>
      </c>
      <c r="D12" s="9">
        <v>0.63100000000000001</v>
      </c>
      <c r="E12" s="9">
        <v>46.66</v>
      </c>
      <c r="F12" s="9">
        <v>2.1</v>
      </c>
      <c r="G12" s="9">
        <v>0.51600000000000001</v>
      </c>
      <c r="H12" s="8">
        <v>0</v>
      </c>
      <c r="I12" s="9">
        <f t="shared" si="5"/>
        <v>1.47</v>
      </c>
      <c r="J12" s="9">
        <f t="shared" si="6"/>
        <v>0.25800000000000001</v>
      </c>
      <c r="K12" s="8">
        <v>120</v>
      </c>
      <c r="L12" s="13">
        <f t="shared" si="2"/>
        <v>342</v>
      </c>
      <c r="M12" s="13">
        <f t="shared" si="3"/>
        <v>1</v>
      </c>
      <c r="N12" s="13">
        <f t="shared" si="4"/>
        <v>0.2</v>
      </c>
    </row>
    <row r="13" spans="1:14">
      <c r="A13" s="8" t="s">
        <v>69</v>
      </c>
      <c r="B13" s="8">
        <v>1200</v>
      </c>
      <c r="C13" s="10">
        <v>3.9750977100000001E-2</v>
      </c>
      <c r="D13" s="9">
        <v>0.38900000000000001</v>
      </c>
      <c r="E13" s="9">
        <v>46.66</v>
      </c>
      <c r="F13" s="9">
        <v>2.23</v>
      </c>
      <c r="G13" s="9">
        <v>0.316</v>
      </c>
      <c r="H13" s="8">
        <v>0</v>
      </c>
      <c r="I13" s="9">
        <f t="shared" si="5"/>
        <v>1.5609999999999999</v>
      </c>
      <c r="J13" s="9">
        <f t="shared" si="6"/>
        <v>0.158</v>
      </c>
      <c r="K13" s="8">
        <v>52</v>
      </c>
      <c r="L13" s="13">
        <f t="shared" si="2"/>
        <v>74</v>
      </c>
      <c r="M13" s="13">
        <f t="shared" si="3"/>
        <v>0</v>
      </c>
      <c r="N13" s="13">
        <f t="shared" si="4"/>
        <v>0</v>
      </c>
    </row>
    <row r="14" spans="1:14">
      <c r="A14" s="8" t="s">
        <v>69</v>
      </c>
      <c r="B14" s="8">
        <v>1300</v>
      </c>
      <c r="C14" s="10">
        <v>8.0466681100000007E-2</v>
      </c>
      <c r="D14" s="9">
        <v>0.63100000000000001</v>
      </c>
      <c r="E14" s="9">
        <v>46.66</v>
      </c>
      <c r="F14" s="9">
        <v>2.1</v>
      </c>
      <c r="G14" s="9">
        <v>0.51600000000000001</v>
      </c>
      <c r="H14" s="8">
        <v>0</v>
      </c>
      <c r="I14" s="9">
        <f t="shared" si="5"/>
        <v>1.47</v>
      </c>
      <c r="J14" s="9">
        <f t="shared" si="6"/>
        <v>0.25800000000000001</v>
      </c>
      <c r="K14" s="8">
        <v>85</v>
      </c>
      <c r="L14" s="13">
        <f t="shared" si="2"/>
        <v>244</v>
      </c>
      <c r="M14" s="13">
        <f t="shared" si="3"/>
        <v>1</v>
      </c>
      <c r="N14" s="13">
        <f t="shared" si="4"/>
        <v>0.1</v>
      </c>
    </row>
    <row r="15" spans="1:14">
      <c r="A15" s="8" t="s">
        <v>69</v>
      </c>
      <c r="B15" s="8">
        <v>1300</v>
      </c>
      <c r="C15" s="10">
        <v>1.8742917000000001E-2</v>
      </c>
      <c r="D15" s="9">
        <v>0.69199999999999995</v>
      </c>
      <c r="E15" s="9">
        <v>46.66</v>
      </c>
      <c r="F15" s="9">
        <v>2.1</v>
      </c>
      <c r="G15" s="9">
        <v>0.51600000000000001</v>
      </c>
      <c r="H15" s="8">
        <v>0</v>
      </c>
      <c r="I15" s="9">
        <f t="shared" si="5"/>
        <v>1.47</v>
      </c>
      <c r="J15" s="9">
        <f t="shared" si="6"/>
        <v>0.25800000000000001</v>
      </c>
      <c r="K15" s="8">
        <v>32</v>
      </c>
      <c r="L15" s="13">
        <f t="shared" si="2"/>
        <v>62</v>
      </c>
      <c r="M15" s="13">
        <f t="shared" si="3"/>
        <v>0</v>
      </c>
      <c r="N15" s="13">
        <f t="shared" si="4"/>
        <v>0</v>
      </c>
    </row>
    <row r="16" spans="1:14">
      <c r="C16" s="8">
        <f>SUM(C2:C15)</f>
        <v>6.3111209726999986</v>
      </c>
      <c r="M16" s="13">
        <f>SUM(M2:M15)</f>
        <v>61</v>
      </c>
      <c r="N16" s="13">
        <f>SUM(N2:N15)</f>
        <v>10.9</v>
      </c>
    </row>
  </sheetData>
  <pageMargins left="0.7" right="0.7" top="0.75" bottom="0.75" header="0.3" footer="0.3"/>
  <pageSetup scale="81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3"/>
  <sheetViews>
    <sheetView workbookViewId="0">
      <selection activeCell="A8" sqref="A8"/>
    </sheetView>
  </sheetViews>
  <sheetFormatPr defaultRowHeight="15"/>
  <sheetData>
    <row r="1" spans="1:2">
      <c r="A1">
        <v>280</v>
      </c>
      <c r="B1" s="13" t="s">
        <v>54</v>
      </c>
    </row>
    <row r="3" spans="1:2">
      <c r="A3" s="13" t="s">
        <v>62</v>
      </c>
    </row>
    <row r="4" spans="1:2">
      <c r="A4">
        <v>423.4</v>
      </c>
      <c r="B4" t="s">
        <v>56</v>
      </c>
    </row>
    <row r="5" spans="1:2">
      <c r="A5">
        <v>773.8</v>
      </c>
      <c r="B5" t="s">
        <v>57</v>
      </c>
    </row>
    <row r="7" spans="1:2">
      <c r="A7" t="s">
        <v>58</v>
      </c>
    </row>
    <row r="8" spans="1:2">
      <c r="A8">
        <f>A1*A5</f>
        <v>216664</v>
      </c>
      <c r="B8" t="s">
        <v>59</v>
      </c>
    </row>
    <row r="9" spans="1:2">
      <c r="A9">
        <f>A8*0.0000022046226218</f>
        <v>0.47766235572967519</v>
      </c>
      <c r="B9" t="s">
        <v>60</v>
      </c>
    </row>
    <row r="11" spans="1:2">
      <c r="A11" t="s">
        <v>61</v>
      </c>
    </row>
    <row r="12" spans="1:2">
      <c r="A12">
        <f>A1*A4</f>
        <v>118552</v>
      </c>
      <c r="B12" t="s">
        <v>59</v>
      </c>
    </row>
    <row r="13" spans="1:2">
      <c r="A13">
        <f>A12*0.0000022046226218</f>
        <v>0.26136242105963359</v>
      </c>
      <c r="B13" t="s">
        <v>60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A14" sqref="A14"/>
    </sheetView>
  </sheetViews>
  <sheetFormatPr defaultRowHeight="15"/>
  <cols>
    <col min="1" max="1" width="10" bestFit="1" customWidth="1"/>
  </cols>
  <sheetData>
    <row r="1" spans="1:2">
      <c r="A1">
        <v>137241</v>
      </c>
      <c r="B1" s="13" t="s">
        <v>63</v>
      </c>
    </row>
    <row r="2" spans="1:2" s="13" customFormat="1">
      <c r="A2" s="13">
        <f>A1*0.77</f>
        <v>105675.57</v>
      </c>
      <c r="B2" s="13" t="s">
        <v>54</v>
      </c>
    </row>
    <row r="4" spans="1:2">
      <c r="A4" t="s">
        <v>55</v>
      </c>
    </row>
    <row r="5" spans="1:2">
      <c r="A5">
        <v>374.9</v>
      </c>
      <c r="B5" t="s">
        <v>56</v>
      </c>
    </row>
    <row r="6" spans="1:2">
      <c r="A6">
        <v>832.4</v>
      </c>
      <c r="B6" t="s">
        <v>57</v>
      </c>
    </row>
    <row r="8" spans="1:2">
      <c r="A8" t="s">
        <v>58</v>
      </c>
    </row>
    <row r="9" spans="1:2">
      <c r="A9">
        <f>A2*A6</f>
        <v>87964344.46800001</v>
      </c>
      <c r="B9" t="s">
        <v>59</v>
      </c>
    </row>
    <row r="10" spans="1:2">
      <c r="A10">
        <f>A9*0.0000022046226218</f>
        <v>193.92818372596051</v>
      </c>
      <c r="B10" t="s">
        <v>60</v>
      </c>
    </row>
    <row r="12" spans="1:2">
      <c r="A12" t="s">
        <v>61</v>
      </c>
    </row>
    <row r="13" spans="1:2">
      <c r="A13">
        <f>A2*A5</f>
        <v>39617771.193000004</v>
      </c>
      <c r="B13" t="s">
        <v>59</v>
      </c>
    </row>
    <row r="14" spans="1:2">
      <c r="A14">
        <f>A13*0.0000022046226218</f>
        <v>87.342234597384177</v>
      </c>
      <c r="B14" t="s">
        <v>60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N36"/>
  <sheetViews>
    <sheetView workbookViewId="0">
      <selection activeCell="L1" sqref="L1:N2"/>
    </sheetView>
  </sheetViews>
  <sheetFormatPr defaultRowHeight="15"/>
  <cols>
    <col min="1" max="1" width="9.42578125" style="8" bestFit="1" customWidth="1"/>
    <col min="2" max="2" width="7.85546875" style="8" bestFit="1" customWidth="1"/>
    <col min="3" max="3" width="14.7109375" style="10" bestFit="1" customWidth="1"/>
    <col min="4" max="4" width="13.7109375" style="7" customWidth="1"/>
    <col min="5" max="5" width="14.7109375" style="7" bestFit="1" customWidth="1"/>
    <col min="6" max="7" width="13.7109375" style="7" customWidth="1"/>
    <col min="8" max="8" width="11.140625" style="8" bestFit="1" customWidth="1"/>
    <col min="9" max="10" width="11.140625" style="8" customWidth="1"/>
    <col min="11" max="11" width="12.28515625" style="8" bestFit="1" customWidth="1"/>
    <col min="12" max="12" width="14.140625" customWidth="1"/>
    <col min="13" max="13" width="11" customWidth="1"/>
    <col min="15" max="16384" width="9.140625" style="13"/>
  </cols>
  <sheetData>
    <row r="1" spans="1:14" ht="30">
      <c r="A1" s="8" t="s">
        <v>24</v>
      </c>
      <c r="B1" s="8" t="s">
        <v>17</v>
      </c>
      <c r="C1" s="10" t="s">
        <v>23</v>
      </c>
      <c r="D1" s="7" t="s">
        <v>18</v>
      </c>
      <c r="E1" s="7" t="s">
        <v>22</v>
      </c>
      <c r="F1" s="7" t="s">
        <v>19</v>
      </c>
      <c r="G1" s="7" t="s">
        <v>20</v>
      </c>
      <c r="H1" s="8" t="s">
        <v>31</v>
      </c>
      <c r="I1" s="8" t="s">
        <v>26</v>
      </c>
      <c r="J1" s="8" t="s">
        <v>27</v>
      </c>
      <c r="K1" s="8" t="s">
        <v>21</v>
      </c>
      <c r="L1" s="6" t="s">
        <v>28</v>
      </c>
      <c r="M1" s="6" t="s">
        <v>29</v>
      </c>
      <c r="N1" s="6" t="s">
        <v>30</v>
      </c>
    </row>
    <row r="2" spans="1:14">
      <c r="A2" s="8" t="s">
        <v>69</v>
      </c>
      <c r="B2" s="8">
        <v>1200</v>
      </c>
      <c r="C2" s="10">
        <v>51.721203330500003</v>
      </c>
      <c r="D2" s="7">
        <v>0.38900000000000001</v>
      </c>
      <c r="E2" s="7">
        <v>46.66</v>
      </c>
      <c r="F2" s="7">
        <v>2.23</v>
      </c>
      <c r="G2" s="7">
        <v>0.316</v>
      </c>
      <c r="H2" s="8">
        <v>1</v>
      </c>
      <c r="I2" s="31">
        <f>F2</f>
        <v>2.23</v>
      </c>
      <c r="J2" s="31">
        <f>G2</f>
        <v>0.316</v>
      </c>
      <c r="K2" s="8">
        <v>237839</v>
      </c>
      <c r="L2" s="13">
        <f>ROUND(E2*D2*C2*102.79,0)</f>
        <v>96497</v>
      </c>
      <c r="M2" s="13">
        <f>ROUND(I2*L2*0.002205,0)</f>
        <v>474</v>
      </c>
      <c r="N2" s="13">
        <f>ROUND(J2*L2*0.002205,1)</f>
        <v>67.2</v>
      </c>
    </row>
    <row r="3" spans="1:14">
      <c r="A3" s="8" t="s">
        <v>69</v>
      </c>
      <c r="B3" s="8">
        <v>1200</v>
      </c>
      <c r="C3" s="10">
        <v>5.5684435826999996</v>
      </c>
      <c r="D3" s="7">
        <v>0.22</v>
      </c>
      <c r="E3" s="7">
        <v>46.66</v>
      </c>
      <c r="F3" s="7">
        <v>2.23</v>
      </c>
      <c r="G3" s="7">
        <v>0.316</v>
      </c>
      <c r="H3" s="8">
        <v>1</v>
      </c>
      <c r="I3" s="31">
        <f t="shared" ref="I3:I26" si="0">F3</f>
        <v>2.23</v>
      </c>
      <c r="J3" s="31">
        <f t="shared" ref="J3:J26" si="1">G3</f>
        <v>0.316</v>
      </c>
      <c r="K3" s="8">
        <v>2469</v>
      </c>
      <c r="L3" s="13">
        <f t="shared" ref="L3:L35" si="2">ROUND(E3*D3*C3*102.79,0)</f>
        <v>5876</v>
      </c>
      <c r="M3" s="13">
        <f t="shared" ref="M3:M35" si="3">ROUND(I3*L3*0.002205,0)</f>
        <v>29</v>
      </c>
      <c r="N3" s="13">
        <f t="shared" ref="N3:N35" si="4">ROUND(J3*L3*0.002205,1)</f>
        <v>4.0999999999999996</v>
      </c>
    </row>
    <row r="4" spans="1:14">
      <c r="A4" s="8" t="s">
        <v>69</v>
      </c>
      <c r="B4" s="8">
        <v>4200</v>
      </c>
      <c r="C4" s="10">
        <v>3.7040444499999998E-2</v>
      </c>
      <c r="D4" s="7">
        <v>0.309</v>
      </c>
      <c r="E4" s="7">
        <v>46.66</v>
      </c>
      <c r="F4" s="7">
        <v>0.7</v>
      </c>
      <c r="G4" s="7">
        <v>0.09</v>
      </c>
      <c r="H4" s="8">
        <v>1</v>
      </c>
      <c r="I4" s="31">
        <f t="shared" si="0"/>
        <v>0.7</v>
      </c>
      <c r="J4" s="31">
        <f t="shared" si="1"/>
        <v>0.09</v>
      </c>
      <c r="K4" s="8">
        <v>1524</v>
      </c>
      <c r="L4" s="13">
        <f t="shared" si="2"/>
        <v>55</v>
      </c>
      <c r="M4" s="13">
        <f t="shared" si="3"/>
        <v>0</v>
      </c>
      <c r="N4" s="13">
        <f t="shared" si="4"/>
        <v>0</v>
      </c>
    </row>
    <row r="5" spans="1:14">
      <c r="A5" s="8" t="s">
        <v>69</v>
      </c>
      <c r="B5" s="8">
        <v>4200</v>
      </c>
      <c r="C5" s="10">
        <v>2.20739636E-2</v>
      </c>
      <c r="D5" s="7">
        <v>0.309</v>
      </c>
      <c r="E5" s="7">
        <v>46.66</v>
      </c>
      <c r="F5" s="7">
        <v>0.7</v>
      </c>
      <c r="G5" s="7">
        <v>0.09</v>
      </c>
      <c r="H5" s="8">
        <v>1</v>
      </c>
      <c r="I5" s="31">
        <f t="shared" si="0"/>
        <v>0.7</v>
      </c>
      <c r="J5" s="31">
        <f t="shared" si="1"/>
        <v>0.09</v>
      </c>
      <c r="K5" s="8">
        <v>210</v>
      </c>
      <c r="L5" s="13">
        <f t="shared" si="2"/>
        <v>33</v>
      </c>
      <c r="M5" s="13">
        <f t="shared" si="3"/>
        <v>0</v>
      </c>
      <c r="N5" s="13">
        <f t="shared" si="4"/>
        <v>0</v>
      </c>
    </row>
    <row r="6" spans="1:14">
      <c r="A6" s="8" t="s">
        <v>69</v>
      </c>
      <c r="B6" s="8">
        <v>4200</v>
      </c>
      <c r="C6" s="10">
        <v>1.53165661E-2</v>
      </c>
      <c r="D6" s="7">
        <v>0.309</v>
      </c>
      <c r="E6" s="7">
        <v>46.66</v>
      </c>
      <c r="F6" s="7">
        <v>0.7</v>
      </c>
      <c r="G6" s="7">
        <v>0.09</v>
      </c>
      <c r="H6" s="8">
        <v>1</v>
      </c>
      <c r="I6" s="31">
        <f t="shared" si="0"/>
        <v>0.7</v>
      </c>
      <c r="J6" s="31">
        <f t="shared" si="1"/>
        <v>0.09</v>
      </c>
      <c r="K6" s="8">
        <v>2877</v>
      </c>
      <c r="L6" s="13">
        <f t="shared" si="2"/>
        <v>23</v>
      </c>
      <c r="M6" s="13">
        <f t="shared" si="3"/>
        <v>0</v>
      </c>
      <c r="N6" s="13">
        <f t="shared" si="4"/>
        <v>0</v>
      </c>
    </row>
    <row r="7" spans="1:14">
      <c r="A7" s="8" t="s">
        <v>69</v>
      </c>
      <c r="B7" s="8">
        <v>1300</v>
      </c>
      <c r="C7" s="10">
        <v>9.0998973600000005E-2</v>
      </c>
      <c r="D7" s="7">
        <v>0.69199999999999995</v>
      </c>
      <c r="E7" s="7">
        <v>46.66</v>
      </c>
      <c r="F7" s="7">
        <v>2.1</v>
      </c>
      <c r="G7" s="7">
        <v>0.51600000000000001</v>
      </c>
      <c r="H7" s="8">
        <v>1</v>
      </c>
      <c r="I7" s="31">
        <f t="shared" si="0"/>
        <v>2.1</v>
      </c>
      <c r="J7" s="31">
        <f t="shared" si="1"/>
        <v>0.51600000000000001</v>
      </c>
      <c r="K7" s="8">
        <v>1290</v>
      </c>
      <c r="L7" s="13">
        <f t="shared" si="2"/>
        <v>302</v>
      </c>
      <c r="M7" s="13">
        <f t="shared" si="3"/>
        <v>1</v>
      </c>
      <c r="N7" s="13">
        <f t="shared" si="4"/>
        <v>0.3</v>
      </c>
    </row>
    <row r="8" spans="1:14">
      <c r="A8" s="8" t="s">
        <v>69</v>
      </c>
      <c r="B8" s="8">
        <v>4200</v>
      </c>
      <c r="C8" s="10">
        <v>3.9149464999999996E-3</v>
      </c>
      <c r="D8" s="7">
        <v>0.10199999999999999</v>
      </c>
      <c r="E8" s="7">
        <v>46.66</v>
      </c>
      <c r="F8" s="7">
        <v>0.7</v>
      </c>
      <c r="G8" s="7">
        <v>0.09</v>
      </c>
      <c r="H8" s="8">
        <v>1</v>
      </c>
      <c r="I8" s="31">
        <f t="shared" si="0"/>
        <v>0.7</v>
      </c>
      <c r="J8" s="31">
        <f t="shared" si="1"/>
        <v>0.09</v>
      </c>
      <c r="K8" s="8">
        <v>21</v>
      </c>
      <c r="L8" s="13">
        <f t="shared" si="2"/>
        <v>2</v>
      </c>
      <c r="M8" s="13">
        <f t="shared" si="3"/>
        <v>0</v>
      </c>
      <c r="N8" s="13">
        <f t="shared" si="4"/>
        <v>0</v>
      </c>
    </row>
    <row r="9" spans="1:14">
      <c r="A9" s="8" t="s">
        <v>69</v>
      </c>
      <c r="B9" s="8">
        <v>1300</v>
      </c>
      <c r="C9" s="10">
        <v>0.71287680929999997</v>
      </c>
      <c r="D9" s="7">
        <v>0.63100000000000001</v>
      </c>
      <c r="E9" s="7">
        <v>46.66</v>
      </c>
      <c r="F9" s="7">
        <v>2.1</v>
      </c>
      <c r="G9" s="7">
        <v>0.51600000000000001</v>
      </c>
      <c r="H9" s="8">
        <v>1</v>
      </c>
      <c r="I9" s="31">
        <f t="shared" si="0"/>
        <v>2.1</v>
      </c>
      <c r="J9" s="31">
        <f t="shared" si="1"/>
        <v>0.51600000000000001</v>
      </c>
      <c r="K9" s="8">
        <v>1110</v>
      </c>
      <c r="L9" s="13">
        <f t="shared" si="2"/>
        <v>2157</v>
      </c>
      <c r="M9" s="13">
        <f t="shared" si="3"/>
        <v>10</v>
      </c>
      <c r="N9" s="13">
        <f t="shared" si="4"/>
        <v>2.5</v>
      </c>
    </row>
    <row r="10" spans="1:14">
      <c r="A10" s="8" t="s">
        <v>69</v>
      </c>
      <c r="B10" s="8">
        <v>1300</v>
      </c>
      <c r="C10" s="10">
        <v>15.6504423019</v>
      </c>
      <c r="D10" s="7">
        <v>0.69199999999999995</v>
      </c>
      <c r="E10" s="7">
        <v>46.66</v>
      </c>
      <c r="F10" s="7">
        <v>2.1</v>
      </c>
      <c r="G10" s="7">
        <v>0.51600000000000001</v>
      </c>
      <c r="H10" s="8">
        <v>1</v>
      </c>
      <c r="I10" s="31">
        <f t="shared" si="0"/>
        <v>2.1</v>
      </c>
      <c r="J10" s="31">
        <f t="shared" si="1"/>
        <v>0.51600000000000001</v>
      </c>
      <c r="K10" s="8">
        <v>29837</v>
      </c>
      <c r="L10" s="13">
        <f t="shared" si="2"/>
        <v>51943</v>
      </c>
      <c r="M10" s="13">
        <f t="shared" si="3"/>
        <v>241</v>
      </c>
      <c r="N10" s="13">
        <f t="shared" si="4"/>
        <v>59.1</v>
      </c>
    </row>
    <row r="11" spans="1:14">
      <c r="A11" s="8" t="s">
        <v>69</v>
      </c>
      <c r="B11" s="8">
        <v>1300</v>
      </c>
      <c r="C11" s="10">
        <v>8.2547461306999992</v>
      </c>
      <c r="D11" s="7">
        <v>0.63100000000000001</v>
      </c>
      <c r="E11" s="7">
        <v>46.66</v>
      </c>
      <c r="F11" s="7">
        <v>2.1</v>
      </c>
      <c r="G11" s="7">
        <v>0.51600000000000001</v>
      </c>
      <c r="H11" s="8">
        <v>1</v>
      </c>
      <c r="I11" s="31">
        <f t="shared" si="0"/>
        <v>2.1</v>
      </c>
      <c r="J11" s="31">
        <f t="shared" si="1"/>
        <v>0.51600000000000001</v>
      </c>
      <c r="K11" s="8">
        <v>9415</v>
      </c>
      <c r="L11" s="13">
        <f t="shared" si="2"/>
        <v>24982</v>
      </c>
      <c r="M11" s="13">
        <f t="shared" si="3"/>
        <v>116</v>
      </c>
      <c r="N11" s="13">
        <f t="shared" si="4"/>
        <v>28.4</v>
      </c>
    </row>
    <row r="12" spans="1:14">
      <c r="A12" s="8" t="s">
        <v>69</v>
      </c>
      <c r="B12" s="8">
        <v>3200</v>
      </c>
      <c r="C12" s="10">
        <v>1.4357019E-3</v>
      </c>
      <c r="D12" s="7">
        <v>0.28699999999999998</v>
      </c>
      <c r="E12" s="7">
        <v>46.66</v>
      </c>
      <c r="F12" s="7">
        <v>1.2</v>
      </c>
      <c r="G12" s="7">
        <v>6.4000000000000001E-2</v>
      </c>
      <c r="H12" s="8">
        <v>1</v>
      </c>
      <c r="I12" s="31">
        <f t="shared" si="0"/>
        <v>1.2</v>
      </c>
      <c r="J12" s="31">
        <f t="shared" si="1"/>
        <v>6.4000000000000001E-2</v>
      </c>
      <c r="K12" s="8">
        <v>15</v>
      </c>
      <c r="L12" s="13">
        <f t="shared" si="2"/>
        <v>2</v>
      </c>
      <c r="M12" s="13">
        <f t="shared" si="3"/>
        <v>0</v>
      </c>
      <c r="N12" s="13">
        <f t="shared" si="4"/>
        <v>0</v>
      </c>
    </row>
    <row r="13" spans="1:14">
      <c r="A13" s="8" t="s">
        <v>69</v>
      </c>
      <c r="B13" s="8">
        <v>3200</v>
      </c>
      <c r="C13" s="10">
        <v>2.8621122000000001E-3</v>
      </c>
      <c r="D13" s="7">
        <v>0.06</v>
      </c>
      <c r="E13" s="7">
        <v>46.66</v>
      </c>
      <c r="F13" s="7">
        <v>1.2</v>
      </c>
      <c r="G13" s="7">
        <v>6.4000000000000001E-2</v>
      </c>
      <c r="H13" s="8">
        <v>1</v>
      </c>
      <c r="I13" s="31">
        <f t="shared" si="0"/>
        <v>1.2</v>
      </c>
      <c r="J13" s="31">
        <f t="shared" si="1"/>
        <v>6.4000000000000001E-2</v>
      </c>
      <c r="K13" s="8">
        <v>13</v>
      </c>
      <c r="L13" s="13">
        <f t="shared" si="2"/>
        <v>1</v>
      </c>
      <c r="M13" s="13">
        <f t="shared" si="3"/>
        <v>0</v>
      </c>
      <c r="N13" s="13">
        <f t="shared" si="4"/>
        <v>0</v>
      </c>
    </row>
    <row r="14" spans="1:14">
      <c r="A14" s="8" t="s">
        <v>69</v>
      </c>
      <c r="B14" s="8">
        <v>3200</v>
      </c>
      <c r="C14" s="10">
        <v>7.7391660775000002</v>
      </c>
      <c r="D14" s="7">
        <v>0.28699999999999998</v>
      </c>
      <c r="E14" s="7">
        <v>46.66</v>
      </c>
      <c r="F14" s="7">
        <v>1.2</v>
      </c>
      <c r="G14" s="7">
        <v>6.4000000000000001E-2</v>
      </c>
      <c r="H14" s="8">
        <v>1</v>
      </c>
      <c r="I14" s="31">
        <f t="shared" si="0"/>
        <v>1.2</v>
      </c>
      <c r="J14" s="31">
        <f t="shared" si="1"/>
        <v>6.4000000000000001E-2</v>
      </c>
      <c r="K14" s="8">
        <v>3733</v>
      </c>
      <c r="L14" s="13">
        <f t="shared" si="2"/>
        <v>10653</v>
      </c>
      <c r="M14" s="13">
        <f t="shared" si="3"/>
        <v>28</v>
      </c>
      <c r="N14" s="13">
        <f t="shared" si="4"/>
        <v>1.5</v>
      </c>
    </row>
    <row r="15" spans="1:14">
      <c r="A15" s="8" t="s">
        <v>69</v>
      </c>
      <c r="B15" s="8">
        <v>1200</v>
      </c>
      <c r="C15" s="10">
        <v>0.1028114025</v>
      </c>
      <c r="D15" s="7">
        <v>0.22</v>
      </c>
      <c r="E15" s="7">
        <v>46.66</v>
      </c>
      <c r="F15" s="7">
        <v>2.23</v>
      </c>
      <c r="G15" s="7">
        <v>0.316</v>
      </c>
      <c r="H15" s="8">
        <v>1</v>
      </c>
      <c r="I15" s="31">
        <f t="shared" si="0"/>
        <v>2.23</v>
      </c>
      <c r="J15" s="31">
        <f t="shared" si="1"/>
        <v>0.316</v>
      </c>
      <c r="K15" s="8">
        <v>64</v>
      </c>
      <c r="L15" s="13">
        <f t="shared" si="2"/>
        <v>108</v>
      </c>
      <c r="M15" s="13">
        <f t="shared" si="3"/>
        <v>1</v>
      </c>
      <c r="N15" s="13">
        <f t="shared" si="4"/>
        <v>0.1</v>
      </c>
    </row>
    <row r="16" spans="1:14">
      <c r="A16" s="8" t="s">
        <v>69</v>
      </c>
      <c r="B16" s="8">
        <v>1300</v>
      </c>
      <c r="C16" s="10">
        <v>3.2278103999999999E-3</v>
      </c>
      <c r="D16" s="7">
        <v>0.69199999999999995</v>
      </c>
      <c r="E16" s="7">
        <v>46.66</v>
      </c>
      <c r="F16" s="7">
        <v>2.1</v>
      </c>
      <c r="G16" s="7">
        <v>0.51600000000000001</v>
      </c>
      <c r="H16" s="8">
        <v>1</v>
      </c>
      <c r="I16" s="31">
        <f t="shared" si="0"/>
        <v>2.1</v>
      </c>
      <c r="J16" s="31">
        <f t="shared" si="1"/>
        <v>0.51600000000000001</v>
      </c>
      <c r="K16" s="8">
        <v>16</v>
      </c>
      <c r="L16" s="13">
        <f t="shared" si="2"/>
        <v>11</v>
      </c>
      <c r="M16" s="13">
        <f t="shared" si="3"/>
        <v>0</v>
      </c>
      <c r="N16" s="13">
        <f t="shared" si="4"/>
        <v>0</v>
      </c>
    </row>
    <row r="17" spans="1:14">
      <c r="A17" s="8" t="s">
        <v>69</v>
      </c>
      <c r="B17" s="8">
        <v>3300</v>
      </c>
      <c r="C17" s="10">
        <v>9.7032543299999996E-2</v>
      </c>
      <c r="D17" s="7">
        <v>0.28699999999999998</v>
      </c>
      <c r="E17" s="7">
        <v>46.66</v>
      </c>
      <c r="F17" s="7">
        <v>1.2</v>
      </c>
      <c r="G17" s="7">
        <v>6.4000000000000001E-2</v>
      </c>
      <c r="H17" s="8">
        <v>1</v>
      </c>
      <c r="I17" s="31">
        <f t="shared" si="0"/>
        <v>1.2</v>
      </c>
      <c r="J17" s="31">
        <f t="shared" si="1"/>
        <v>6.4000000000000001E-2</v>
      </c>
      <c r="K17" s="8">
        <v>47</v>
      </c>
      <c r="L17" s="13">
        <f t="shared" si="2"/>
        <v>134</v>
      </c>
      <c r="M17" s="13">
        <f t="shared" si="3"/>
        <v>0</v>
      </c>
      <c r="N17" s="13">
        <f t="shared" si="4"/>
        <v>0</v>
      </c>
    </row>
    <row r="18" spans="1:14">
      <c r="A18" s="8" t="s">
        <v>69</v>
      </c>
      <c r="B18" s="8">
        <v>1400</v>
      </c>
      <c r="C18" s="10">
        <v>1.9897729506999999</v>
      </c>
      <c r="D18" s="7">
        <v>0.88800000000000001</v>
      </c>
      <c r="E18" s="7">
        <v>46.66</v>
      </c>
      <c r="F18" s="7">
        <v>1.93</v>
      </c>
      <c r="G18" s="7">
        <v>0.497</v>
      </c>
      <c r="H18" s="8">
        <v>1</v>
      </c>
      <c r="I18" s="31">
        <f t="shared" si="0"/>
        <v>1.93</v>
      </c>
      <c r="J18" s="31">
        <f t="shared" si="1"/>
        <v>0.497</v>
      </c>
      <c r="K18" s="8">
        <v>12532</v>
      </c>
      <c r="L18" s="13">
        <f t="shared" si="2"/>
        <v>8474</v>
      </c>
      <c r="M18" s="13">
        <f t="shared" si="3"/>
        <v>36</v>
      </c>
      <c r="N18" s="13">
        <f t="shared" si="4"/>
        <v>9.3000000000000007</v>
      </c>
    </row>
    <row r="19" spans="1:14">
      <c r="A19" s="8" t="s">
        <v>69</v>
      </c>
      <c r="B19" s="8">
        <v>1400</v>
      </c>
      <c r="C19" s="10">
        <v>8.1611964300000006E-2</v>
      </c>
      <c r="D19" s="7">
        <v>0.88800000000000001</v>
      </c>
      <c r="E19" s="7">
        <v>46.66</v>
      </c>
      <c r="F19" s="7">
        <v>1.93</v>
      </c>
      <c r="G19" s="7">
        <v>0.497</v>
      </c>
      <c r="H19" s="8">
        <v>1</v>
      </c>
      <c r="I19" s="31">
        <f t="shared" si="0"/>
        <v>1.93</v>
      </c>
      <c r="J19" s="31">
        <f t="shared" si="1"/>
        <v>0.497</v>
      </c>
      <c r="K19" s="8">
        <v>4537</v>
      </c>
      <c r="L19" s="13">
        <f t="shared" si="2"/>
        <v>348</v>
      </c>
      <c r="M19" s="13">
        <f t="shared" si="3"/>
        <v>1</v>
      </c>
      <c r="N19" s="13">
        <f t="shared" si="4"/>
        <v>0.4</v>
      </c>
    </row>
    <row r="20" spans="1:14">
      <c r="A20" s="8" t="s">
        <v>69</v>
      </c>
      <c r="B20" s="8">
        <v>3300</v>
      </c>
      <c r="C20" s="10">
        <v>2.0338757819</v>
      </c>
      <c r="D20" s="7">
        <v>0.28699999999999998</v>
      </c>
      <c r="E20" s="7">
        <v>46.66</v>
      </c>
      <c r="F20" s="7">
        <v>1.2</v>
      </c>
      <c r="G20" s="7">
        <v>6.4000000000000001E-2</v>
      </c>
      <c r="H20" s="8">
        <v>1</v>
      </c>
      <c r="I20" s="31">
        <f t="shared" si="0"/>
        <v>1.2</v>
      </c>
      <c r="J20" s="31">
        <f t="shared" si="1"/>
        <v>6.4000000000000001E-2</v>
      </c>
      <c r="K20" s="8">
        <v>981</v>
      </c>
      <c r="L20" s="13">
        <f t="shared" si="2"/>
        <v>2800</v>
      </c>
      <c r="M20" s="13">
        <f t="shared" si="3"/>
        <v>7</v>
      </c>
      <c r="N20" s="13">
        <f t="shared" si="4"/>
        <v>0.4</v>
      </c>
    </row>
    <row r="21" spans="1:14">
      <c r="A21" s="8" t="s">
        <v>69</v>
      </c>
      <c r="B21" s="8">
        <v>3300</v>
      </c>
      <c r="C21" s="10">
        <v>0.4601797192</v>
      </c>
      <c r="D21" s="7">
        <v>0.28699999999999998</v>
      </c>
      <c r="E21" s="7">
        <v>46.66</v>
      </c>
      <c r="F21" s="7">
        <v>1.2</v>
      </c>
      <c r="G21" s="7">
        <v>6.4000000000000001E-2</v>
      </c>
      <c r="H21" s="8">
        <v>1</v>
      </c>
      <c r="I21" s="31">
        <f t="shared" si="0"/>
        <v>1.2</v>
      </c>
      <c r="J21" s="31">
        <f t="shared" si="1"/>
        <v>6.4000000000000001E-2</v>
      </c>
      <c r="K21" s="8">
        <v>222</v>
      </c>
      <c r="L21" s="13">
        <f t="shared" si="2"/>
        <v>633</v>
      </c>
      <c r="M21" s="13">
        <f t="shared" si="3"/>
        <v>2</v>
      </c>
      <c r="N21" s="13">
        <f t="shared" si="4"/>
        <v>0.1</v>
      </c>
    </row>
    <row r="22" spans="1:14">
      <c r="A22" s="8" t="s">
        <v>69</v>
      </c>
      <c r="B22" s="8">
        <v>3200</v>
      </c>
      <c r="C22" s="10">
        <v>0.27113857479999998</v>
      </c>
      <c r="D22" s="7">
        <v>0.28699999999999998</v>
      </c>
      <c r="E22" s="7">
        <v>46.66</v>
      </c>
      <c r="F22" s="7">
        <v>1.2</v>
      </c>
      <c r="G22" s="7">
        <v>6.4000000000000001E-2</v>
      </c>
      <c r="H22" s="8">
        <v>1</v>
      </c>
      <c r="I22" s="31">
        <f t="shared" si="0"/>
        <v>1.2</v>
      </c>
      <c r="J22" s="31">
        <f t="shared" si="1"/>
        <v>6.4000000000000001E-2</v>
      </c>
      <c r="K22" s="8">
        <v>131</v>
      </c>
      <c r="L22" s="13">
        <f t="shared" si="2"/>
        <v>373</v>
      </c>
      <c r="M22" s="13">
        <f t="shared" si="3"/>
        <v>1</v>
      </c>
      <c r="N22" s="13">
        <f t="shared" si="4"/>
        <v>0.1</v>
      </c>
    </row>
    <row r="23" spans="1:14">
      <c r="A23" s="8" t="s">
        <v>69</v>
      </c>
      <c r="B23" s="8">
        <v>3300</v>
      </c>
      <c r="C23" s="10">
        <v>4.0217592477000004</v>
      </c>
      <c r="D23" s="7">
        <v>0.28699999999999998</v>
      </c>
      <c r="E23" s="7">
        <v>46.66</v>
      </c>
      <c r="F23" s="7">
        <v>1.2</v>
      </c>
      <c r="G23" s="7">
        <v>6.4000000000000001E-2</v>
      </c>
      <c r="H23" s="8">
        <v>1</v>
      </c>
      <c r="I23" s="31">
        <f t="shared" si="0"/>
        <v>1.2</v>
      </c>
      <c r="J23" s="31">
        <f t="shared" si="1"/>
        <v>6.4000000000000001E-2</v>
      </c>
      <c r="K23" s="8">
        <v>1997</v>
      </c>
      <c r="L23" s="13">
        <f t="shared" si="2"/>
        <v>5536</v>
      </c>
      <c r="M23" s="13">
        <f t="shared" si="3"/>
        <v>15</v>
      </c>
      <c r="N23" s="13">
        <f t="shared" si="4"/>
        <v>0.8</v>
      </c>
    </row>
    <row r="24" spans="1:14">
      <c r="A24" s="8" t="s">
        <v>69</v>
      </c>
      <c r="B24" s="8">
        <v>3300</v>
      </c>
      <c r="C24" s="10">
        <v>0.23320683480000001</v>
      </c>
      <c r="D24" s="7">
        <v>0.28699999999999998</v>
      </c>
      <c r="E24" s="7">
        <v>46.66</v>
      </c>
      <c r="F24" s="7">
        <v>1.2</v>
      </c>
      <c r="G24" s="7">
        <v>6.4000000000000001E-2</v>
      </c>
      <c r="H24" s="8">
        <v>1</v>
      </c>
      <c r="I24" s="31">
        <f t="shared" si="0"/>
        <v>1.2</v>
      </c>
      <c r="J24" s="31">
        <f t="shared" si="1"/>
        <v>6.4000000000000001E-2</v>
      </c>
      <c r="K24" s="8">
        <v>112</v>
      </c>
      <c r="L24" s="13">
        <f t="shared" si="2"/>
        <v>321</v>
      </c>
      <c r="M24" s="13">
        <f t="shared" si="3"/>
        <v>1</v>
      </c>
      <c r="N24" s="13">
        <f t="shared" si="4"/>
        <v>0</v>
      </c>
    </row>
    <row r="25" spans="1:14">
      <c r="A25" s="8" t="s">
        <v>69</v>
      </c>
      <c r="B25" s="8">
        <v>3300</v>
      </c>
      <c r="C25" s="10">
        <v>0.36082743569999998</v>
      </c>
      <c r="D25" s="7">
        <v>0.28699999999999998</v>
      </c>
      <c r="E25" s="7">
        <v>46.66</v>
      </c>
      <c r="F25" s="7">
        <v>1.2</v>
      </c>
      <c r="G25" s="7">
        <v>6.4000000000000001E-2</v>
      </c>
      <c r="H25" s="8">
        <v>1</v>
      </c>
      <c r="I25" s="31">
        <f t="shared" si="0"/>
        <v>1.2</v>
      </c>
      <c r="J25" s="31">
        <f t="shared" si="1"/>
        <v>6.4000000000000001E-2</v>
      </c>
      <c r="K25" s="8">
        <v>174</v>
      </c>
      <c r="L25" s="13">
        <f t="shared" si="2"/>
        <v>497</v>
      </c>
      <c r="M25" s="13">
        <f t="shared" si="3"/>
        <v>1</v>
      </c>
      <c r="N25" s="13">
        <f t="shared" si="4"/>
        <v>0.1</v>
      </c>
    </row>
    <row r="26" spans="1:14">
      <c r="A26" s="8" t="s">
        <v>69</v>
      </c>
      <c r="B26" s="8">
        <v>3200</v>
      </c>
      <c r="C26" s="10">
        <v>0.15793298150000001</v>
      </c>
      <c r="D26" s="7">
        <v>0.28699999999999998</v>
      </c>
      <c r="E26" s="7">
        <v>46.66</v>
      </c>
      <c r="F26" s="7">
        <v>1.2</v>
      </c>
      <c r="G26" s="7">
        <v>6.4000000000000001E-2</v>
      </c>
      <c r="H26" s="8">
        <v>1</v>
      </c>
      <c r="I26" s="31">
        <f t="shared" si="0"/>
        <v>1.2</v>
      </c>
      <c r="J26" s="31">
        <f t="shared" si="1"/>
        <v>6.4000000000000001E-2</v>
      </c>
      <c r="K26" s="8">
        <v>76</v>
      </c>
      <c r="L26" s="13">
        <f t="shared" si="2"/>
        <v>217</v>
      </c>
      <c r="M26" s="13">
        <f t="shared" si="3"/>
        <v>1</v>
      </c>
      <c r="N26" s="13">
        <f t="shared" si="4"/>
        <v>0</v>
      </c>
    </row>
    <row r="27" spans="1:14">
      <c r="A27" s="8" t="s">
        <v>69</v>
      </c>
      <c r="B27" s="8">
        <v>1200</v>
      </c>
      <c r="C27" s="10">
        <v>0.1240319963</v>
      </c>
      <c r="D27" s="7">
        <v>0.38900000000000001</v>
      </c>
      <c r="E27" s="7">
        <v>46.66</v>
      </c>
      <c r="F27" s="7">
        <v>2.23</v>
      </c>
      <c r="G27" s="7">
        <v>0.316</v>
      </c>
      <c r="H27" s="8">
        <v>0</v>
      </c>
      <c r="I27" s="31">
        <f>F27*0.7</f>
        <v>1.5609999999999999</v>
      </c>
      <c r="J27" s="31">
        <f>G27*0.5</f>
        <v>0.158</v>
      </c>
      <c r="K27" s="8">
        <v>81</v>
      </c>
      <c r="L27" s="13">
        <f t="shared" si="2"/>
        <v>231</v>
      </c>
      <c r="M27" s="13">
        <f t="shared" si="3"/>
        <v>1</v>
      </c>
      <c r="N27" s="13">
        <f t="shared" si="4"/>
        <v>0.1</v>
      </c>
    </row>
    <row r="28" spans="1:14">
      <c r="A28" s="8" t="s">
        <v>69</v>
      </c>
      <c r="B28" s="8">
        <v>1300</v>
      </c>
      <c r="C28" s="10">
        <v>0.1027432335</v>
      </c>
      <c r="D28" s="7">
        <v>0.63100000000000001</v>
      </c>
      <c r="E28" s="7">
        <v>46.66</v>
      </c>
      <c r="F28" s="7">
        <v>2.1</v>
      </c>
      <c r="G28" s="7">
        <v>0.51600000000000001</v>
      </c>
      <c r="H28" s="8">
        <v>0</v>
      </c>
      <c r="I28" s="31">
        <f t="shared" ref="I28:I35" si="5">F28*0.7</f>
        <v>1.47</v>
      </c>
      <c r="J28" s="31">
        <f t="shared" ref="J28:J35" si="6">G28*0.5</f>
        <v>0.25800000000000001</v>
      </c>
      <c r="K28" s="8">
        <v>381</v>
      </c>
      <c r="L28" s="13">
        <f t="shared" si="2"/>
        <v>311</v>
      </c>
      <c r="M28" s="13">
        <f t="shared" si="3"/>
        <v>1</v>
      </c>
      <c r="N28" s="13">
        <f t="shared" si="4"/>
        <v>0.2</v>
      </c>
    </row>
    <row r="29" spans="1:14">
      <c r="A29" s="8" t="s">
        <v>69</v>
      </c>
      <c r="B29" s="8">
        <v>1200</v>
      </c>
      <c r="C29" s="10">
        <v>0.28802642899999997</v>
      </c>
      <c r="D29" s="7">
        <v>0.38900000000000001</v>
      </c>
      <c r="E29" s="7">
        <v>46.66</v>
      </c>
      <c r="F29" s="7">
        <v>2.23</v>
      </c>
      <c r="G29" s="7">
        <v>0.316</v>
      </c>
      <c r="H29" s="8">
        <v>0</v>
      </c>
      <c r="I29" s="31">
        <f t="shared" si="5"/>
        <v>1.5609999999999999</v>
      </c>
      <c r="J29" s="31">
        <f t="shared" si="6"/>
        <v>0.158</v>
      </c>
      <c r="K29" s="8">
        <v>188</v>
      </c>
      <c r="L29" s="13">
        <f t="shared" si="2"/>
        <v>537</v>
      </c>
      <c r="M29" s="13">
        <f t="shared" si="3"/>
        <v>2</v>
      </c>
      <c r="N29" s="13">
        <f t="shared" si="4"/>
        <v>0.2</v>
      </c>
    </row>
    <row r="30" spans="1:14">
      <c r="A30" s="8" t="s">
        <v>69</v>
      </c>
      <c r="B30" s="8">
        <v>1300</v>
      </c>
      <c r="C30" s="10">
        <v>0.3341522556</v>
      </c>
      <c r="D30" s="7">
        <v>0.69199999999999995</v>
      </c>
      <c r="E30" s="7">
        <v>46.66</v>
      </c>
      <c r="F30" s="7">
        <v>2.1</v>
      </c>
      <c r="G30" s="7">
        <v>0.51600000000000001</v>
      </c>
      <c r="H30" s="8">
        <v>0</v>
      </c>
      <c r="I30" s="31">
        <f t="shared" si="5"/>
        <v>1.47</v>
      </c>
      <c r="J30" s="31">
        <f t="shared" si="6"/>
        <v>0.25800000000000001</v>
      </c>
      <c r="K30" s="8">
        <v>6217</v>
      </c>
      <c r="L30" s="13">
        <f t="shared" si="2"/>
        <v>1109</v>
      </c>
      <c r="M30" s="13">
        <f t="shared" si="3"/>
        <v>4</v>
      </c>
      <c r="N30" s="13">
        <f t="shared" si="4"/>
        <v>0.6</v>
      </c>
    </row>
    <row r="31" spans="1:14">
      <c r="A31" s="8" t="s">
        <v>69</v>
      </c>
      <c r="B31" s="8">
        <v>1200</v>
      </c>
      <c r="C31" s="10">
        <v>3.5563614600000001E-2</v>
      </c>
      <c r="D31" s="7">
        <v>0.22</v>
      </c>
      <c r="E31" s="7">
        <v>46.66</v>
      </c>
      <c r="F31" s="7">
        <v>2.23</v>
      </c>
      <c r="G31" s="7">
        <v>0.316</v>
      </c>
      <c r="H31" s="8">
        <v>0</v>
      </c>
      <c r="I31" s="31">
        <f t="shared" si="5"/>
        <v>1.5609999999999999</v>
      </c>
      <c r="J31" s="31">
        <f t="shared" si="6"/>
        <v>0.158</v>
      </c>
      <c r="K31" s="8">
        <v>24</v>
      </c>
      <c r="L31" s="13">
        <f t="shared" si="2"/>
        <v>38</v>
      </c>
      <c r="M31" s="13">
        <f t="shared" si="3"/>
        <v>0</v>
      </c>
      <c r="N31" s="13">
        <f t="shared" si="4"/>
        <v>0</v>
      </c>
    </row>
    <row r="32" spans="1:14">
      <c r="A32" s="8" t="s">
        <v>69</v>
      </c>
      <c r="B32" s="8">
        <v>1200</v>
      </c>
      <c r="C32" s="10">
        <v>4.67770801E-2</v>
      </c>
      <c r="D32" s="7">
        <v>0.38900000000000001</v>
      </c>
      <c r="E32" s="7">
        <v>46.66</v>
      </c>
      <c r="F32" s="7">
        <v>2.23</v>
      </c>
      <c r="G32" s="7">
        <v>0.316</v>
      </c>
      <c r="H32" s="8">
        <v>0</v>
      </c>
      <c r="I32" s="31">
        <f t="shared" si="5"/>
        <v>1.5609999999999999</v>
      </c>
      <c r="J32" s="31">
        <f t="shared" si="6"/>
        <v>0.158</v>
      </c>
      <c r="K32" s="8">
        <v>31</v>
      </c>
      <c r="L32" s="13">
        <f t="shared" si="2"/>
        <v>87</v>
      </c>
      <c r="M32" s="13">
        <f t="shared" si="3"/>
        <v>0</v>
      </c>
      <c r="N32" s="13">
        <f t="shared" si="4"/>
        <v>0</v>
      </c>
    </row>
    <row r="33" spans="1:14">
      <c r="A33" s="8" t="s">
        <v>69</v>
      </c>
      <c r="B33" s="8">
        <v>1300</v>
      </c>
      <c r="C33" s="10">
        <v>5.63990334E-2</v>
      </c>
      <c r="D33" s="7">
        <v>0.69199999999999995</v>
      </c>
      <c r="E33" s="7">
        <v>46.66</v>
      </c>
      <c r="F33" s="7">
        <v>2.1</v>
      </c>
      <c r="G33" s="7">
        <v>0.51600000000000001</v>
      </c>
      <c r="H33" s="8">
        <v>0</v>
      </c>
      <c r="I33" s="31">
        <f t="shared" si="5"/>
        <v>1.47</v>
      </c>
      <c r="J33" s="31">
        <f t="shared" si="6"/>
        <v>0.25800000000000001</v>
      </c>
      <c r="K33" s="8">
        <v>1132</v>
      </c>
      <c r="L33" s="13">
        <f t="shared" si="2"/>
        <v>187</v>
      </c>
      <c r="M33" s="13">
        <f t="shared" si="3"/>
        <v>1</v>
      </c>
      <c r="N33" s="13">
        <f t="shared" si="4"/>
        <v>0.1</v>
      </c>
    </row>
    <row r="34" spans="1:14">
      <c r="A34" s="8" t="s">
        <v>69</v>
      </c>
      <c r="B34" s="8">
        <v>1400</v>
      </c>
      <c r="C34" s="10">
        <v>0.44060404720000002</v>
      </c>
      <c r="D34" s="7">
        <v>0.88800000000000001</v>
      </c>
      <c r="E34" s="7">
        <v>46.66</v>
      </c>
      <c r="F34" s="7">
        <v>1.93</v>
      </c>
      <c r="G34" s="7">
        <v>0.497</v>
      </c>
      <c r="H34" s="8">
        <v>0</v>
      </c>
      <c r="I34" s="31">
        <f t="shared" si="5"/>
        <v>1.351</v>
      </c>
      <c r="J34" s="31">
        <f t="shared" si="6"/>
        <v>0.2485</v>
      </c>
      <c r="K34" s="8">
        <v>658</v>
      </c>
      <c r="L34" s="13">
        <f t="shared" si="2"/>
        <v>1877</v>
      </c>
      <c r="M34" s="13">
        <f t="shared" si="3"/>
        <v>6</v>
      </c>
      <c r="N34" s="13">
        <f t="shared" si="4"/>
        <v>1</v>
      </c>
    </row>
    <row r="35" spans="1:14">
      <c r="A35" s="8" t="s">
        <v>69</v>
      </c>
      <c r="B35" s="8">
        <v>1300</v>
      </c>
      <c r="C35" s="10">
        <v>0.2288102058</v>
      </c>
      <c r="D35" s="7">
        <v>0.69199999999999995</v>
      </c>
      <c r="E35" s="7">
        <v>46.66</v>
      </c>
      <c r="F35" s="7">
        <v>2.1</v>
      </c>
      <c r="G35" s="7">
        <v>0.51600000000000001</v>
      </c>
      <c r="H35" s="8">
        <v>0</v>
      </c>
      <c r="I35" s="31">
        <f t="shared" si="5"/>
        <v>1.47</v>
      </c>
      <c r="J35" s="31">
        <f t="shared" si="6"/>
        <v>0.25800000000000001</v>
      </c>
      <c r="K35" s="8">
        <v>266</v>
      </c>
      <c r="L35" s="13">
        <f t="shared" si="2"/>
        <v>759</v>
      </c>
      <c r="M35" s="13">
        <f t="shared" si="3"/>
        <v>2</v>
      </c>
      <c r="N35" s="13">
        <f t="shared" si="4"/>
        <v>0.4</v>
      </c>
    </row>
    <row r="36" spans="1:14">
      <c r="C36" s="10">
        <f>SUM(C2:C35)</f>
        <v>101.29100608329999</v>
      </c>
      <c r="M36">
        <f>SUM(M2:M35)</f>
        <v>982</v>
      </c>
      <c r="N36">
        <f>SUM(N2:N35)</f>
        <v>176.99999999999997</v>
      </c>
    </row>
  </sheetData>
  <sortState ref="A2:I36">
    <sortCondition descending="1" ref="H1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Project Credit</vt:lpstr>
      <vt:lpstr>Wet Pond Calcs</vt:lpstr>
      <vt:lpstr>Retention Efficiency Calcs</vt:lpstr>
      <vt:lpstr>1 N Osceola Drive</vt:lpstr>
      <vt:lpstr>2 Datura Drive</vt:lpstr>
      <vt:lpstr>3 Coquina Palms</vt:lpstr>
      <vt:lpstr>5 Inlet Cleaning</vt:lpstr>
      <vt:lpstr>6 Street Sweeping</vt:lpstr>
      <vt:lpstr>7 Gleason Park</vt:lpstr>
      <vt:lpstr>8 Atlantic Ave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dcterms:created xsi:type="dcterms:W3CDTF">2010-09-24T12:22:53Z</dcterms:created>
  <dcterms:modified xsi:type="dcterms:W3CDTF">2012-01-12T19:41:47Z</dcterms:modified>
</cp:coreProperties>
</file>