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90" windowWidth="19035" windowHeight="8445"/>
  </bookViews>
  <sheets>
    <sheet name="Project Credit" sheetId="2" r:id="rId1"/>
    <sheet name="Retention Efficiency Calcs" sheetId="21" r:id="rId2"/>
    <sheet name="Wet Pond Efficiency Calcs" sheetId="22" r:id="rId3"/>
    <sheet name="1 Jackson Exfiltration" sheetId="9" r:id="rId4"/>
    <sheet name="2 Pineapple Baffle" sheetId="3" r:id="rId5"/>
    <sheet name="3 Jackson Exfiltration" sheetId="18" r:id="rId6"/>
    <sheet name="4 Orange Baffle" sheetId="4" r:id="rId7"/>
    <sheet name="5 Jackson Exfiltration" sheetId="19" r:id="rId8"/>
    <sheet name="6 Avacado CDS" sheetId="5" r:id="rId9"/>
    <sheet name="7 Jackson Exfiltration" sheetId="20" r:id="rId10"/>
    <sheet name="8 Roosevelt Baffle" sheetId="14" r:id="rId11"/>
    <sheet name="9 Coconut Exfiltration" sheetId="10" r:id="rId12"/>
    <sheet name="10 Desoto Exfiltration" sheetId="6" r:id="rId13"/>
    <sheet name="11 Desoto Exfiltration" sheetId="7" r:id="rId14"/>
    <sheet name="12 Jamaica Ponds" sheetId="11" r:id="rId15"/>
    <sheet name="13 Jamaica Reuse" sheetId="13" r:id="rId16"/>
    <sheet name="14 Desoto Exfiltration" sheetId="8" r:id="rId17"/>
    <sheet name="15 Desoto Baffle" sheetId="12" r:id="rId18"/>
    <sheet name="Cassia 22" sheetId="25" r:id="rId19"/>
    <sheet name="Cassia 23" sheetId="26" r:id="rId20"/>
    <sheet name="Cassia 24" sheetId="27" r:id="rId21"/>
    <sheet name="Cassia 25" sheetId="28" r:id="rId22"/>
    <sheet name="Cassia 26" sheetId="29" r:id="rId23"/>
    <sheet name="North Basin" sheetId="30" r:id="rId24"/>
    <sheet name="Street Sweeping" sheetId="24" r:id="rId25"/>
    <sheet name="C3A" sheetId="31" r:id="rId26"/>
    <sheet name="C3B" sheetId="32" r:id="rId27"/>
    <sheet name="C3C" sheetId="33" r:id="rId28"/>
    <sheet name="C3D" sheetId="34" r:id="rId29"/>
    <sheet name="C3E" sheetId="35" r:id="rId30"/>
    <sheet name="C3F" sheetId="36" r:id="rId31"/>
    <sheet name="C3G" sheetId="37" r:id="rId32"/>
    <sheet name="C5A" sheetId="38" r:id="rId33"/>
    <sheet name="C5B" sheetId="39" r:id="rId34"/>
    <sheet name="C7A" sheetId="40" r:id="rId35"/>
    <sheet name="C7B" sheetId="41" r:id="rId36"/>
    <sheet name="C9A" sheetId="42" r:id="rId37"/>
    <sheet name="C9B" sheetId="43" r:id="rId38"/>
    <sheet name="C13A" sheetId="44" r:id="rId39"/>
    <sheet name="C13B" sheetId="45" r:id="rId40"/>
    <sheet name="C13C" sheetId="46" r:id="rId41"/>
    <sheet name="C13D" sheetId="47" r:id="rId42"/>
    <sheet name="C13E" sheetId="48" r:id="rId43"/>
    <sheet name="C13F" sheetId="49" r:id="rId44"/>
    <sheet name="C13G" sheetId="50" r:id="rId45"/>
  </sheets>
  <calcPr calcId="125725"/>
</workbook>
</file>

<file path=xl/calcChain.xml><?xml version="1.0" encoding="utf-8"?>
<calcChain xmlns="http://schemas.openxmlformats.org/spreadsheetml/2006/main">
  <c r="K42" i="2"/>
  <c r="I42"/>
  <c r="H42"/>
  <c r="F42"/>
  <c r="E42"/>
  <c r="M5" i="48"/>
  <c r="N5"/>
  <c r="N3"/>
  <c r="N4"/>
  <c r="M3"/>
  <c r="M4"/>
  <c r="L3"/>
  <c r="L4"/>
  <c r="L2"/>
  <c r="M2" s="1"/>
  <c r="I3"/>
  <c r="J3"/>
  <c r="I4"/>
  <c r="J4"/>
  <c r="J2"/>
  <c r="I2"/>
  <c r="C5"/>
  <c r="B127" i="21"/>
  <c r="G44" i="2"/>
  <c r="J44"/>
  <c r="K44"/>
  <c r="I44"/>
  <c r="H44"/>
  <c r="F44"/>
  <c r="E44"/>
  <c r="M4" i="50"/>
  <c r="N4"/>
  <c r="N3"/>
  <c r="M3"/>
  <c r="L3"/>
  <c r="L2"/>
  <c r="N2"/>
  <c r="M2"/>
  <c r="I3"/>
  <c r="J3"/>
  <c r="J2"/>
  <c r="I2"/>
  <c r="C4"/>
  <c r="K43" i="2"/>
  <c r="I43"/>
  <c r="H43"/>
  <c r="F43"/>
  <c r="E43"/>
  <c r="L2" i="49"/>
  <c r="N2"/>
  <c r="M2"/>
  <c r="J2"/>
  <c r="I2"/>
  <c r="K41" i="2"/>
  <c r="I41"/>
  <c r="H41"/>
  <c r="F41"/>
  <c r="E41"/>
  <c r="M5" i="47"/>
  <c r="N5"/>
  <c r="N3"/>
  <c r="N4"/>
  <c r="M3"/>
  <c r="M4"/>
  <c r="L3"/>
  <c r="L4"/>
  <c r="L2"/>
  <c r="N2"/>
  <c r="M2"/>
  <c r="I3"/>
  <c r="J3"/>
  <c r="I4"/>
  <c r="J4"/>
  <c r="J2"/>
  <c r="I2"/>
  <c r="C5"/>
  <c r="K40" i="2"/>
  <c r="I40"/>
  <c r="H40"/>
  <c r="F40"/>
  <c r="E40"/>
  <c r="M7" i="46"/>
  <c r="N7"/>
  <c r="N3"/>
  <c r="N4"/>
  <c r="N5"/>
  <c r="N6"/>
  <c r="M3"/>
  <c r="M4"/>
  <c r="M5"/>
  <c r="M6"/>
  <c r="L3"/>
  <c r="L4"/>
  <c r="L5"/>
  <c r="L6"/>
  <c r="L2"/>
  <c r="N2"/>
  <c r="M2"/>
  <c r="I3"/>
  <c r="J3"/>
  <c r="I4"/>
  <c r="J4"/>
  <c r="I5"/>
  <c r="J5"/>
  <c r="I6"/>
  <c r="J6"/>
  <c r="J2"/>
  <c r="I2"/>
  <c r="C7"/>
  <c r="K39" i="2"/>
  <c r="I39"/>
  <c r="H39"/>
  <c r="F39"/>
  <c r="E39"/>
  <c r="L2" i="45"/>
  <c r="N2"/>
  <c r="M2"/>
  <c r="J2"/>
  <c r="I2"/>
  <c r="K38" i="2"/>
  <c r="I38"/>
  <c r="H38"/>
  <c r="F38"/>
  <c r="E38"/>
  <c r="M5" i="44"/>
  <c r="N5"/>
  <c r="N3"/>
  <c r="N4"/>
  <c r="M3"/>
  <c r="M4"/>
  <c r="L3"/>
  <c r="L4"/>
  <c r="L2"/>
  <c r="N2"/>
  <c r="M2"/>
  <c r="I3"/>
  <c r="J3"/>
  <c r="I4"/>
  <c r="J4"/>
  <c r="J2"/>
  <c r="I2"/>
  <c r="C5"/>
  <c r="K37" i="2"/>
  <c r="I37"/>
  <c r="H37"/>
  <c r="F37"/>
  <c r="E37"/>
  <c r="M4" i="43"/>
  <c r="N4"/>
  <c r="N3"/>
  <c r="M3"/>
  <c r="L3"/>
  <c r="L2"/>
  <c r="N2"/>
  <c r="M2"/>
  <c r="I3"/>
  <c r="J3"/>
  <c r="J2"/>
  <c r="I2"/>
  <c r="C4"/>
  <c r="K36" i="2"/>
  <c r="I36"/>
  <c r="H36"/>
  <c r="F36"/>
  <c r="E36"/>
  <c r="L2" i="42"/>
  <c r="N2"/>
  <c r="M2"/>
  <c r="J2"/>
  <c r="I2"/>
  <c r="K35" i="2"/>
  <c r="I35"/>
  <c r="H35"/>
  <c r="F35"/>
  <c r="E35"/>
  <c r="M4" i="41"/>
  <c r="N4"/>
  <c r="N3"/>
  <c r="M3"/>
  <c r="L3"/>
  <c r="L2"/>
  <c r="N2"/>
  <c r="M2"/>
  <c r="I3"/>
  <c r="J3"/>
  <c r="J2"/>
  <c r="I2"/>
  <c r="C4"/>
  <c r="K34" i="2"/>
  <c r="I34"/>
  <c r="H34"/>
  <c r="F34"/>
  <c r="E34"/>
  <c r="L2" i="40"/>
  <c r="N2"/>
  <c r="M2"/>
  <c r="J2"/>
  <c r="I2"/>
  <c r="K33" i="2"/>
  <c r="I33"/>
  <c r="H33"/>
  <c r="F33"/>
  <c r="E33"/>
  <c r="M4" i="39"/>
  <c r="N4"/>
  <c r="N3"/>
  <c r="M3"/>
  <c r="L3"/>
  <c r="L2"/>
  <c r="N2"/>
  <c r="M2"/>
  <c r="I3"/>
  <c r="J3"/>
  <c r="J2"/>
  <c r="I2"/>
  <c r="C4"/>
  <c r="K32" i="2"/>
  <c r="I32"/>
  <c r="H32"/>
  <c r="F32"/>
  <c r="E32"/>
  <c r="M4" i="38"/>
  <c r="N4"/>
  <c r="N3"/>
  <c r="M3"/>
  <c r="L3"/>
  <c r="L2"/>
  <c r="N2"/>
  <c r="M2"/>
  <c r="I3"/>
  <c r="J3"/>
  <c r="J2"/>
  <c r="I2"/>
  <c r="C4"/>
  <c r="K31" i="2"/>
  <c r="I31"/>
  <c r="H31"/>
  <c r="F31"/>
  <c r="E31"/>
  <c r="L2" i="37"/>
  <c r="N2"/>
  <c r="M2"/>
  <c r="J2"/>
  <c r="I2"/>
  <c r="K30" i="2"/>
  <c r="I30"/>
  <c r="H30"/>
  <c r="F30"/>
  <c r="E30"/>
  <c r="L2" i="36"/>
  <c r="N2"/>
  <c r="M2"/>
  <c r="J2"/>
  <c r="I2"/>
  <c r="K29" i="2"/>
  <c r="I29"/>
  <c r="H29"/>
  <c r="F29"/>
  <c r="E29"/>
  <c r="L2" i="35"/>
  <c r="N2"/>
  <c r="M2"/>
  <c r="J2"/>
  <c r="I2"/>
  <c r="K28" i="2"/>
  <c r="I28"/>
  <c r="H28"/>
  <c r="F28"/>
  <c r="E28"/>
  <c r="M4" i="34"/>
  <c r="N4"/>
  <c r="N3"/>
  <c r="M3"/>
  <c r="L3"/>
  <c r="L2"/>
  <c r="N2"/>
  <c r="M2"/>
  <c r="I3"/>
  <c r="J3"/>
  <c r="J2"/>
  <c r="I2"/>
  <c r="C4"/>
  <c r="K27" i="2"/>
  <c r="I27"/>
  <c r="H27"/>
  <c r="F27"/>
  <c r="E27"/>
  <c r="M4" i="33"/>
  <c r="N4"/>
  <c r="N3"/>
  <c r="M3"/>
  <c r="L3"/>
  <c r="L2"/>
  <c r="N2"/>
  <c r="M2"/>
  <c r="I3"/>
  <c r="J3"/>
  <c r="J2"/>
  <c r="I2"/>
  <c r="C4"/>
  <c r="K26" i="2"/>
  <c r="I26"/>
  <c r="H26"/>
  <c r="F26"/>
  <c r="E26"/>
  <c r="M4" i="32"/>
  <c r="N4"/>
  <c r="N3"/>
  <c r="M3"/>
  <c r="L3"/>
  <c r="L2"/>
  <c r="N2"/>
  <c r="M2"/>
  <c r="I3"/>
  <c r="J3"/>
  <c r="J2"/>
  <c r="I2"/>
  <c r="C4"/>
  <c r="K25" i="2"/>
  <c r="H25"/>
  <c r="I25"/>
  <c r="F25"/>
  <c r="E25"/>
  <c r="M8" i="31"/>
  <c r="N8"/>
  <c r="N3"/>
  <c r="N4"/>
  <c r="N5"/>
  <c r="N6"/>
  <c r="N7"/>
  <c r="M3"/>
  <c r="M4"/>
  <c r="M5"/>
  <c r="M6"/>
  <c r="M7"/>
  <c r="L3"/>
  <c r="L4"/>
  <c r="L5"/>
  <c r="L6"/>
  <c r="L7"/>
  <c r="L2"/>
  <c r="N2"/>
  <c r="M2"/>
  <c r="J7"/>
  <c r="I7"/>
  <c r="I3"/>
  <c r="J3"/>
  <c r="I4"/>
  <c r="J4"/>
  <c r="I5"/>
  <c r="J5"/>
  <c r="I6"/>
  <c r="J6"/>
  <c r="J2"/>
  <c r="I2"/>
  <c r="C8"/>
  <c r="K22" i="2"/>
  <c r="I22"/>
  <c r="H22"/>
  <c r="F22"/>
  <c r="E22"/>
  <c r="M66" i="30"/>
  <c r="N66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N31"/>
  <c r="N32"/>
  <c r="N33"/>
  <c r="N34"/>
  <c r="N35"/>
  <c r="N36"/>
  <c r="N37"/>
  <c r="N38"/>
  <c r="N39"/>
  <c r="N40"/>
  <c r="N41"/>
  <c r="N42"/>
  <c r="N43"/>
  <c r="N44"/>
  <c r="N45"/>
  <c r="N46"/>
  <c r="N47"/>
  <c r="N48"/>
  <c r="N49"/>
  <c r="N50"/>
  <c r="N51"/>
  <c r="N52"/>
  <c r="N53"/>
  <c r="N54"/>
  <c r="N55"/>
  <c r="N56"/>
  <c r="N57"/>
  <c r="N58"/>
  <c r="N59"/>
  <c r="N60"/>
  <c r="N61"/>
  <c r="N62"/>
  <c r="N63"/>
  <c r="N64"/>
  <c r="N65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54"/>
  <c r="M55"/>
  <c r="M56"/>
  <c r="M57"/>
  <c r="M58"/>
  <c r="M59"/>
  <c r="M60"/>
  <c r="M61"/>
  <c r="M62"/>
  <c r="M63"/>
  <c r="M64"/>
  <c r="M65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2"/>
  <c r="N2"/>
  <c r="M2"/>
  <c r="I48"/>
  <c r="J48"/>
  <c r="I49"/>
  <c r="J49"/>
  <c r="I50"/>
  <c r="J50"/>
  <c r="I51"/>
  <c r="J51"/>
  <c r="I52"/>
  <c r="J52"/>
  <c r="I53"/>
  <c r="J53"/>
  <c r="I54"/>
  <c r="J54"/>
  <c r="I55"/>
  <c r="J55"/>
  <c r="I56"/>
  <c r="J56"/>
  <c r="I57"/>
  <c r="J57"/>
  <c r="I58"/>
  <c r="J58"/>
  <c r="I59"/>
  <c r="J59"/>
  <c r="I60"/>
  <c r="J60"/>
  <c r="I61"/>
  <c r="J61"/>
  <c r="I62"/>
  <c r="J62"/>
  <c r="I63"/>
  <c r="J63"/>
  <c r="I64"/>
  <c r="J64"/>
  <c r="I65"/>
  <c r="J65"/>
  <c r="J47"/>
  <c r="I47"/>
  <c r="I3"/>
  <c r="J3"/>
  <c r="I4"/>
  <c r="J4"/>
  <c r="I5"/>
  <c r="J5"/>
  <c r="I6"/>
  <c r="J6"/>
  <c r="I7"/>
  <c r="J7"/>
  <c r="I8"/>
  <c r="J8"/>
  <c r="I9"/>
  <c r="J9"/>
  <c r="I10"/>
  <c r="J10"/>
  <c r="I11"/>
  <c r="J11"/>
  <c r="I12"/>
  <c r="J12"/>
  <c r="I13"/>
  <c r="J13"/>
  <c r="I14"/>
  <c r="J14"/>
  <c r="I15"/>
  <c r="J15"/>
  <c r="I16"/>
  <c r="J16"/>
  <c r="I17"/>
  <c r="J17"/>
  <c r="I18"/>
  <c r="J18"/>
  <c r="I19"/>
  <c r="J19"/>
  <c r="I20"/>
  <c r="J20"/>
  <c r="I21"/>
  <c r="J21"/>
  <c r="I22"/>
  <c r="J22"/>
  <c r="I23"/>
  <c r="J23"/>
  <c r="I24"/>
  <c r="J24"/>
  <c r="I25"/>
  <c r="J25"/>
  <c r="I26"/>
  <c r="J26"/>
  <c r="I27"/>
  <c r="J27"/>
  <c r="I28"/>
  <c r="J28"/>
  <c r="I29"/>
  <c r="J29"/>
  <c r="I30"/>
  <c r="J30"/>
  <c r="I31"/>
  <c r="J31"/>
  <c r="I32"/>
  <c r="J32"/>
  <c r="I33"/>
  <c r="J33"/>
  <c r="I34"/>
  <c r="J34"/>
  <c r="I35"/>
  <c r="J35"/>
  <c r="I36"/>
  <c r="J36"/>
  <c r="I37"/>
  <c r="J37"/>
  <c r="I38"/>
  <c r="J38"/>
  <c r="I39"/>
  <c r="J39"/>
  <c r="I40"/>
  <c r="J40"/>
  <c r="I41"/>
  <c r="J41"/>
  <c r="I42"/>
  <c r="J42"/>
  <c r="I43"/>
  <c r="J43"/>
  <c r="I44"/>
  <c r="J44"/>
  <c r="I45"/>
  <c r="J45"/>
  <c r="I46"/>
  <c r="J46"/>
  <c r="J2"/>
  <c r="I2"/>
  <c r="C66"/>
  <c r="K21" i="2"/>
  <c r="I21"/>
  <c r="H21"/>
  <c r="F21"/>
  <c r="E21"/>
  <c r="M16" i="29"/>
  <c r="N16"/>
  <c r="N3"/>
  <c r="N4"/>
  <c r="N5"/>
  <c r="N6"/>
  <c r="N7"/>
  <c r="N8"/>
  <c r="N9"/>
  <c r="N10"/>
  <c r="N11"/>
  <c r="N12"/>
  <c r="N13"/>
  <c r="N14"/>
  <c r="N15"/>
  <c r="M3"/>
  <c r="M4"/>
  <c r="M5"/>
  <c r="M6"/>
  <c r="M7"/>
  <c r="M8"/>
  <c r="M9"/>
  <c r="M10"/>
  <c r="M11"/>
  <c r="M12"/>
  <c r="M13"/>
  <c r="M14"/>
  <c r="M15"/>
  <c r="L3"/>
  <c r="L4"/>
  <c r="L5"/>
  <c r="L6"/>
  <c r="L7"/>
  <c r="L8"/>
  <c r="L9"/>
  <c r="L10"/>
  <c r="L11"/>
  <c r="L12"/>
  <c r="L13"/>
  <c r="L14"/>
  <c r="L15"/>
  <c r="L2"/>
  <c r="N2"/>
  <c r="M2"/>
  <c r="I13"/>
  <c r="J13"/>
  <c r="I14"/>
  <c r="J14"/>
  <c r="I15"/>
  <c r="J15"/>
  <c r="J12"/>
  <c r="I12"/>
  <c r="I3"/>
  <c r="J3"/>
  <c r="I4"/>
  <c r="J4"/>
  <c r="I5"/>
  <c r="J5"/>
  <c r="I6"/>
  <c r="J6"/>
  <c r="I7"/>
  <c r="J7"/>
  <c r="I8"/>
  <c r="J8"/>
  <c r="I9"/>
  <c r="J9"/>
  <c r="I10"/>
  <c r="J10"/>
  <c r="I11"/>
  <c r="J11"/>
  <c r="J2"/>
  <c r="I2"/>
  <c r="C16"/>
  <c r="K20" i="2"/>
  <c r="I20"/>
  <c r="H20"/>
  <c r="F20"/>
  <c r="E20"/>
  <c r="M6" i="28"/>
  <c r="N6"/>
  <c r="N3"/>
  <c r="N4"/>
  <c r="N5"/>
  <c r="M3"/>
  <c r="M4"/>
  <c r="M5"/>
  <c r="L3"/>
  <c r="L4"/>
  <c r="L5"/>
  <c r="L2"/>
  <c r="N2"/>
  <c r="M2"/>
  <c r="I3"/>
  <c r="J3"/>
  <c r="I4"/>
  <c r="J4"/>
  <c r="I5"/>
  <c r="J5"/>
  <c r="J2"/>
  <c r="I2"/>
  <c r="C6"/>
  <c r="K19" i="2"/>
  <c r="I19"/>
  <c r="H19"/>
  <c r="F19"/>
  <c r="E19"/>
  <c r="M7" i="27"/>
  <c r="N7"/>
  <c r="N3"/>
  <c r="N4"/>
  <c r="N5"/>
  <c r="N6"/>
  <c r="M3"/>
  <c r="M4"/>
  <c r="M5"/>
  <c r="M6"/>
  <c r="L3"/>
  <c r="L4"/>
  <c r="L5"/>
  <c r="L6"/>
  <c r="L2"/>
  <c r="N2"/>
  <c r="M2"/>
  <c r="I3"/>
  <c r="J3"/>
  <c r="I4"/>
  <c r="J4"/>
  <c r="I5"/>
  <c r="J5"/>
  <c r="I6"/>
  <c r="J6"/>
  <c r="J2"/>
  <c r="I2"/>
  <c r="C7"/>
  <c r="K18" i="2"/>
  <c r="H18"/>
  <c r="I18"/>
  <c r="F18"/>
  <c r="E18"/>
  <c r="M9" i="26"/>
  <c r="N9"/>
  <c r="N3"/>
  <c r="N4"/>
  <c r="N5"/>
  <c r="N6"/>
  <c r="N7"/>
  <c r="N8"/>
  <c r="M3"/>
  <c r="M4"/>
  <c r="M5"/>
  <c r="M6"/>
  <c r="M7"/>
  <c r="M8"/>
  <c r="L3"/>
  <c r="L4"/>
  <c r="L5"/>
  <c r="L6"/>
  <c r="L7"/>
  <c r="L8"/>
  <c r="L2"/>
  <c r="N2"/>
  <c r="M2"/>
  <c r="I3"/>
  <c r="J3"/>
  <c r="I4"/>
  <c r="J4"/>
  <c r="I5"/>
  <c r="J5"/>
  <c r="I6"/>
  <c r="J6"/>
  <c r="I7"/>
  <c r="J7"/>
  <c r="I8"/>
  <c r="J8"/>
  <c r="J2"/>
  <c r="I2"/>
  <c r="C9"/>
  <c r="K17" i="2"/>
  <c r="I17"/>
  <c r="H17"/>
  <c r="F17"/>
  <c r="E17"/>
  <c r="M11" i="25"/>
  <c r="N11"/>
  <c r="N3"/>
  <c r="N4"/>
  <c r="N5"/>
  <c r="N6"/>
  <c r="N7"/>
  <c r="N8"/>
  <c r="N9"/>
  <c r="N10"/>
  <c r="M3"/>
  <c r="M4"/>
  <c r="M5"/>
  <c r="M6"/>
  <c r="M7"/>
  <c r="M8"/>
  <c r="M9"/>
  <c r="M10"/>
  <c r="L3"/>
  <c r="L4"/>
  <c r="L5"/>
  <c r="L6"/>
  <c r="L7"/>
  <c r="L8"/>
  <c r="L9"/>
  <c r="L10"/>
  <c r="L2"/>
  <c r="N2"/>
  <c r="M2"/>
  <c r="I3"/>
  <c r="J3"/>
  <c r="I4"/>
  <c r="J4"/>
  <c r="I5"/>
  <c r="J5"/>
  <c r="I6"/>
  <c r="J6"/>
  <c r="I7"/>
  <c r="J7"/>
  <c r="I8"/>
  <c r="J8"/>
  <c r="I9"/>
  <c r="J9"/>
  <c r="I10"/>
  <c r="J10"/>
  <c r="J2"/>
  <c r="I2"/>
  <c r="C11"/>
  <c r="J22" i="2"/>
  <c r="G22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25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B119" i="21"/>
  <c r="B111"/>
  <c r="B123"/>
  <c r="B115"/>
  <c r="B103"/>
  <c r="B91"/>
  <c r="B83"/>
  <c r="B87"/>
  <c r="B79"/>
  <c r="B75"/>
  <c r="B71"/>
  <c r="B63"/>
  <c r="B51"/>
  <c r="B47"/>
  <c r="J21" i="2"/>
  <c r="G21"/>
  <c r="J20"/>
  <c r="G20"/>
  <c r="J19"/>
  <c r="G19"/>
  <c r="B43" i="21"/>
  <c r="B39"/>
  <c r="B35"/>
  <c r="K23" i="2"/>
  <c r="H23"/>
  <c r="A13" i="24"/>
  <c r="A14"/>
  <c r="A9"/>
  <c r="A10"/>
  <c r="A2"/>
  <c r="K24" i="2"/>
  <c r="H24"/>
  <c r="B31" i="21"/>
  <c r="B27"/>
  <c r="B23"/>
  <c r="B19"/>
  <c r="B15"/>
  <c r="B11"/>
  <c r="B7"/>
  <c r="B3"/>
  <c r="L31" i="11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2"/>
  <c r="B4" i="22"/>
  <c r="B5"/>
  <c r="B13"/>
  <c r="B14"/>
  <c r="B7"/>
  <c r="G13" i="2"/>
  <c r="B6" i="22"/>
  <c r="J13" i="2"/>
  <c r="G14"/>
  <c r="J14"/>
  <c r="I9"/>
  <c r="K9"/>
  <c r="F9"/>
  <c r="H9"/>
  <c r="E9"/>
  <c r="M11" i="14"/>
  <c r="N11"/>
  <c r="N3"/>
  <c r="N4"/>
  <c r="N5"/>
  <c r="N6"/>
  <c r="N7"/>
  <c r="N8"/>
  <c r="N9"/>
  <c r="N10"/>
  <c r="M3"/>
  <c r="M4"/>
  <c r="M5"/>
  <c r="M6"/>
  <c r="M7"/>
  <c r="M8"/>
  <c r="M9"/>
  <c r="M10"/>
  <c r="L3"/>
  <c r="L4"/>
  <c r="L5"/>
  <c r="L6"/>
  <c r="L7"/>
  <c r="L8"/>
  <c r="L9"/>
  <c r="L10"/>
  <c r="L2"/>
  <c r="M2"/>
  <c r="J9"/>
  <c r="I9"/>
  <c r="J5"/>
  <c r="I5"/>
  <c r="J10"/>
  <c r="I10"/>
  <c r="J8"/>
  <c r="I8"/>
  <c r="J7"/>
  <c r="I7"/>
  <c r="J6"/>
  <c r="I6"/>
  <c r="J4"/>
  <c r="I4"/>
  <c r="J3"/>
  <c r="I3"/>
  <c r="J2"/>
  <c r="I2"/>
  <c r="E14" i="2"/>
  <c r="C31" i="13"/>
  <c r="L30"/>
  <c r="J30"/>
  <c r="N30"/>
  <c r="I30"/>
  <c r="M30"/>
  <c r="M29"/>
  <c r="L29"/>
  <c r="J29"/>
  <c r="N29"/>
  <c r="I29"/>
  <c r="L28"/>
  <c r="N28"/>
  <c r="J28"/>
  <c r="I28"/>
  <c r="M28"/>
  <c r="M27"/>
  <c r="L27"/>
  <c r="J27"/>
  <c r="N27"/>
  <c r="I27"/>
  <c r="L26"/>
  <c r="N26"/>
  <c r="J26"/>
  <c r="I26"/>
  <c r="M26"/>
  <c r="M25"/>
  <c r="L25"/>
  <c r="J25"/>
  <c r="N25"/>
  <c r="I25"/>
  <c r="L24"/>
  <c r="N24"/>
  <c r="J24"/>
  <c r="I24"/>
  <c r="M24"/>
  <c r="M23"/>
  <c r="L23"/>
  <c r="J23"/>
  <c r="N23"/>
  <c r="I23"/>
  <c r="L22"/>
  <c r="N22"/>
  <c r="J22"/>
  <c r="I22"/>
  <c r="M22"/>
  <c r="M21"/>
  <c r="L21"/>
  <c r="J21"/>
  <c r="N21"/>
  <c r="I21"/>
  <c r="L20"/>
  <c r="N20"/>
  <c r="J20"/>
  <c r="I20"/>
  <c r="M20"/>
  <c r="M19"/>
  <c r="L19"/>
  <c r="J19"/>
  <c r="N19"/>
  <c r="I19"/>
  <c r="L18"/>
  <c r="N18"/>
  <c r="J18"/>
  <c r="I18"/>
  <c r="M18"/>
  <c r="M17"/>
  <c r="L17"/>
  <c r="J17"/>
  <c r="N17"/>
  <c r="I17"/>
  <c r="L16"/>
  <c r="N16"/>
  <c r="J16"/>
  <c r="I16"/>
  <c r="M16"/>
  <c r="M15"/>
  <c r="L15"/>
  <c r="J15"/>
  <c r="N15"/>
  <c r="I15"/>
  <c r="L14"/>
  <c r="N14"/>
  <c r="J14"/>
  <c r="I14"/>
  <c r="M14"/>
  <c r="M13"/>
  <c r="L13"/>
  <c r="J13"/>
  <c r="N13"/>
  <c r="I13"/>
  <c r="L12"/>
  <c r="N12"/>
  <c r="J12"/>
  <c r="I12"/>
  <c r="M12"/>
  <c r="M11"/>
  <c r="L11"/>
  <c r="J11"/>
  <c r="N11"/>
  <c r="I11"/>
  <c r="L10"/>
  <c r="N10"/>
  <c r="J10"/>
  <c r="I10"/>
  <c r="M10"/>
  <c r="M9"/>
  <c r="L9"/>
  <c r="J9"/>
  <c r="N9"/>
  <c r="I9"/>
  <c r="L8"/>
  <c r="N8"/>
  <c r="J8"/>
  <c r="I8"/>
  <c r="M8"/>
  <c r="M7"/>
  <c r="L7"/>
  <c r="J7"/>
  <c r="N7"/>
  <c r="I7"/>
  <c r="L6"/>
  <c r="N6"/>
  <c r="J6"/>
  <c r="I6"/>
  <c r="M6"/>
  <c r="M5"/>
  <c r="L5"/>
  <c r="J5"/>
  <c r="N5"/>
  <c r="I5"/>
  <c r="L4"/>
  <c r="N4"/>
  <c r="J4"/>
  <c r="I4"/>
  <c r="M4"/>
  <c r="M3"/>
  <c r="L3"/>
  <c r="J3"/>
  <c r="N3"/>
  <c r="I3"/>
  <c r="L2"/>
  <c r="N2"/>
  <c r="N31"/>
  <c r="J2"/>
  <c r="I2"/>
  <c r="M2"/>
  <c r="M31"/>
  <c r="E16" i="2"/>
  <c r="E7"/>
  <c r="N9" i="12"/>
  <c r="M9"/>
  <c r="N3"/>
  <c r="N4"/>
  <c r="N5"/>
  <c r="N6"/>
  <c r="N7"/>
  <c r="N8"/>
  <c r="M3"/>
  <c r="M4"/>
  <c r="M5"/>
  <c r="M6"/>
  <c r="M7"/>
  <c r="M8"/>
  <c r="L3"/>
  <c r="L4"/>
  <c r="L5"/>
  <c r="L6"/>
  <c r="L7"/>
  <c r="L8"/>
  <c r="L2"/>
  <c r="M2"/>
  <c r="J3"/>
  <c r="J4"/>
  <c r="J5"/>
  <c r="J6"/>
  <c r="J7"/>
  <c r="J8"/>
  <c r="I3"/>
  <c r="I4"/>
  <c r="I5"/>
  <c r="I6"/>
  <c r="I7"/>
  <c r="I8"/>
  <c r="J2"/>
  <c r="I2"/>
  <c r="E13" i="2"/>
  <c r="N31" i="11"/>
  <c r="O31"/>
  <c r="O3"/>
  <c r="O4"/>
  <c r="O5"/>
  <c r="O6"/>
  <c r="O7"/>
  <c r="O8"/>
  <c r="O9"/>
  <c r="O10"/>
  <c r="O1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N3"/>
  <c r="N4"/>
  <c r="N5"/>
  <c r="N6"/>
  <c r="N7"/>
  <c r="N8"/>
  <c r="N9"/>
  <c r="N10"/>
  <c r="N11"/>
  <c r="N12"/>
  <c r="N13"/>
  <c r="N14"/>
  <c r="N15"/>
  <c r="N16"/>
  <c r="N17"/>
  <c r="N18"/>
  <c r="N19"/>
  <c r="N20"/>
  <c r="N21"/>
  <c r="N22"/>
  <c r="N23"/>
  <c r="N24"/>
  <c r="N25"/>
  <c r="N26"/>
  <c r="N27"/>
  <c r="N28"/>
  <c r="N29"/>
  <c r="N30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2"/>
  <c r="N2"/>
  <c r="J26"/>
  <c r="I26"/>
  <c r="J21"/>
  <c r="I21"/>
  <c r="J17"/>
  <c r="I17"/>
  <c r="J13"/>
  <c r="I13"/>
  <c r="J7"/>
  <c r="I7"/>
  <c r="J30"/>
  <c r="I30"/>
  <c r="J29"/>
  <c r="I29"/>
  <c r="J28"/>
  <c r="I28"/>
  <c r="J27"/>
  <c r="I27"/>
  <c r="J25"/>
  <c r="I25"/>
  <c r="J24"/>
  <c r="I24"/>
  <c r="J23"/>
  <c r="I23"/>
  <c r="J22"/>
  <c r="I22"/>
  <c r="J20"/>
  <c r="I20"/>
  <c r="J19"/>
  <c r="I19"/>
  <c r="J18"/>
  <c r="I18"/>
  <c r="J16"/>
  <c r="I16"/>
  <c r="J15"/>
  <c r="I15"/>
  <c r="J14"/>
  <c r="I14"/>
  <c r="J12"/>
  <c r="I12"/>
  <c r="J11"/>
  <c r="I11"/>
  <c r="J10"/>
  <c r="I10"/>
  <c r="J9"/>
  <c r="I9"/>
  <c r="J8"/>
  <c r="I8"/>
  <c r="J6"/>
  <c r="I6"/>
  <c r="J5"/>
  <c r="I5"/>
  <c r="J4"/>
  <c r="I4"/>
  <c r="J3"/>
  <c r="I3"/>
  <c r="J2"/>
  <c r="I2"/>
  <c r="C31"/>
  <c r="I10" i="2"/>
  <c r="F10"/>
  <c r="E10"/>
  <c r="C17" i="10"/>
  <c r="M17"/>
  <c r="N17"/>
  <c r="N3"/>
  <c r="N4"/>
  <c r="N5"/>
  <c r="N6"/>
  <c r="N7"/>
  <c r="N8"/>
  <c r="N9"/>
  <c r="N10"/>
  <c r="N11"/>
  <c r="N12"/>
  <c r="N13"/>
  <c r="N14"/>
  <c r="N15"/>
  <c r="N16"/>
  <c r="M3"/>
  <c r="M4"/>
  <c r="M5"/>
  <c r="M6"/>
  <c r="M7"/>
  <c r="M8"/>
  <c r="M9"/>
  <c r="M10"/>
  <c r="M11"/>
  <c r="M12"/>
  <c r="M13"/>
  <c r="M14"/>
  <c r="M15"/>
  <c r="M16"/>
  <c r="L3"/>
  <c r="L4"/>
  <c r="L5"/>
  <c r="L6"/>
  <c r="L7"/>
  <c r="L8"/>
  <c r="L9"/>
  <c r="L10"/>
  <c r="L11"/>
  <c r="L12"/>
  <c r="L13"/>
  <c r="L14"/>
  <c r="L15"/>
  <c r="L16"/>
  <c r="L2"/>
  <c r="M2"/>
  <c r="J16"/>
  <c r="I16"/>
  <c r="J12"/>
  <c r="I12"/>
  <c r="J6"/>
  <c r="I6"/>
  <c r="J15"/>
  <c r="I15"/>
  <c r="J14"/>
  <c r="I14"/>
  <c r="J13"/>
  <c r="I13"/>
  <c r="J11"/>
  <c r="I11"/>
  <c r="J10"/>
  <c r="I10"/>
  <c r="J9"/>
  <c r="I9"/>
  <c r="J8"/>
  <c r="I8"/>
  <c r="J7"/>
  <c r="I7"/>
  <c r="J5"/>
  <c r="I5"/>
  <c r="J4"/>
  <c r="I4"/>
  <c r="J3"/>
  <c r="I3"/>
  <c r="J2"/>
  <c r="I2"/>
  <c r="I6" i="2"/>
  <c r="K6"/>
  <c r="I7"/>
  <c r="K7"/>
  <c r="F6"/>
  <c r="H6"/>
  <c r="F7"/>
  <c r="H7"/>
  <c r="E6"/>
  <c r="L2" i="19"/>
  <c r="M2"/>
  <c r="J2"/>
  <c r="I2"/>
  <c r="I8" i="2"/>
  <c r="K8"/>
  <c r="F8"/>
  <c r="H8"/>
  <c r="E8"/>
  <c r="M13" i="20"/>
  <c r="N13"/>
  <c r="N3"/>
  <c r="N4"/>
  <c r="N5"/>
  <c r="N6"/>
  <c r="N7"/>
  <c r="N8"/>
  <c r="N9"/>
  <c r="N10"/>
  <c r="N11"/>
  <c r="N12"/>
  <c r="M3"/>
  <c r="M4"/>
  <c r="M5"/>
  <c r="M6"/>
  <c r="M7"/>
  <c r="M8"/>
  <c r="M9"/>
  <c r="M10"/>
  <c r="M11"/>
  <c r="M12"/>
  <c r="L3"/>
  <c r="L4"/>
  <c r="L5"/>
  <c r="L6"/>
  <c r="L7"/>
  <c r="L8"/>
  <c r="L9"/>
  <c r="L10"/>
  <c r="L11"/>
  <c r="L12"/>
  <c r="L2"/>
  <c r="M2"/>
  <c r="J10"/>
  <c r="I10"/>
  <c r="J8"/>
  <c r="I8"/>
  <c r="J3"/>
  <c r="I3"/>
  <c r="J12"/>
  <c r="I12"/>
  <c r="J11"/>
  <c r="I11"/>
  <c r="J9"/>
  <c r="I9"/>
  <c r="J7"/>
  <c r="I7"/>
  <c r="J6"/>
  <c r="I6"/>
  <c r="J5"/>
  <c r="I5"/>
  <c r="J4"/>
  <c r="I4"/>
  <c r="J2"/>
  <c r="I2"/>
  <c r="I4" i="2"/>
  <c r="K4"/>
  <c r="I5"/>
  <c r="F4"/>
  <c r="H4"/>
  <c r="F5"/>
  <c r="E4"/>
  <c r="N8" i="18"/>
  <c r="M8"/>
  <c r="N3"/>
  <c r="N4"/>
  <c r="N5"/>
  <c r="N6"/>
  <c r="N7"/>
  <c r="M3"/>
  <c r="M4"/>
  <c r="M5"/>
  <c r="M6"/>
  <c r="M7"/>
  <c r="L3"/>
  <c r="L4"/>
  <c r="L5"/>
  <c r="L6"/>
  <c r="L7"/>
  <c r="L2"/>
  <c r="M2"/>
  <c r="J6"/>
  <c r="I6"/>
  <c r="J5"/>
  <c r="I5"/>
  <c r="J4"/>
  <c r="I4"/>
  <c r="J7"/>
  <c r="I7"/>
  <c r="J3"/>
  <c r="I3"/>
  <c r="J2"/>
  <c r="I2"/>
  <c r="I2" i="2"/>
  <c r="K2"/>
  <c r="F2"/>
  <c r="H2"/>
  <c r="E2"/>
  <c r="N4" i="9"/>
  <c r="M4"/>
  <c r="N3"/>
  <c r="M3"/>
  <c r="L3"/>
  <c r="M2"/>
  <c r="L2"/>
  <c r="N2"/>
  <c r="J3"/>
  <c r="I3"/>
  <c r="J2"/>
  <c r="I2"/>
  <c r="C4"/>
  <c r="I15" i="2"/>
  <c r="F15"/>
  <c r="E15"/>
  <c r="C4" i="8"/>
  <c r="N4"/>
  <c r="M4"/>
  <c r="N3"/>
  <c r="M3"/>
  <c r="L3"/>
  <c r="L2"/>
  <c r="M2"/>
  <c r="J3"/>
  <c r="I3"/>
  <c r="J2"/>
  <c r="I2"/>
  <c r="I12" i="2"/>
  <c r="F12"/>
  <c r="E12"/>
  <c r="N4" i="7"/>
  <c r="M4"/>
  <c r="N3"/>
  <c r="M3"/>
  <c r="L3"/>
  <c r="L2"/>
  <c r="M2"/>
  <c r="J3"/>
  <c r="I3"/>
  <c r="J2"/>
  <c r="I2"/>
  <c r="C4"/>
  <c r="F3" i="2"/>
  <c r="I3"/>
  <c r="J15"/>
  <c r="K15"/>
  <c r="I16"/>
  <c r="K16"/>
  <c r="G15"/>
  <c r="H15"/>
  <c r="F16"/>
  <c r="H16"/>
  <c r="J11"/>
  <c r="G11"/>
  <c r="J10"/>
  <c r="K10"/>
  <c r="G10"/>
  <c r="J12"/>
  <c r="G12"/>
  <c r="H12"/>
  <c r="K12"/>
  <c r="H10"/>
  <c r="N2" i="14"/>
  <c r="N2" i="12"/>
  <c r="O2" i="11"/>
  <c r="N2" i="10"/>
  <c r="N2" i="19"/>
  <c r="N2" i="20"/>
  <c r="N2" i="18"/>
  <c r="N2" i="8"/>
  <c r="N2" i="7"/>
  <c r="I11" i="2"/>
  <c r="F11"/>
  <c r="E11"/>
  <c r="N5" i="6"/>
  <c r="M5"/>
  <c r="N3"/>
  <c r="N4"/>
  <c r="M3"/>
  <c r="M4"/>
  <c r="L3"/>
  <c r="L4"/>
  <c r="M2"/>
  <c r="L2"/>
  <c r="N2"/>
  <c r="J3"/>
  <c r="J4"/>
  <c r="I3"/>
  <c r="I4"/>
  <c r="J2"/>
  <c r="I2"/>
  <c r="C5"/>
  <c r="L2" i="5"/>
  <c r="M2"/>
  <c r="J2"/>
  <c r="I2"/>
  <c r="E5" i="2"/>
  <c r="N8" i="4"/>
  <c r="M8"/>
  <c r="N3"/>
  <c r="N4"/>
  <c r="N5"/>
  <c r="N6"/>
  <c r="N7"/>
  <c r="M3"/>
  <c r="M4"/>
  <c r="M5"/>
  <c r="M6"/>
  <c r="M7"/>
  <c r="L3"/>
  <c r="L4"/>
  <c r="L5"/>
  <c r="L6"/>
  <c r="L7"/>
  <c r="M2"/>
  <c r="L2"/>
  <c r="N2"/>
  <c r="J6"/>
  <c r="J5"/>
  <c r="J4"/>
  <c r="I6"/>
  <c r="I5"/>
  <c r="I4"/>
  <c r="J7"/>
  <c r="I7"/>
  <c r="J3"/>
  <c r="I3"/>
  <c r="J2"/>
  <c r="I2"/>
  <c r="E3" i="2"/>
  <c r="N4" i="3"/>
  <c r="M4"/>
  <c r="N3"/>
  <c r="N2"/>
  <c r="M3"/>
  <c r="M2"/>
  <c r="L3"/>
  <c r="L2"/>
  <c r="H11" i="2"/>
  <c r="F13"/>
  <c r="H13"/>
  <c r="F14"/>
  <c r="H14"/>
  <c r="K11"/>
  <c r="N2" i="5"/>
  <c r="J3" i="3"/>
  <c r="I3"/>
  <c r="J2"/>
  <c r="I2"/>
  <c r="C11" i="14"/>
  <c r="C9" i="12"/>
  <c r="C13" i="20"/>
  <c r="C8" i="18"/>
  <c r="C8" i="4"/>
  <c r="C4" i="3"/>
  <c r="I13" i="2"/>
  <c r="K13"/>
  <c r="I14"/>
  <c r="K14"/>
  <c r="H47"/>
  <c r="H49"/>
  <c r="K47"/>
  <c r="K49"/>
  <c r="N2" i="48" l="1"/>
</calcChain>
</file>

<file path=xl/sharedStrings.xml><?xml version="1.0" encoding="utf-8"?>
<sst xmlns="http://schemas.openxmlformats.org/spreadsheetml/2006/main" count="1226" uniqueCount="202">
  <si>
    <t>Project Number</t>
  </si>
  <si>
    <t>Project Name</t>
  </si>
  <si>
    <t>Project Description</t>
  </si>
  <si>
    <t>33-Ex</t>
  </si>
  <si>
    <t>Pineapple Baffle Box</t>
  </si>
  <si>
    <t>29-EX</t>
  </si>
  <si>
    <t>Orange Baffle Box</t>
  </si>
  <si>
    <t>32-Ex</t>
  </si>
  <si>
    <t>Avacado CDS</t>
  </si>
  <si>
    <t>19-ExA</t>
  </si>
  <si>
    <t>Desoto Exfiltration</t>
  </si>
  <si>
    <t>Exfiltration Pipes</t>
  </si>
  <si>
    <t>19-ExB</t>
  </si>
  <si>
    <t>19-ExC</t>
  </si>
  <si>
    <t>10-ExA</t>
  </si>
  <si>
    <t>Jackson Exfiltration</t>
  </si>
  <si>
    <t>10-ExB</t>
  </si>
  <si>
    <t>10-ExC</t>
  </si>
  <si>
    <t>10-ExD</t>
  </si>
  <si>
    <t>20-Ex</t>
  </si>
  <si>
    <t>Coconut Exfiltration</t>
  </si>
  <si>
    <t>18-Ex</t>
  </si>
  <si>
    <t>Jamaica Blvd Ponds</t>
  </si>
  <si>
    <t>28-EX</t>
  </si>
  <si>
    <t>Desoto Baffle Boxes</t>
  </si>
  <si>
    <t>37-Ex</t>
  </si>
  <si>
    <t>Jamaica Pond Reuse</t>
  </si>
  <si>
    <t>38-Ex</t>
  </si>
  <si>
    <t>Roosevelt Baffle Box</t>
  </si>
  <si>
    <t>Type 2 Baffle Box</t>
  </si>
  <si>
    <t>SB-1</t>
  </si>
  <si>
    <t>SB-2</t>
  </si>
  <si>
    <t>SB-3</t>
  </si>
  <si>
    <t>SB-4</t>
  </si>
  <si>
    <t>SB-5</t>
  </si>
  <si>
    <t>SB-6</t>
  </si>
  <si>
    <t>SB-7</t>
  </si>
  <si>
    <t>SB-8</t>
  </si>
  <si>
    <t>SB-11</t>
  </si>
  <si>
    <t>SB-12</t>
  </si>
  <si>
    <t>SB-13</t>
  </si>
  <si>
    <t>SB-14</t>
  </si>
  <si>
    <t>Type 1 Baffle Box</t>
  </si>
  <si>
    <t>Stormwater Reuse</t>
  </si>
  <si>
    <t>Offline Wet Detention Ponds</t>
  </si>
  <si>
    <t>Number</t>
  </si>
  <si>
    <t>LCCODE</t>
  </si>
  <si>
    <t>C</t>
  </si>
  <si>
    <t>TN_MG_L</t>
  </si>
  <si>
    <t>TP_MG_L</t>
  </si>
  <si>
    <t>VOLUME_M3</t>
  </si>
  <si>
    <t>GRID_CODE</t>
  </si>
  <si>
    <t>AVG_ANNUAL</t>
  </si>
  <si>
    <t>Acres</t>
  </si>
  <si>
    <t xml:space="preserve">Entity </t>
  </si>
  <si>
    <t>EMC TN</t>
  </si>
  <si>
    <t>EMC TP</t>
  </si>
  <si>
    <t>Annual Runoff (m3)</t>
  </si>
  <si>
    <t>TN Load (lbs/yr)</t>
  </si>
  <si>
    <t>TP Load (lbs/yr)</t>
  </si>
  <si>
    <t>Acres Treated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</si>
  <si>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</si>
  <si>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</si>
  <si>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</si>
  <si>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</si>
  <si>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</si>
  <si>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</si>
  <si>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Entity</t>
  </si>
  <si>
    <t>Satellite Beach</t>
  </si>
  <si>
    <t xml:space="preserve">EMC TN </t>
  </si>
  <si>
    <t>inches</t>
  </si>
  <si>
    <t>retention</t>
  </si>
  <si>
    <t>efficiency</t>
  </si>
  <si>
    <t>SB-9</t>
  </si>
  <si>
    <t>SB-10</t>
  </si>
  <si>
    <t>SB-15</t>
  </si>
  <si>
    <t xml:space="preserve">residence time = </t>
  </si>
  <si>
    <t>(wet pond volume)/(annual runoff)</t>
  </si>
  <si>
    <t>wet pond volume:</t>
  </si>
  <si>
    <t>ac-ft</t>
  </si>
  <si>
    <t>annual runoff:</t>
  </si>
  <si>
    <t>ac-ft/yr</t>
  </si>
  <si>
    <t>retention time</t>
  </si>
  <si>
    <t>TN efficiency</t>
  </si>
  <si>
    <t>%</t>
  </si>
  <si>
    <t>TP efficiency</t>
  </si>
  <si>
    <t>Project SB-12</t>
  </si>
  <si>
    <t>Annual Runoff (ac-ft)</t>
  </si>
  <si>
    <t>days</t>
  </si>
  <si>
    <t>Project SB-13</t>
  </si>
  <si>
    <t>reuse</t>
  </si>
  <si>
    <t>annual runoff</t>
  </si>
  <si>
    <t>percent reuse</t>
  </si>
  <si>
    <t>TN (lbs/yr)</t>
  </si>
  <si>
    <t>TP (lbs/yr)</t>
  </si>
  <si>
    <t>Total Credit</t>
  </si>
  <si>
    <t>CDS Unit</t>
  </si>
  <si>
    <t>Type 2 Baffle Boxe</t>
  </si>
  <si>
    <t>No credit - after exfiltration</t>
  </si>
  <si>
    <t>15% of Required Reductions</t>
  </si>
  <si>
    <t>Reductions Remaining</t>
  </si>
  <si>
    <t>SB-16</t>
  </si>
  <si>
    <t>N/A</t>
  </si>
  <si>
    <t>Education</t>
  </si>
  <si>
    <t>SB-17</t>
  </si>
  <si>
    <t>SB-18</t>
  </si>
  <si>
    <t>SB-19</t>
  </si>
  <si>
    <t>SB-20</t>
  </si>
  <si>
    <t>Street Sweeping</t>
  </si>
  <si>
    <t>North Basin Stormwater Retrofit</t>
  </si>
  <si>
    <t>Landscape, irrigation, fertilizer, pet waste ordinances; PSAs, pamphlets, website, illicit discharge program</t>
  </si>
  <si>
    <t>tons/yr</t>
  </si>
  <si>
    <t>kg/yr</t>
  </si>
  <si>
    <t>From FSA study for street sweeping residential areas (median values)</t>
  </si>
  <si>
    <t>TP (mg/kg)</t>
  </si>
  <si>
    <t>TN (mg/kg)</t>
  </si>
  <si>
    <t>TN reduction</t>
  </si>
  <si>
    <t>mg/yr</t>
  </si>
  <si>
    <t>lbs/yr</t>
  </si>
  <si>
    <t>TP reduction</t>
  </si>
  <si>
    <t>Retention BMP</t>
  </si>
  <si>
    <t>SB-21</t>
  </si>
  <si>
    <t>SB-22</t>
  </si>
  <si>
    <t>SB-23</t>
  </si>
  <si>
    <t>SB-24</t>
  </si>
  <si>
    <t>SB-25</t>
  </si>
  <si>
    <t>SB-26</t>
  </si>
  <si>
    <t>Cassia Phase 1-22</t>
  </si>
  <si>
    <t>Cassia Phase 1-23</t>
  </si>
  <si>
    <t>Cassia Phase 1-24</t>
  </si>
  <si>
    <t>Cassia Phase 1-25</t>
  </si>
  <si>
    <t>Cassia Phase 1-26</t>
  </si>
  <si>
    <t>2nd Gen Baffle Box</t>
  </si>
  <si>
    <t>SB-27</t>
  </si>
  <si>
    <t>SB-28</t>
  </si>
  <si>
    <t>SB-29</t>
  </si>
  <si>
    <t>SB-30</t>
  </si>
  <si>
    <t>SB-31</t>
  </si>
  <si>
    <t>SB-32</t>
  </si>
  <si>
    <t>SB-33</t>
  </si>
  <si>
    <t>SB-34</t>
  </si>
  <si>
    <t>SB-35</t>
  </si>
  <si>
    <t>SB-36</t>
  </si>
  <si>
    <t>SB-37</t>
  </si>
  <si>
    <t>SB-38</t>
  </si>
  <si>
    <t>SB-39</t>
  </si>
  <si>
    <t>SB-40</t>
  </si>
  <si>
    <t>SB-41</t>
  </si>
  <si>
    <t>SB-42</t>
  </si>
  <si>
    <t>SB-43</t>
  </si>
  <si>
    <t>Cassia Phase 3 - C3A</t>
  </si>
  <si>
    <t>Cassia Phase 3 - C3B</t>
  </si>
  <si>
    <t>Cassia Phase 3 - C3C</t>
  </si>
  <si>
    <t>Cassia Phase 3 - C3D</t>
  </si>
  <si>
    <t>Cassia Phase 3 - C3E</t>
  </si>
  <si>
    <t>Cassia Phase 3 - C3F</t>
  </si>
  <si>
    <t>Cassia Phase 3 - C3G</t>
  </si>
  <si>
    <t xml:space="preserve">Cassia Phase 3 - C5A </t>
  </si>
  <si>
    <t>Cassia Phase 3 - C5B</t>
  </si>
  <si>
    <t>Cassia Phase 3 - C7A</t>
  </si>
  <si>
    <t>Cassia Phase 3 - C7B</t>
  </si>
  <si>
    <t>Cassia Phase 3 - C9A</t>
  </si>
  <si>
    <t>Cassia Phase 3 - C9B</t>
  </si>
  <si>
    <t>Cassia Phase 3 - C13A</t>
  </si>
  <si>
    <t>Cassia Phase 3 - C13B</t>
  </si>
  <si>
    <t>Cassia Phase 3 - C13C</t>
  </si>
  <si>
    <t>Cassia Phase 3 - C13D</t>
  </si>
  <si>
    <t>Cassia Phase 3 - C13E</t>
  </si>
  <si>
    <t>Cassia Phase 3 - C13F</t>
  </si>
  <si>
    <t>Cassia Phase 3 - C13G</t>
  </si>
  <si>
    <t>SB-1 Jackson Exfiltration</t>
  </si>
  <si>
    <t>SB-3 Jackson Exfiltration</t>
  </si>
  <si>
    <t>SB-5 Jackson Exfiltration</t>
  </si>
  <si>
    <t>SB-7 Jackson Exfiltration</t>
  </si>
  <si>
    <t>SB-9 Coconut Exfiltratio</t>
  </si>
  <si>
    <t>SB-10 Desoto Exfiltration</t>
  </si>
  <si>
    <t>SB-11 Desoto Exfiltration</t>
  </si>
  <si>
    <t>SB-14 Desoto Exfiltration</t>
  </si>
  <si>
    <t>SB-16 Cassia Ph 1 -24</t>
  </si>
  <si>
    <t>SB-17 Cassia Ph 1 -25</t>
  </si>
  <si>
    <t>SB-18 Cassia Ph 1 -26</t>
  </si>
  <si>
    <t>SB-21 North Basin</t>
  </si>
  <si>
    <t>SB-24 Cassia Ph 3 -3A</t>
  </si>
  <si>
    <t>SB-25 Cassia Ph 3 -3B</t>
  </si>
  <si>
    <t>SB-26 Cassia Ph 3 -3C</t>
  </si>
  <si>
    <t>SB-27 Cassia Ph 3 -3D</t>
  </si>
  <si>
    <t>SB-28 Cassia Ph 3 -3E</t>
  </si>
  <si>
    <t>SB-29 Cassia Ph 3 -3F</t>
  </si>
  <si>
    <t>SB-30 Cassia Ph 3 -3G</t>
  </si>
  <si>
    <t>SB-31 Cassia Ph 3 -5A</t>
  </si>
  <si>
    <t>SB-32 Cassia Ph 3 -5B</t>
  </si>
  <si>
    <t>SB-33 Cassia Ph 3 -7A</t>
  </si>
  <si>
    <t>SB-34 Cassia Ph 3 -7B</t>
  </si>
  <si>
    <t>SB-35 Cassia Ph 3 -9A</t>
  </si>
  <si>
    <t>SB-36 Cassia Ph 3 -9B</t>
  </si>
  <si>
    <t>SB-37 Cassia Ph 3 -13A</t>
  </si>
  <si>
    <t>SB-38 Cassia Ph 3 -13B</t>
  </si>
  <si>
    <t>SB-39 Cassia Ph 3 -13C</t>
  </si>
  <si>
    <t>SB-40 Cassia Ph 3 -13D</t>
  </si>
  <si>
    <t>SB-41 Cassia Ph 3 -13E</t>
  </si>
  <si>
    <t>SB-42 Cassia Ph 3 -13F</t>
  </si>
  <si>
    <t>SB-43 Cassia Ph 3 -13G</t>
  </si>
</sst>
</file>

<file path=xl/styles.xml><?xml version="1.0" encoding="utf-8"?>
<styleSheet xmlns="http://schemas.openxmlformats.org/spreadsheetml/2006/main">
  <numFmts count="5">
    <numFmt numFmtId="164" formatCode="0.00000000000"/>
    <numFmt numFmtId="165" formatCode="0.0000000000"/>
    <numFmt numFmtId="166" formatCode="0.000"/>
    <numFmt numFmtId="167" formatCode="0.0"/>
    <numFmt numFmtId="168" formatCode="#,##0.0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9">
    <xf numFmtId="0" fontId="0" fillId="0" borderId="0" xfId="0"/>
    <xf numFmtId="0" fontId="0" fillId="0" borderId="0" xfId="0" applyFont="1"/>
    <xf numFmtId="0" fontId="4" fillId="0" borderId="1" xfId="1" applyFont="1" applyFill="1" applyBorder="1" applyAlignment="1">
      <alignment horizontal="center" wrapText="1"/>
    </xf>
    <xf numFmtId="0" fontId="5" fillId="0" borderId="1" xfId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4" fillId="3" borderId="1" xfId="1" applyFont="1" applyFill="1" applyBorder="1" applyAlignment="1">
      <alignment horizontal="center" wrapText="1"/>
    </xf>
    <xf numFmtId="0" fontId="0" fillId="4" borderId="1" xfId="0" applyFill="1" applyBorder="1" applyAlignment="1">
      <alignment horizontal="center"/>
    </xf>
    <xf numFmtId="0" fontId="4" fillId="4" borderId="1" xfId="1" applyFont="1" applyFill="1" applyBorder="1" applyAlignment="1">
      <alignment horizontal="center" wrapText="1"/>
    </xf>
    <xf numFmtId="0" fontId="5" fillId="4" borderId="1" xfId="1" applyFont="1" applyFill="1" applyBorder="1" applyAlignment="1">
      <alignment horizontal="center" wrapText="1"/>
    </xf>
    <xf numFmtId="0" fontId="0" fillId="5" borderId="1" xfId="0" applyFill="1" applyBorder="1" applyAlignment="1">
      <alignment horizontal="center"/>
    </xf>
    <xf numFmtId="0" fontId="4" fillId="5" borderId="1" xfId="1" applyFont="1" applyFill="1" applyBorder="1" applyAlignment="1">
      <alignment horizontal="center" wrapText="1"/>
    </xf>
    <xf numFmtId="0" fontId="5" fillId="5" borderId="1" xfId="1" applyFont="1" applyFill="1" applyBorder="1" applyAlignment="1">
      <alignment horizontal="center" wrapText="1"/>
    </xf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" fontId="0" fillId="0" borderId="0" xfId="0" applyNumberFormat="1" applyAlignment="1">
      <alignment horizontal="center" wrapText="1"/>
    </xf>
    <xf numFmtId="167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 wrapText="1"/>
    </xf>
    <xf numFmtId="0" fontId="0" fillId="0" borderId="1" xfId="0" applyFont="1" applyBorder="1"/>
    <xf numFmtId="0" fontId="0" fillId="4" borderId="1" xfId="0" applyFont="1" applyFill="1" applyBorder="1"/>
    <xf numFmtId="0" fontId="0" fillId="5" borderId="1" xfId="0" applyFont="1" applyFill="1" applyBorder="1"/>
    <xf numFmtId="0" fontId="0" fillId="6" borderId="1" xfId="0" applyFill="1" applyBorder="1" applyAlignment="1">
      <alignment horizontal="center"/>
    </xf>
    <xf numFmtId="0" fontId="4" fillId="6" borderId="1" xfId="1" applyFont="1" applyFill="1" applyBorder="1" applyAlignment="1">
      <alignment horizontal="center" wrapText="1"/>
    </xf>
    <xf numFmtId="0" fontId="5" fillId="6" borderId="1" xfId="1" applyFont="1" applyFill="1" applyBorder="1" applyAlignment="1">
      <alignment horizontal="center" wrapText="1"/>
    </xf>
    <xf numFmtId="1" fontId="0" fillId="6" borderId="1" xfId="0" applyNumberFormat="1" applyFont="1" applyFill="1" applyBorder="1"/>
    <xf numFmtId="0" fontId="0" fillId="6" borderId="1" xfId="0" applyFont="1" applyFill="1" applyBorder="1"/>
    <xf numFmtId="0" fontId="1" fillId="0" borderId="0" xfId="0" applyFont="1"/>
    <xf numFmtId="1" fontId="0" fillId="0" borderId="0" xfId="0" applyNumberFormat="1" applyFont="1"/>
    <xf numFmtId="0" fontId="1" fillId="0" borderId="0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67" fontId="1" fillId="0" borderId="0" xfId="0" applyNumberFormat="1" applyFont="1" applyAlignment="1">
      <alignment horizontal="center"/>
    </xf>
    <xf numFmtId="0" fontId="1" fillId="0" borderId="0" xfId="0" applyFont="1" applyAlignment="1">
      <alignment horizontal="right"/>
    </xf>
    <xf numFmtId="3" fontId="1" fillId="0" borderId="0" xfId="0" applyNumberFormat="1" applyFont="1" applyFill="1" applyBorder="1"/>
    <xf numFmtId="167" fontId="1" fillId="0" borderId="0" xfId="0" applyNumberFormat="1" applyFont="1"/>
    <xf numFmtId="0" fontId="0" fillId="7" borderId="1" xfId="0" applyFill="1" applyBorder="1" applyAlignment="1">
      <alignment horizontal="center"/>
    </xf>
    <xf numFmtId="0" fontId="5" fillId="7" borderId="1" xfId="1" applyFont="1" applyFill="1" applyBorder="1" applyAlignment="1">
      <alignment horizontal="center" wrapText="1"/>
    </xf>
    <xf numFmtId="0" fontId="0" fillId="7" borderId="1" xfId="0" applyFont="1" applyFill="1" applyBorder="1"/>
    <xf numFmtId="0" fontId="0" fillId="4" borderId="1" xfId="0" applyFill="1" applyBorder="1" applyAlignment="1">
      <alignment wrapText="1"/>
    </xf>
    <xf numFmtId="0" fontId="0" fillId="6" borderId="1" xfId="0" applyFill="1" applyBorder="1" applyAlignment="1">
      <alignment wrapText="1"/>
    </xf>
    <xf numFmtId="168" fontId="1" fillId="0" borderId="0" xfId="0" applyNumberFormat="1" applyFont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167" fontId="1" fillId="0" borderId="0" xfId="0" applyNumberFormat="1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ont="1" applyFill="1" applyBorder="1"/>
    <xf numFmtId="0" fontId="0" fillId="0" borderId="1" xfId="0" applyFill="1" applyBorder="1" applyAlignment="1">
      <alignment horizontal="center" wrapText="1"/>
    </xf>
    <xf numFmtId="0" fontId="0" fillId="0" borderId="0" xfId="0" applyFont="1" applyFill="1" applyAlignment="1">
      <alignment wrapText="1"/>
    </xf>
    <xf numFmtId="0" fontId="0" fillId="0" borderId="0" xfId="0" applyFont="1" applyAlignment="1">
      <alignment wrapText="1"/>
    </xf>
    <xf numFmtId="0" fontId="0" fillId="0" borderId="1" xfId="0" applyFill="1" applyBorder="1" applyAlignment="1">
      <alignment horizontal="right"/>
    </xf>
    <xf numFmtId="3" fontId="0" fillId="3" borderId="1" xfId="0" applyNumberFormat="1" applyFont="1" applyFill="1" applyBorder="1"/>
    <xf numFmtId="3" fontId="0" fillId="4" borderId="1" xfId="0" applyNumberFormat="1" applyFont="1" applyFill="1" applyBorder="1"/>
    <xf numFmtId="3" fontId="0" fillId="5" borderId="1" xfId="0" applyNumberFormat="1" applyFont="1" applyFill="1" applyBorder="1"/>
    <xf numFmtId="3" fontId="0" fillId="0" borderId="1" xfId="0" applyNumberFormat="1" applyFont="1" applyBorder="1"/>
    <xf numFmtId="3" fontId="0" fillId="7" borderId="1" xfId="0" applyNumberFormat="1" applyFont="1" applyFill="1" applyBorder="1"/>
    <xf numFmtId="3" fontId="0" fillId="6" borderId="1" xfId="0" applyNumberFormat="1" applyFont="1" applyFill="1" applyBorder="1"/>
    <xf numFmtId="3" fontId="0" fillId="0" borderId="1" xfId="0" applyNumberFormat="1" applyFont="1" applyFill="1" applyBorder="1"/>
    <xf numFmtId="168" fontId="0" fillId="3" borderId="1" xfId="0" applyNumberFormat="1" applyFont="1" applyFill="1" applyBorder="1"/>
    <xf numFmtId="168" fontId="0" fillId="4" borderId="1" xfId="0" applyNumberFormat="1" applyFont="1" applyFill="1" applyBorder="1"/>
    <xf numFmtId="168" fontId="0" fillId="5" borderId="1" xfId="0" applyNumberFormat="1" applyFont="1" applyFill="1" applyBorder="1"/>
    <xf numFmtId="168" fontId="0" fillId="0" borderId="1" xfId="0" applyNumberFormat="1" applyFont="1" applyBorder="1"/>
    <xf numFmtId="168" fontId="0" fillId="7" borderId="1" xfId="0" applyNumberFormat="1" applyFont="1" applyFill="1" applyBorder="1"/>
    <xf numFmtId="168" fontId="0" fillId="6" borderId="1" xfId="0" applyNumberFormat="1" applyFont="1" applyFill="1" applyBorder="1"/>
    <xf numFmtId="168" fontId="0" fillId="0" borderId="1" xfId="0" applyNumberFormat="1" applyFont="1" applyFill="1" applyBorder="1"/>
    <xf numFmtId="168" fontId="0" fillId="0" borderId="0" xfId="0" applyNumberFormat="1" applyFont="1" applyFill="1"/>
    <xf numFmtId="0" fontId="0" fillId="8" borderId="1" xfId="0" applyFill="1" applyBorder="1" applyAlignment="1">
      <alignment horizontal="center"/>
    </xf>
    <xf numFmtId="0" fontId="4" fillId="8" borderId="1" xfId="1" applyFont="1" applyFill="1" applyBorder="1" applyAlignment="1">
      <alignment horizontal="center" wrapText="1"/>
    </xf>
    <xf numFmtId="0" fontId="5" fillId="8" borderId="1" xfId="0" applyFont="1" applyFill="1" applyBorder="1" applyAlignment="1">
      <alignment horizontal="center" wrapText="1"/>
    </xf>
    <xf numFmtId="0" fontId="5" fillId="8" borderId="1" xfId="1" applyFont="1" applyFill="1" applyBorder="1" applyAlignment="1">
      <alignment horizontal="center" wrapText="1"/>
    </xf>
    <xf numFmtId="3" fontId="0" fillId="8" borderId="1" xfId="0" applyNumberFormat="1" applyFont="1" applyFill="1" applyBorder="1"/>
    <xf numFmtId="0" fontId="0" fillId="8" borderId="1" xfId="0" applyFill="1" applyBorder="1" applyAlignment="1">
      <alignment wrapText="1"/>
    </xf>
    <xf numFmtId="168" fontId="0" fillId="8" borderId="1" xfId="0" applyNumberFormat="1" applyFont="1" applyFill="1" applyBorder="1"/>
    <xf numFmtId="0" fontId="0" fillId="9" borderId="1" xfId="0" applyFill="1" applyBorder="1" applyAlignment="1">
      <alignment horizontal="center"/>
    </xf>
    <xf numFmtId="0" fontId="4" fillId="9" borderId="1" xfId="1" applyFont="1" applyFill="1" applyBorder="1" applyAlignment="1">
      <alignment horizontal="center" wrapText="1"/>
    </xf>
    <xf numFmtId="0" fontId="5" fillId="9" borderId="1" xfId="0" applyFont="1" applyFill="1" applyBorder="1" applyAlignment="1">
      <alignment horizontal="center" wrapText="1"/>
    </xf>
    <xf numFmtId="3" fontId="0" fillId="9" borderId="1" xfId="0" applyNumberFormat="1" applyFont="1" applyFill="1" applyBorder="1"/>
    <xf numFmtId="168" fontId="0" fillId="9" borderId="1" xfId="0" applyNumberFormat="1" applyFont="1" applyFill="1" applyBorder="1"/>
    <xf numFmtId="1" fontId="0" fillId="8" borderId="1" xfId="0" applyNumberFormat="1" applyFill="1" applyBorder="1" applyAlignment="1">
      <alignment wrapText="1"/>
    </xf>
    <xf numFmtId="0" fontId="0" fillId="3" borderId="1" xfId="0" applyFill="1" applyBorder="1" applyAlignment="1">
      <alignment horizontal="center" wrapText="1"/>
    </xf>
    <xf numFmtId="0" fontId="0" fillId="10" borderId="1" xfId="0" applyFill="1" applyBorder="1" applyAlignment="1">
      <alignment horizontal="center"/>
    </xf>
    <xf numFmtId="0" fontId="4" fillId="10" borderId="1" xfId="1" applyFont="1" applyFill="1" applyBorder="1" applyAlignment="1">
      <alignment horizontal="center" wrapText="1"/>
    </xf>
    <xf numFmtId="0" fontId="5" fillId="10" borderId="1" xfId="1" applyFont="1" applyFill="1" applyBorder="1" applyAlignment="1">
      <alignment horizontal="center" wrapText="1"/>
    </xf>
    <xf numFmtId="3" fontId="0" fillId="10" borderId="1" xfId="0" applyNumberFormat="1" applyFont="1" applyFill="1" applyBorder="1"/>
    <xf numFmtId="0" fontId="0" fillId="10" borderId="1" xfId="0" applyFont="1" applyFill="1" applyBorder="1"/>
    <xf numFmtId="168" fontId="0" fillId="10" borderId="1" xfId="0" applyNumberFormat="1" applyFont="1" applyFill="1" applyBorder="1"/>
    <xf numFmtId="0" fontId="0" fillId="10" borderId="1" xfId="0" applyFill="1" applyBorder="1" applyAlignment="1">
      <alignment wrapText="1"/>
    </xf>
    <xf numFmtId="1" fontId="0" fillId="9" borderId="1" xfId="0" applyNumberFormat="1" applyFont="1" applyFill="1" applyBorder="1" applyAlignment="1">
      <alignment horizontal="right"/>
    </xf>
    <xf numFmtId="0" fontId="1" fillId="0" borderId="0" xfId="0" applyFont="1" applyFill="1"/>
    <xf numFmtId="0" fontId="0" fillId="0" borderId="0" xfId="0" applyFill="1"/>
    <xf numFmtId="1" fontId="0" fillId="0" borderId="0" xfId="0" applyNumberFormat="1" applyFill="1"/>
    <xf numFmtId="1" fontId="0" fillId="3" borderId="1" xfId="0" applyNumberFormat="1" applyFill="1" applyBorder="1" applyAlignment="1">
      <alignment wrapText="1"/>
    </xf>
    <xf numFmtId="168" fontId="0" fillId="0" borderId="1" xfId="0" applyNumberFormat="1" applyFill="1" applyBorder="1" applyAlignment="1">
      <alignment horizontal="right"/>
    </xf>
    <xf numFmtId="168" fontId="1" fillId="2" borderId="1" xfId="0" applyNumberFormat="1" applyFont="1" applyFill="1" applyBorder="1" applyAlignment="1">
      <alignment horizontal="right" wrapText="1"/>
    </xf>
    <xf numFmtId="168" fontId="0" fillId="10" borderId="1" xfId="0" applyNumberFormat="1" applyFont="1" applyFill="1" applyBorder="1" applyAlignment="1">
      <alignment horizontal="right"/>
    </xf>
    <xf numFmtId="168" fontId="0" fillId="4" borderId="1" xfId="0" applyNumberFormat="1" applyFont="1" applyFill="1" applyBorder="1" applyAlignment="1">
      <alignment horizontal="right"/>
    </xf>
    <xf numFmtId="168" fontId="0" fillId="5" borderId="1" xfId="0" applyNumberFormat="1" applyFont="1" applyFill="1" applyBorder="1" applyAlignment="1">
      <alignment horizontal="right"/>
    </xf>
    <xf numFmtId="168" fontId="0" fillId="0" borderId="1" xfId="0" applyNumberFormat="1" applyFont="1" applyBorder="1" applyAlignment="1">
      <alignment horizontal="right"/>
    </xf>
    <xf numFmtId="168" fontId="0" fillId="7" borderId="1" xfId="0" applyNumberFormat="1" applyFont="1" applyFill="1" applyBorder="1" applyAlignment="1">
      <alignment horizontal="right"/>
    </xf>
    <xf numFmtId="168" fontId="0" fillId="6" borderId="1" xfId="0" applyNumberFormat="1" applyFont="1" applyFill="1" applyBorder="1" applyAlignment="1">
      <alignment horizontal="right"/>
    </xf>
    <xf numFmtId="168" fontId="5" fillId="8" borderId="1" xfId="0" applyNumberFormat="1" applyFont="1" applyFill="1" applyBorder="1" applyAlignment="1">
      <alignment horizontal="right" wrapText="1"/>
    </xf>
    <xf numFmtId="168" fontId="0" fillId="8" borderId="1" xfId="0" applyNumberFormat="1" applyFont="1" applyFill="1" applyBorder="1" applyAlignment="1">
      <alignment horizontal="right"/>
    </xf>
    <xf numFmtId="168" fontId="0" fillId="3" borderId="1" xfId="0" applyNumberFormat="1" applyFill="1" applyBorder="1" applyAlignment="1">
      <alignment horizontal="right"/>
    </xf>
    <xf numFmtId="168" fontId="0" fillId="9" borderId="1" xfId="0" applyNumberFormat="1" applyFont="1" applyFill="1" applyBorder="1" applyAlignment="1">
      <alignment horizontal="right"/>
    </xf>
    <xf numFmtId="168" fontId="0" fillId="0" borderId="0" xfId="0" applyNumberFormat="1" applyFont="1" applyFill="1" applyAlignment="1">
      <alignment horizontal="right"/>
    </xf>
    <xf numFmtId="168" fontId="0" fillId="0" borderId="0" xfId="0" applyNumberFormat="1" applyFont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9"/>
  <sheetViews>
    <sheetView tabSelected="1" zoomScaleNormal="100" workbookViewId="0">
      <pane ySplit="1" topLeftCell="A23" activePane="bottomLeft" state="frozen"/>
      <selection pane="bottomLeft" activeCell="N43" sqref="N43"/>
    </sheetView>
  </sheetViews>
  <sheetFormatPr defaultRowHeight="15"/>
  <cols>
    <col min="1" max="1" width="9.140625" style="1"/>
    <col min="2" max="2" width="9.42578125" style="1" customWidth="1"/>
    <col min="3" max="3" width="27.85546875" style="52" customWidth="1"/>
    <col min="4" max="4" width="19.7109375" style="1" customWidth="1"/>
    <col min="5" max="5" width="11.5703125" style="108" bestFit="1" customWidth="1"/>
    <col min="6" max="6" width="12.5703125" style="1" bestFit="1" customWidth="1"/>
    <col min="7" max="7" width="15.42578125" style="1" customWidth="1"/>
    <col min="8" max="8" width="10.28515625" style="1" customWidth="1"/>
    <col min="9" max="9" width="12.28515625" style="1" bestFit="1" customWidth="1"/>
    <col min="10" max="10" width="15.85546875" style="1" customWidth="1"/>
    <col min="11" max="11" width="9" style="1" bestFit="1" customWidth="1"/>
    <col min="12" max="16384" width="9.140625" style="1"/>
  </cols>
  <sheetData>
    <row r="1" spans="1:11" ht="30">
      <c r="A1" s="4" t="s">
        <v>45</v>
      </c>
      <c r="B1" s="21" t="s">
        <v>0</v>
      </c>
      <c r="C1" s="21" t="s">
        <v>1</v>
      </c>
      <c r="D1" s="21" t="s">
        <v>2</v>
      </c>
      <c r="E1" s="96" t="s">
        <v>60</v>
      </c>
      <c r="F1" s="20" t="s">
        <v>61</v>
      </c>
      <c r="G1" s="20" t="s">
        <v>62</v>
      </c>
      <c r="H1" s="20" t="s">
        <v>63</v>
      </c>
      <c r="I1" s="20" t="s">
        <v>64</v>
      </c>
      <c r="J1" s="20" t="s">
        <v>65</v>
      </c>
      <c r="K1" s="20" t="s">
        <v>66</v>
      </c>
    </row>
    <row r="2" spans="1:11">
      <c r="A2" s="83" t="s">
        <v>30</v>
      </c>
      <c r="B2" s="84" t="s">
        <v>14</v>
      </c>
      <c r="C2" s="84" t="s">
        <v>15</v>
      </c>
      <c r="D2" s="85" t="s">
        <v>11</v>
      </c>
      <c r="E2" s="97">
        <f>'1 Jackson Exfiltration'!C4</f>
        <v>24.663502758100002</v>
      </c>
      <c r="F2" s="86">
        <f>'1 Jackson Exfiltration'!M4</f>
        <v>314</v>
      </c>
      <c r="G2" s="87">
        <v>3</v>
      </c>
      <c r="H2" s="86">
        <f>ROUND(F2*G2/100,0)</f>
        <v>9</v>
      </c>
      <c r="I2" s="88">
        <f>'1 Jackson Exfiltration'!N4</f>
        <v>72.8</v>
      </c>
      <c r="J2" s="87">
        <v>3</v>
      </c>
      <c r="K2" s="88">
        <f>ROUND(I2*J2/100,1)</f>
        <v>2.2000000000000002</v>
      </c>
    </row>
    <row r="3" spans="1:11" ht="30">
      <c r="A3" s="83" t="s">
        <v>31</v>
      </c>
      <c r="B3" s="84" t="s">
        <v>3</v>
      </c>
      <c r="C3" s="84" t="s">
        <v>4</v>
      </c>
      <c r="D3" s="85" t="s">
        <v>42</v>
      </c>
      <c r="E3" s="97">
        <f>'2 Pineapple Baffle'!C4</f>
        <v>24.663502758100002</v>
      </c>
      <c r="F3" s="86">
        <f>'2 Pineapple Baffle'!M4-H2</f>
        <v>305</v>
      </c>
      <c r="G3" s="89" t="s">
        <v>98</v>
      </c>
      <c r="H3" s="86">
        <v>0</v>
      </c>
      <c r="I3" s="88">
        <f>'2 Pineapple Baffle'!N4-K2</f>
        <v>70.599999999999994</v>
      </c>
      <c r="J3" s="89" t="s">
        <v>98</v>
      </c>
      <c r="K3" s="88">
        <v>0</v>
      </c>
    </row>
    <row r="4" spans="1:11">
      <c r="A4" s="8" t="s">
        <v>32</v>
      </c>
      <c r="B4" s="9" t="s">
        <v>16</v>
      </c>
      <c r="C4" s="9" t="s">
        <v>15</v>
      </c>
      <c r="D4" s="10" t="s">
        <v>11</v>
      </c>
      <c r="E4" s="98">
        <f>'3 Jackson Exfiltration'!C8</f>
        <v>8.2232268415000007</v>
      </c>
      <c r="F4" s="55">
        <f>'3 Jackson Exfiltration'!M8</f>
        <v>79</v>
      </c>
      <c r="G4" s="23">
        <v>7</v>
      </c>
      <c r="H4" s="55">
        <f>ROUND(F4*G4/100,0)</f>
        <v>6</v>
      </c>
      <c r="I4" s="62">
        <f>'3 Jackson Exfiltration'!N8</f>
        <v>11.9</v>
      </c>
      <c r="J4" s="23">
        <v>7</v>
      </c>
      <c r="K4" s="62">
        <f>ROUND(I4*J4/100,1)</f>
        <v>0.8</v>
      </c>
    </row>
    <row r="5" spans="1:11" ht="30">
      <c r="A5" s="8" t="s">
        <v>33</v>
      </c>
      <c r="B5" s="9" t="s">
        <v>5</v>
      </c>
      <c r="C5" s="9" t="s">
        <v>6</v>
      </c>
      <c r="D5" s="10" t="s">
        <v>42</v>
      </c>
      <c r="E5" s="98">
        <f>'4 Orange Baffle'!C8</f>
        <v>8.2232268415000007</v>
      </c>
      <c r="F5" s="55">
        <f>'4 Orange Baffle'!M8-H4</f>
        <v>73</v>
      </c>
      <c r="G5" s="41" t="s">
        <v>98</v>
      </c>
      <c r="H5" s="55">
        <v>0</v>
      </c>
      <c r="I5" s="62">
        <f>'4 Orange Baffle'!N8-K4</f>
        <v>11.1</v>
      </c>
      <c r="J5" s="41" t="s">
        <v>98</v>
      </c>
      <c r="K5" s="62">
        <v>0</v>
      </c>
    </row>
    <row r="6" spans="1:11">
      <c r="A6" s="11" t="s">
        <v>34</v>
      </c>
      <c r="B6" s="12" t="s">
        <v>18</v>
      </c>
      <c r="C6" s="12" t="s">
        <v>15</v>
      </c>
      <c r="D6" s="13" t="s">
        <v>11</v>
      </c>
      <c r="E6" s="99">
        <f>'5 Jackson Exfiltration'!C2</f>
        <v>8.5893689809999998</v>
      </c>
      <c r="F6" s="56">
        <f>'5 Jackson Exfiltration'!M2</f>
        <v>129</v>
      </c>
      <c r="G6" s="24">
        <v>5</v>
      </c>
      <c r="H6" s="56">
        <f>ROUND(F6*G6/100,0)</f>
        <v>6</v>
      </c>
      <c r="I6" s="63">
        <f>'5 Jackson Exfiltration'!N2</f>
        <v>34.1</v>
      </c>
      <c r="J6" s="24">
        <v>5</v>
      </c>
      <c r="K6" s="63">
        <f>ROUND(I6*J6/100,1)</f>
        <v>1.7</v>
      </c>
    </row>
    <row r="7" spans="1:11">
      <c r="A7" s="11" t="s">
        <v>35</v>
      </c>
      <c r="B7" s="12" t="s">
        <v>7</v>
      </c>
      <c r="C7" s="12" t="s">
        <v>8</v>
      </c>
      <c r="D7" s="13" t="s">
        <v>96</v>
      </c>
      <c r="E7" s="99">
        <f>'6 Avacado CDS'!C2</f>
        <v>8.5893689809999998</v>
      </c>
      <c r="F7" s="56">
        <f>'6 Avacado CDS'!M2-H6</f>
        <v>123</v>
      </c>
      <c r="G7" s="24">
        <v>0</v>
      </c>
      <c r="H7" s="56">
        <f t="shared" ref="H7:H22" si="0">ROUND(F7*G7/100,0)</f>
        <v>0</v>
      </c>
      <c r="I7" s="63">
        <f>'6 Avacado CDS'!N2-K6</f>
        <v>32.4</v>
      </c>
      <c r="J7" s="24">
        <v>10</v>
      </c>
      <c r="K7" s="63">
        <f t="shared" ref="K7:K22" si="1">ROUND(I7*J7/100,1)</f>
        <v>3.2</v>
      </c>
    </row>
    <row r="8" spans="1:11">
      <c r="A8" s="5" t="s">
        <v>36</v>
      </c>
      <c r="B8" s="2" t="s">
        <v>17</v>
      </c>
      <c r="C8" s="2" t="s">
        <v>15</v>
      </c>
      <c r="D8" s="3" t="s">
        <v>11</v>
      </c>
      <c r="E8" s="100">
        <f>'7 Jackson Exfiltration'!C13</f>
        <v>11.711601335400001</v>
      </c>
      <c r="F8" s="57">
        <f>'7 Jackson Exfiltration'!M13</f>
        <v>101</v>
      </c>
      <c r="G8" s="22">
        <v>3</v>
      </c>
      <c r="H8" s="57">
        <f>ROUND(F8*G8/100,0)</f>
        <v>3</v>
      </c>
      <c r="I8" s="64">
        <f>'7 Jackson Exfiltration'!N13</f>
        <v>14.699999999999998</v>
      </c>
      <c r="J8" s="22">
        <v>3</v>
      </c>
      <c r="K8" s="64">
        <f>ROUND(I8*J8/100,1)</f>
        <v>0.4</v>
      </c>
    </row>
    <row r="9" spans="1:11">
      <c r="A9" s="38" t="s">
        <v>37</v>
      </c>
      <c r="B9" s="39" t="s">
        <v>27</v>
      </c>
      <c r="C9" s="39" t="s">
        <v>28</v>
      </c>
      <c r="D9" s="39" t="s">
        <v>29</v>
      </c>
      <c r="E9" s="101">
        <f>'8 Roosevelt Baffle'!C11</f>
        <v>55.767989287799999</v>
      </c>
      <c r="F9" s="58">
        <f>'8 Roosevelt Baffle'!M11</f>
        <v>561</v>
      </c>
      <c r="G9" s="40">
        <v>19.05</v>
      </c>
      <c r="H9" s="58">
        <f>ROUND(F9*G9/100,0)</f>
        <v>107</v>
      </c>
      <c r="I9" s="65">
        <f>'8 Roosevelt Baffle'!N11</f>
        <v>93</v>
      </c>
      <c r="J9" s="40">
        <v>15.5</v>
      </c>
      <c r="K9" s="65">
        <f>ROUND(I9*J9/100,1)</f>
        <v>14.4</v>
      </c>
    </row>
    <row r="10" spans="1:11">
      <c r="A10" s="25" t="s">
        <v>73</v>
      </c>
      <c r="B10" s="26" t="s">
        <v>19</v>
      </c>
      <c r="C10" s="26" t="s">
        <v>20</v>
      </c>
      <c r="D10" s="27" t="s">
        <v>11</v>
      </c>
      <c r="E10" s="102">
        <f>'9 Coconut Exfiltration'!C17</f>
        <v>39.717575226699999</v>
      </c>
      <c r="F10" s="59">
        <f>'9 Coconut Exfiltration'!M17</f>
        <v>392</v>
      </c>
      <c r="G10" s="28">
        <f>'Retention Efficiency Calcs'!B19</f>
        <v>7</v>
      </c>
      <c r="H10" s="59">
        <f>ROUND(F10*G10/100,0)</f>
        <v>27</v>
      </c>
      <c r="I10" s="66">
        <f>'9 Coconut Exfiltration'!N17</f>
        <v>65.100000000000009</v>
      </c>
      <c r="J10" s="28">
        <f>'Retention Efficiency Calcs'!B19</f>
        <v>7</v>
      </c>
      <c r="K10" s="66">
        <f>ROUND(I10*J10/100,1)</f>
        <v>4.5999999999999996</v>
      </c>
    </row>
    <row r="11" spans="1:11">
      <c r="A11" s="25" t="s">
        <v>74</v>
      </c>
      <c r="B11" s="26" t="s">
        <v>9</v>
      </c>
      <c r="C11" s="26" t="s">
        <v>10</v>
      </c>
      <c r="D11" s="27" t="s">
        <v>11</v>
      </c>
      <c r="E11" s="102">
        <f>'10 Desoto Exfiltration'!C5</f>
        <v>108.220490372</v>
      </c>
      <c r="F11" s="59">
        <f>'10 Desoto Exfiltration'!M5</f>
        <v>967</v>
      </c>
      <c r="G11" s="28">
        <f>'Retention Efficiency Calcs'!B23</f>
        <v>10</v>
      </c>
      <c r="H11" s="59">
        <f>ROUND(F11*G11/100,0)</f>
        <v>97</v>
      </c>
      <c r="I11" s="66">
        <f>'10 Desoto Exfiltration'!N5</f>
        <v>137.1</v>
      </c>
      <c r="J11" s="28">
        <f>'Retention Efficiency Calcs'!B23</f>
        <v>10</v>
      </c>
      <c r="K11" s="66">
        <f>ROUND(I11*J11/100,1)</f>
        <v>13.7</v>
      </c>
    </row>
    <row r="12" spans="1:11">
      <c r="A12" s="25" t="s">
        <v>38</v>
      </c>
      <c r="B12" s="26" t="s">
        <v>12</v>
      </c>
      <c r="C12" s="26" t="s">
        <v>10</v>
      </c>
      <c r="D12" s="27" t="s">
        <v>11</v>
      </c>
      <c r="E12" s="102">
        <f>'11 Desoto Exfiltration'!C4</f>
        <v>7.7507364818000006</v>
      </c>
      <c r="F12" s="59">
        <f>'11 Desoto Exfiltration'!M4</f>
        <v>64</v>
      </c>
      <c r="G12" s="28">
        <f>'Retention Efficiency Calcs'!B27</f>
        <v>39</v>
      </c>
      <c r="H12" s="59">
        <f t="shared" si="0"/>
        <v>25</v>
      </c>
      <c r="I12" s="66">
        <f>'11 Desoto Exfiltration'!N4</f>
        <v>9.1</v>
      </c>
      <c r="J12" s="28">
        <f>'Retention Efficiency Calcs'!B27</f>
        <v>39</v>
      </c>
      <c r="K12" s="66">
        <f t="shared" si="1"/>
        <v>3.5</v>
      </c>
    </row>
    <row r="13" spans="1:11" ht="30">
      <c r="A13" s="25" t="s">
        <v>39</v>
      </c>
      <c r="B13" s="26" t="s">
        <v>21</v>
      </c>
      <c r="C13" s="26" t="s">
        <v>22</v>
      </c>
      <c r="D13" s="27" t="s">
        <v>44</v>
      </c>
      <c r="E13" s="102">
        <f>'12 Jamaica Ponds'!C31</f>
        <v>216.21714410609994</v>
      </c>
      <c r="F13" s="59">
        <f>'12 Jamaica Ponds'!N31-H10-H11-H12</f>
        <v>1769</v>
      </c>
      <c r="G13" s="28">
        <f>'Wet Pond Efficiency Calcs'!B7</f>
        <v>33.9</v>
      </c>
      <c r="H13" s="59">
        <f>ROUND(F13*G13/100,0)</f>
        <v>600</v>
      </c>
      <c r="I13" s="66">
        <f>'12 Jamaica Ponds'!O31-K10-K11-K12</f>
        <v>257.50000000000006</v>
      </c>
      <c r="J13" s="29">
        <f>'Wet Pond Efficiency Calcs'!B6</f>
        <v>62.2</v>
      </c>
      <c r="K13" s="66">
        <f>ROUND(I13*J13/100,1)</f>
        <v>160.19999999999999</v>
      </c>
    </row>
    <row r="14" spans="1:11">
      <c r="A14" s="25" t="s">
        <v>40</v>
      </c>
      <c r="B14" s="27" t="s">
        <v>25</v>
      </c>
      <c r="C14" s="27" t="s">
        <v>26</v>
      </c>
      <c r="D14" s="27" t="s">
        <v>43</v>
      </c>
      <c r="E14" s="102">
        <f>'13 Jamaica Reuse'!C31</f>
        <v>216.21714410609994</v>
      </c>
      <c r="F14" s="59">
        <f>'13 Jamaica Reuse'!M31-H13</f>
        <v>1318</v>
      </c>
      <c r="G14" s="29">
        <f>'Wet Pond Efficiency Calcs'!B14</f>
        <v>21</v>
      </c>
      <c r="H14" s="59">
        <f>ROUND(F14*G14/100,0)</f>
        <v>277</v>
      </c>
      <c r="I14" s="66">
        <f>'13 Jamaica Reuse'!N31-K13</f>
        <v>119.10000000000008</v>
      </c>
      <c r="J14" s="29">
        <f>'Wet Pond Efficiency Calcs'!B14</f>
        <v>21</v>
      </c>
      <c r="K14" s="66">
        <f>ROUND(I14*J14/100,1)</f>
        <v>25</v>
      </c>
    </row>
    <row r="15" spans="1:11">
      <c r="A15" s="25" t="s">
        <v>41</v>
      </c>
      <c r="B15" s="26" t="s">
        <v>13</v>
      </c>
      <c r="C15" s="26" t="s">
        <v>10</v>
      </c>
      <c r="D15" s="27" t="s">
        <v>11</v>
      </c>
      <c r="E15" s="102">
        <f>'14 Desoto Exfiltration'!C4</f>
        <v>3.5387322377000001</v>
      </c>
      <c r="F15" s="59">
        <f>'14 Desoto Exfiltration'!M4</f>
        <v>32</v>
      </c>
      <c r="G15" s="28">
        <f>'Retention Efficiency Calcs'!B31</f>
        <v>53</v>
      </c>
      <c r="H15" s="59">
        <f t="shared" si="0"/>
        <v>17</v>
      </c>
      <c r="I15" s="66">
        <f>'14 Desoto Exfiltration'!N4</f>
        <v>4.5999999999999996</v>
      </c>
      <c r="J15" s="28">
        <f>'Retention Efficiency Calcs'!B31</f>
        <v>53</v>
      </c>
      <c r="K15" s="66">
        <f t="shared" si="1"/>
        <v>2.4</v>
      </c>
    </row>
    <row r="16" spans="1:11">
      <c r="A16" s="25" t="s">
        <v>75</v>
      </c>
      <c r="B16" s="26" t="s">
        <v>23</v>
      </c>
      <c r="C16" s="26" t="s">
        <v>24</v>
      </c>
      <c r="D16" s="27" t="s">
        <v>97</v>
      </c>
      <c r="E16" s="102">
        <f>'15 Desoto Baffle'!C9</f>
        <v>57.84451138739999</v>
      </c>
      <c r="F16" s="59">
        <f>'15 Desoto Baffle'!M9-H15</f>
        <v>433</v>
      </c>
      <c r="G16" s="42">
        <v>19.05</v>
      </c>
      <c r="H16" s="59">
        <f t="shared" si="0"/>
        <v>82</v>
      </c>
      <c r="I16" s="66">
        <f>'15 Desoto Baffle'!N9-K15</f>
        <v>61</v>
      </c>
      <c r="J16" s="42">
        <v>15.5</v>
      </c>
      <c r="K16" s="66">
        <f t="shared" si="1"/>
        <v>9.5</v>
      </c>
    </row>
    <row r="17" spans="1:11">
      <c r="A17" s="69" t="s">
        <v>101</v>
      </c>
      <c r="B17" s="70" t="s">
        <v>102</v>
      </c>
      <c r="C17" s="71" t="s">
        <v>127</v>
      </c>
      <c r="D17" s="72" t="s">
        <v>132</v>
      </c>
      <c r="E17" s="103">
        <f>'Cassia 22'!C11</f>
        <v>32.500777146200001</v>
      </c>
      <c r="F17" s="73">
        <f>'Cassia 22'!M11</f>
        <v>322</v>
      </c>
      <c r="G17" s="74">
        <v>19.05</v>
      </c>
      <c r="H17" s="73">
        <f t="shared" si="0"/>
        <v>61</v>
      </c>
      <c r="I17" s="75">
        <f>'Cassia 22'!N11</f>
        <v>53.20000000000001</v>
      </c>
      <c r="J17" s="74">
        <v>15.5</v>
      </c>
      <c r="K17" s="75">
        <f t="shared" si="1"/>
        <v>8.1999999999999993</v>
      </c>
    </row>
    <row r="18" spans="1:11">
      <c r="A18" s="69" t="s">
        <v>104</v>
      </c>
      <c r="B18" s="70" t="s">
        <v>102</v>
      </c>
      <c r="C18" s="71" t="s">
        <v>128</v>
      </c>
      <c r="D18" s="72" t="s">
        <v>132</v>
      </c>
      <c r="E18" s="104">
        <f>'Cassia 23'!C9</f>
        <v>12.8889625205</v>
      </c>
      <c r="F18" s="73">
        <f>'Cassia 23'!M9</f>
        <v>158</v>
      </c>
      <c r="G18" s="74">
        <v>19.05</v>
      </c>
      <c r="H18" s="73">
        <f t="shared" si="0"/>
        <v>30</v>
      </c>
      <c r="I18" s="75">
        <f>'Cassia 23'!N9</f>
        <v>35.9</v>
      </c>
      <c r="J18" s="74">
        <v>15.5</v>
      </c>
      <c r="K18" s="75">
        <f t="shared" si="1"/>
        <v>5.6</v>
      </c>
    </row>
    <row r="19" spans="1:11">
      <c r="A19" s="69" t="s">
        <v>105</v>
      </c>
      <c r="B19" s="70" t="s">
        <v>102</v>
      </c>
      <c r="C19" s="71" t="s">
        <v>129</v>
      </c>
      <c r="D19" s="72" t="s">
        <v>120</v>
      </c>
      <c r="E19" s="104">
        <f>'Cassia 24'!C7</f>
        <v>12.751874905600001</v>
      </c>
      <c r="F19" s="73">
        <f>'Cassia 24'!M7</f>
        <v>141</v>
      </c>
      <c r="G19" s="81">
        <f>'Retention Efficiency Calcs'!B35</f>
        <v>13</v>
      </c>
      <c r="H19" s="73">
        <f t="shared" si="0"/>
        <v>18</v>
      </c>
      <c r="I19" s="75">
        <f>'Cassia 24'!N7</f>
        <v>27.099999999999998</v>
      </c>
      <c r="J19" s="81">
        <f>'Retention Efficiency Calcs'!B35</f>
        <v>13</v>
      </c>
      <c r="K19" s="75">
        <f t="shared" si="1"/>
        <v>3.5</v>
      </c>
    </row>
    <row r="20" spans="1:11">
      <c r="A20" s="69" t="s">
        <v>106</v>
      </c>
      <c r="B20" s="70" t="s">
        <v>102</v>
      </c>
      <c r="C20" s="71" t="s">
        <v>130</v>
      </c>
      <c r="D20" s="72" t="s">
        <v>120</v>
      </c>
      <c r="E20" s="104">
        <f>'Cassia 25'!C6</f>
        <v>19.7489022406</v>
      </c>
      <c r="F20" s="73">
        <f>'Cassia 25'!M6</f>
        <v>181</v>
      </c>
      <c r="G20" s="81">
        <f>'Retention Efficiency Calcs'!B39</f>
        <v>7</v>
      </c>
      <c r="H20" s="73">
        <f t="shared" si="0"/>
        <v>13</v>
      </c>
      <c r="I20" s="75">
        <f>'Cassia 25'!N6</f>
        <v>26.1</v>
      </c>
      <c r="J20" s="81">
        <f>'Retention Efficiency Calcs'!B39</f>
        <v>7</v>
      </c>
      <c r="K20" s="75">
        <f t="shared" si="1"/>
        <v>1.8</v>
      </c>
    </row>
    <row r="21" spans="1:11">
      <c r="A21" s="69" t="s">
        <v>107</v>
      </c>
      <c r="B21" s="70" t="s">
        <v>102</v>
      </c>
      <c r="C21" s="71" t="s">
        <v>131</v>
      </c>
      <c r="D21" s="72" t="s">
        <v>120</v>
      </c>
      <c r="E21" s="104">
        <f>'Cassia 26'!C16</f>
        <v>14.133536533999997</v>
      </c>
      <c r="F21" s="73">
        <f>'Cassia 26'!M16</f>
        <v>173</v>
      </c>
      <c r="G21" s="81">
        <f>'Retention Efficiency Calcs'!B43</f>
        <v>7</v>
      </c>
      <c r="H21" s="73">
        <f t="shared" si="0"/>
        <v>12</v>
      </c>
      <c r="I21" s="75">
        <f>'Cassia 26'!N16</f>
        <v>36.700000000000003</v>
      </c>
      <c r="J21" s="81">
        <f>'Retention Efficiency Calcs'!B43</f>
        <v>7</v>
      </c>
      <c r="K21" s="75">
        <f t="shared" si="1"/>
        <v>2.6</v>
      </c>
    </row>
    <row r="22" spans="1:11" ht="30">
      <c r="A22" s="6" t="s">
        <v>121</v>
      </c>
      <c r="B22" s="7" t="s">
        <v>102</v>
      </c>
      <c r="C22" s="82" t="s">
        <v>109</v>
      </c>
      <c r="D22" s="6" t="s">
        <v>120</v>
      </c>
      <c r="E22" s="105">
        <f>'North Basin'!C66</f>
        <v>97.851197756000005</v>
      </c>
      <c r="F22" s="54">
        <f>'North Basin'!M66</f>
        <v>1445</v>
      </c>
      <c r="G22" s="94">
        <f>'Retention Efficiency Calcs'!B47</f>
        <v>22</v>
      </c>
      <c r="H22" s="54">
        <f t="shared" si="0"/>
        <v>318</v>
      </c>
      <c r="I22" s="61">
        <f>'North Basin'!N66</f>
        <v>366.10000000000014</v>
      </c>
      <c r="J22" s="94">
        <f>'Retention Efficiency Calcs'!B47</f>
        <v>22</v>
      </c>
      <c r="K22" s="61">
        <f t="shared" si="1"/>
        <v>80.5</v>
      </c>
    </row>
    <row r="23" spans="1:11">
      <c r="A23" s="48" t="s">
        <v>123</v>
      </c>
      <c r="B23" s="2" t="s">
        <v>102</v>
      </c>
      <c r="C23" s="50" t="s">
        <v>108</v>
      </c>
      <c r="D23" s="48" t="s">
        <v>108</v>
      </c>
      <c r="E23" s="95" t="s">
        <v>102</v>
      </c>
      <c r="F23" s="53" t="s">
        <v>102</v>
      </c>
      <c r="G23" s="53" t="s">
        <v>102</v>
      </c>
      <c r="H23" s="60">
        <f>ROUND('Street Sweeping'!A10,0)</f>
        <v>251</v>
      </c>
      <c r="I23" s="53" t="s">
        <v>102</v>
      </c>
      <c r="J23" s="53" t="s">
        <v>102</v>
      </c>
      <c r="K23" s="67">
        <f>ROUND('Street Sweeping'!A14,1)</f>
        <v>113</v>
      </c>
    </row>
    <row r="24" spans="1:11" ht="75">
      <c r="A24" s="48" t="s">
        <v>122</v>
      </c>
      <c r="B24" s="2" t="s">
        <v>102</v>
      </c>
      <c r="C24" s="50" t="s">
        <v>110</v>
      </c>
      <c r="D24" s="3" t="s">
        <v>103</v>
      </c>
      <c r="E24" s="95" t="s">
        <v>102</v>
      </c>
      <c r="F24" s="60">
        <v>16692</v>
      </c>
      <c r="G24" s="49">
        <v>3</v>
      </c>
      <c r="H24" s="60">
        <f t="shared" ref="H24:H42" si="2">ROUND(F24*G24/100,0)</f>
        <v>501</v>
      </c>
      <c r="I24" s="67">
        <v>3283.9</v>
      </c>
      <c r="J24" s="49">
        <v>3</v>
      </c>
      <c r="K24" s="67">
        <f t="shared" ref="K24:K42" si="3">ROUND(I24*J24/100,1)</f>
        <v>98.5</v>
      </c>
    </row>
    <row r="25" spans="1:11">
      <c r="A25" s="76" t="s">
        <v>124</v>
      </c>
      <c r="B25" s="77" t="s">
        <v>102</v>
      </c>
      <c r="C25" s="78" t="s">
        <v>150</v>
      </c>
      <c r="D25" s="76" t="s">
        <v>120</v>
      </c>
      <c r="E25" s="106">
        <f>'C3A'!C8</f>
        <v>0.24089231899999997</v>
      </c>
      <c r="F25" s="79">
        <f>'C3A'!M8</f>
        <v>3</v>
      </c>
      <c r="G25" s="90">
        <f>'Retention Efficiency Calcs'!B51</f>
        <v>92</v>
      </c>
      <c r="H25" s="79">
        <f t="shared" si="2"/>
        <v>3</v>
      </c>
      <c r="I25" s="106">
        <f>'C3A'!N8</f>
        <v>0.6</v>
      </c>
      <c r="J25" s="90">
        <f>G25</f>
        <v>92</v>
      </c>
      <c r="K25" s="80">
        <f t="shared" si="3"/>
        <v>0.6</v>
      </c>
    </row>
    <row r="26" spans="1:11">
      <c r="A26" s="76" t="s">
        <v>125</v>
      </c>
      <c r="B26" s="77" t="s">
        <v>102</v>
      </c>
      <c r="C26" s="78" t="s">
        <v>151</v>
      </c>
      <c r="D26" s="76" t="s">
        <v>120</v>
      </c>
      <c r="E26" s="106">
        <f>'C3B'!C4</f>
        <v>0.15043173830000001</v>
      </c>
      <c r="F26" s="79">
        <f>'C3B'!M4</f>
        <v>2</v>
      </c>
      <c r="G26" s="90">
        <f>'Retention Efficiency Calcs'!B55</f>
        <v>100</v>
      </c>
      <c r="H26" s="79">
        <f t="shared" si="2"/>
        <v>2</v>
      </c>
      <c r="I26" s="106">
        <f>'C3B'!N4</f>
        <v>0.5</v>
      </c>
      <c r="J26" s="90">
        <f t="shared" ref="J26:J44" si="4">G26</f>
        <v>100</v>
      </c>
      <c r="K26" s="80">
        <f t="shared" si="3"/>
        <v>0.5</v>
      </c>
    </row>
    <row r="27" spans="1:11">
      <c r="A27" s="76" t="s">
        <v>126</v>
      </c>
      <c r="B27" s="77" t="s">
        <v>102</v>
      </c>
      <c r="C27" s="78" t="s">
        <v>152</v>
      </c>
      <c r="D27" s="76" t="s">
        <v>120</v>
      </c>
      <c r="E27" s="106">
        <f>'C3C'!C4</f>
        <v>0.16143058129999999</v>
      </c>
      <c r="F27" s="79">
        <f>'C3C'!M4</f>
        <v>2</v>
      </c>
      <c r="G27" s="90">
        <f>'Retention Efficiency Calcs'!B59</f>
        <v>100</v>
      </c>
      <c r="H27" s="79">
        <f t="shared" si="2"/>
        <v>2</v>
      </c>
      <c r="I27" s="106">
        <f>'C3C'!N4</f>
        <v>0.5</v>
      </c>
      <c r="J27" s="90">
        <f t="shared" si="4"/>
        <v>100</v>
      </c>
      <c r="K27" s="80">
        <f t="shared" si="3"/>
        <v>0.5</v>
      </c>
    </row>
    <row r="28" spans="1:11">
      <c r="A28" s="76" t="s">
        <v>133</v>
      </c>
      <c r="B28" s="77" t="s">
        <v>102</v>
      </c>
      <c r="C28" s="78" t="s">
        <v>153</v>
      </c>
      <c r="D28" s="76" t="s">
        <v>120</v>
      </c>
      <c r="E28" s="106">
        <f>'C3D'!C4</f>
        <v>0.2096604162</v>
      </c>
      <c r="F28" s="79">
        <f>'C3D'!M4</f>
        <v>3</v>
      </c>
      <c r="G28" s="90">
        <f>'Retention Efficiency Calcs'!B63</f>
        <v>98</v>
      </c>
      <c r="H28" s="79">
        <f t="shared" si="2"/>
        <v>3</v>
      </c>
      <c r="I28" s="106">
        <f>'C3D'!N4</f>
        <v>0.8</v>
      </c>
      <c r="J28" s="90">
        <f t="shared" si="4"/>
        <v>98</v>
      </c>
      <c r="K28" s="80">
        <f t="shared" si="3"/>
        <v>0.8</v>
      </c>
    </row>
    <row r="29" spans="1:11">
      <c r="A29" s="76" t="s">
        <v>134</v>
      </c>
      <c r="B29" s="77" t="s">
        <v>102</v>
      </c>
      <c r="C29" s="78" t="s">
        <v>154</v>
      </c>
      <c r="D29" s="76" t="s">
        <v>120</v>
      </c>
      <c r="E29" s="106">
        <f>'C3E'!C2</f>
        <v>0.16720241520000001</v>
      </c>
      <c r="F29" s="79">
        <f>'C3E'!M2</f>
        <v>3</v>
      </c>
      <c r="G29" s="90">
        <f>'Retention Efficiency Calcs'!B67</f>
        <v>100</v>
      </c>
      <c r="H29" s="79">
        <f t="shared" si="2"/>
        <v>3</v>
      </c>
      <c r="I29" s="106">
        <f>'C3E'!N2</f>
        <v>0.7</v>
      </c>
      <c r="J29" s="90">
        <f t="shared" si="4"/>
        <v>100</v>
      </c>
      <c r="K29" s="80">
        <f t="shared" si="3"/>
        <v>0.7</v>
      </c>
    </row>
    <row r="30" spans="1:11">
      <c r="A30" s="76" t="s">
        <v>135</v>
      </c>
      <c r="B30" s="77" t="s">
        <v>102</v>
      </c>
      <c r="C30" s="78" t="s">
        <v>155</v>
      </c>
      <c r="D30" s="76" t="s">
        <v>120</v>
      </c>
      <c r="E30" s="106">
        <f>'C3F'!C2</f>
        <v>2.0332905865000002</v>
      </c>
      <c r="F30" s="79">
        <f>'C3F'!M2</f>
        <v>30</v>
      </c>
      <c r="G30" s="90">
        <f>'Retention Efficiency Calcs'!B71</f>
        <v>37</v>
      </c>
      <c r="H30" s="79">
        <f t="shared" si="2"/>
        <v>11</v>
      </c>
      <c r="I30" s="106">
        <f>'C3F'!N2</f>
        <v>8.1</v>
      </c>
      <c r="J30" s="90">
        <f t="shared" si="4"/>
        <v>37</v>
      </c>
      <c r="K30" s="80">
        <f t="shared" si="3"/>
        <v>3</v>
      </c>
    </row>
    <row r="31" spans="1:11">
      <c r="A31" s="76" t="s">
        <v>136</v>
      </c>
      <c r="B31" s="77" t="s">
        <v>102</v>
      </c>
      <c r="C31" s="78" t="s">
        <v>156</v>
      </c>
      <c r="D31" s="76" t="s">
        <v>120</v>
      </c>
      <c r="E31" s="106">
        <f>'C3G'!C2</f>
        <v>1.2990052915999999</v>
      </c>
      <c r="F31" s="79">
        <f>'C3G'!M2</f>
        <v>19</v>
      </c>
      <c r="G31" s="90">
        <f>'Retention Efficiency Calcs'!B75</f>
        <v>44</v>
      </c>
      <c r="H31" s="79">
        <f t="shared" si="2"/>
        <v>8</v>
      </c>
      <c r="I31" s="106">
        <f>'C3G'!N2</f>
        <v>5.2</v>
      </c>
      <c r="J31" s="90">
        <f t="shared" si="4"/>
        <v>44</v>
      </c>
      <c r="K31" s="80">
        <f t="shared" si="3"/>
        <v>2.2999999999999998</v>
      </c>
    </row>
    <row r="32" spans="1:11">
      <c r="A32" s="76" t="s">
        <v>137</v>
      </c>
      <c r="B32" s="77" t="s">
        <v>102</v>
      </c>
      <c r="C32" s="78" t="s">
        <v>157</v>
      </c>
      <c r="D32" s="76" t="s">
        <v>120</v>
      </c>
      <c r="E32" s="106">
        <f>'C5A'!C4</f>
        <v>0.18752370979999999</v>
      </c>
      <c r="F32" s="79">
        <f>'C5A'!M4</f>
        <v>2</v>
      </c>
      <c r="G32" s="90">
        <f>'Retention Efficiency Calcs'!B79</f>
        <v>94</v>
      </c>
      <c r="H32" s="79">
        <f t="shared" si="2"/>
        <v>2</v>
      </c>
      <c r="I32" s="106">
        <f>'C5A'!N4</f>
        <v>0.5</v>
      </c>
      <c r="J32" s="90">
        <f t="shared" si="4"/>
        <v>94</v>
      </c>
      <c r="K32" s="80">
        <f t="shared" si="3"/>
        <v>0.5</v>
      </c>
    </row>
    <row r="33" spans="1:12">
      <c r="A33" s="76" t="s">
        <v>138</v>
      </c>
      <c r="B33" s="77" t="s">
        <v>102</v>
      </c>
      <c r="C33" s="78" t="s">
        <v>158</v>
      </c>
      <c r="D33" s="76" t="s">
        <v>120</v>
      </c>
      <c r="E33" s="106">
        <f>'C5B'!C4</f>
        <v>5.8679309087</v>
      </c>
      <c r="F33" s="79">
        <f>'C5B'!M4</f>
        <v>71</v>
      </c>
      <c r="G33" s="90">
        <f>'Retention Efficiency Calcs'!B83</f>
        <v>34</v>
      </c>
      <c r="H33" s="79">
        <f t="shared" si="2"/>
        <v>24</v>
      </c>
      <c r="I33" s="106">
        <f>'C5B'!N4</f>
        <v>15.8</v>
      </c>
      <c r="J33" s="90">
        <f t="shared" si="4"/>
        <v>34</v>
      </c>
      <c r="K33" s="80">
        <f t="shared" si="3"/>
        <v>5.4</v>
      </c>
    </row>
    <row r="34" spans="1:12">
      <c r="A34" s="76" t="s">
        <v>139</v>
      </c>
      <c r="B34" s="77" t="s">
        <v>102</v>
      </c>
      <c r="C34" s="78" t="s">
        <v>159</v>
      </c>
      <c r="D34" s="76" t="s">
        <v>120</v>
      </c>
      <c r="E34" s="106">
        <f>'C7A'!C2</f>
        <v>0.39962589609999999</v>
      </c>
      <c r="F34" s="79">
        <f>'C7A'!M2</f>
        <v>4</v>
      </c>
      <c r="G34" s="90">
        <f>'Retention Efficiency Calcs'!B87</f>
        <v>72</v>
      </c>
      <c r="H34" s="79">
        <f t="shared" si="2"/>
        <v>3</v>
      </c>
      <c r="I34" s="106">
        <f>'C7A'!N2</f>
        <v>0.5</v>
      </c>
      <c r="J34" s="90">
        <f t="shared" si="4"/>
        <v>72</v>
      </c>
      <c r="K34" s="80">
        <f t="shared" si="3"/>
        <v>0.4</v>
      </c>
    </row>
    <row r="35" spans="1:12">
      <c r="A35" s="76" t="s">
        <v>140</v>
      </c>
      <c r="B35" s="77" t="s">
        <v>102</v>
      </c>
      <c r="C35" s="78" t="s">
        <v>160</v>
      </c>
      <c r="D35" s="76" t="s">
        <v>120</v>
      </c>
      <c r="E35" s="106">
        <f>'C7B'!C4</f>
        <v>4.0732025874</v>
      </c>
      <c r="F35" s="79">
        <f>'C7B'!M4</f>
        <v>37</v>
      </c>
      <c r="G35" s="90">
        <f>'Retention Efficiency Calcs'!B91</f>
        <v>67</v>
      </c>
      <c r="H35" s="79">
        <f t="shared" si="2"/>
        <v>25</v>
      </c>
      <c r="I35" s="106">
        <f>'C7B'!N4</f>
        <v>5.2</v>
      </c>
      <c r="J35" s="90">
        <f t="shared" si="4"/>
        <v>67</v>
      </c>
      <c r="K35" s="80">
        <f t="shared" si="3"/>
        <v>3.5</v>
      </c>
    </row>
    <row r="36" spans="1:12">
      <c r="A36" s="76" t="s">
        <v>141</v>
      </c>
      <c r="B36" s="77" t="s">
        <v>102</v>
      </c>
      <c r="C36" s="78" t="s">
        <v>161</v>
      </c>
      <c r="D36" s="76" t="s">
        <v>120</v>
      </c>
      <c r="E36" s="106">
        <f>'C9A'!C2</f>
        <v>0.45739525130000003</v>
      </c>
      <c r="F36" s="79">
        <f>'C9A'!M2</f>
        <v>4</v>
      </c>
      <c r="G36" s="90">
        <f>'Retention Efficiency Calcs'!B95</f>
        <v>100</v>
      </c>
      <c r="H36" s="79">
        <f t="shared" si="2"/>
        <v>4</v>
      </c>
      <c r="I36" s="106">
        <f>'C9A'!N2</f>
        <v>0.6</v>
      </c>
      <c r="J36" s="90">
        <f t="shared" si="4"/>
        <v>100</v>
      </c>
      <c r="K36" s="80">
        <f t="shared" si="3"/>
        <v>0.6</v>
      </c>
    </row>
    <row r="37" spans="1:12">
      <c r="A37" s="76" t="s">
        <v>142</v>
      </c>
      <c r="B37" s="77" t="s">
        <v>102</v>
      </c>
      <c r="C37" s="78" t="s">
        <v>162</v>
      </c>
      <c r="D37" s="76" t="s">
        <v>120</v>
      </c>
      <c r="E37" s="106">
        <f>'C9B'!C4</f>
        <v>2.0555538028</v>
      </c>
      <c r="F37" s="79">
        <f>'C9B'!M4</f>
        <v>19</v>
      </c>
      <c r="G37" s="90">
        <f>'Retention Efficiency Calcs'!B99</f>
        <v>100</v>
      </c>
      <c r="H37" s="79">
        <f t="shared" si="2"/>
        <v>19</v>
      </c>
      <c r="I37" s="106">
        <f>'C9B'!N4</f>
        <v>2.8000000000000003</v>
      </c>
      <c r="J37" s="90">
        <f t="shared" si="4"/>
        <v>100</v>
      </c>
      <c r="K37" s="80">
        <f t="shared" si="3"/>
        <v>2.8</v>
      </c>
    </row>
    <row r="38" spans="1:12">
      <c r="A38" s="76" t="s">
        <v>143</v>
      </c>
      <c r="B38" s="77" t="s">
        <v>102</v>
      </c>
      <c r="C38" s="78" t="s">
        <v>163</v>
      </c>
      <c r="D38" s="76" t="s">
        <v>120</v>
      </c>
      <c r="E38" s="106">
        <f>'C13A'!C5</f>
        <v>1.1681772189999999</v>
      </c>
      <c r="F38" s="79">
        <f>'C13A'!M5</f>
        <v>17</v>
      </c>
      <c r="G38" s="90">
        <f>'Retention Efficiency Calcs'!B103</f>
        <v>42</v>
      </c>
      <c r="H38" s="79">
        <f t="shared" si="2"/>
        <v>7</v>
      </c>
      <c r="I38" s="106">
        <f>'C13A'!N5</f>
        <v>4.5999999999999996</v>
      </c>
      <c r="J38" s="90">
        <f t="shared" si="4"/>
        <v>42</v>
      </c>
      <c r="K38" s="80">
        <f t="shared" si="3"/>
        <v>1.9</v>
      </c>
    </row>
    <row r="39" spans="1:12">
      <c r="A39" s="76" t="s">
        <v>144</v>
      </c>
      <c r="B39" s="77" t="s">
        <v>102</v>
      </c>
      <c r="C39" s="78" t="s">
        <v>164</v>
      </c>
      <c r="D39" s="76" t="s">
        <v>120</v>
      </c>
      <c r="E39" s="106">
        <f>'C13B'!C2</f>
        <v>7.6225718400000003E-2</v>
      </c>
      <c r="F39" s="79">
        <f>'C13B'!M2</f>
        <v>1</v>
      </c>
      <c r="G39" s="90">
        <f>'Retention Efficiency Calcs'!B107</f>
        <v>100</v>
      </c>
      <c r="H39" s="79">
        <f t="shared" si="2"/>
        <v>1</v>
      </c>
      <c r="I39" s="106">
        <f>'C13B'!N2</f>
        <v>0.3</v>
      </c>
      <c r="J39" s="90">
        <f t="shared" si="4"/>
        <v>100</v>
      </c>
      <c r="K39" s="80">
        <f t="shared" si="3"/>
        <v>0.3</v>
      </c>
    </row>
    <row r="40" spans="1:12">
      <c r="A40" s="76" t="s">
        <v>145</v>
      </c>
      <c r="B40" s="77" t="s">
        <v>102</v>
      </c>
      <c r="C40" s="78" t="s">
        <v>165</v>
      </c>
      <c r="D40" s="76" t="s">
        <v>120</v>
      </c>
      <c r="E40" s="106">
        <f>'C13C'!C7</f>
        <v>3.0656246774999998</v>
      </c>
      <c r="F40" s="79">
        <f>'C13C'!M7</f>
        <v>28</v>
      </c>
      <c r="G40" s="90">
        <f>'Retention Efficiency Calcs'!B111</f>
        <v>33</v>
      </c>
      <c r="H40" s="79">
        <f t="shared" si="2"/>
        <v>9</v>
      </c>
      <c r="I40" s="106">
        <f>'C13C'!N7</f>
        <v>5.3</v>
      </c>
      <c r="J40" s="90">
        <f t="shared" si="4"/>
        <v>33</v>
      </c>
      <c r="K40" s="80">
        <f t="shared" si="3"/>
        <v>1.7</v>
      </c>
    </row>
    <row r="41" spans="1:12">
      <c r="A41" s="76" t="s">
        <v>146</v>
      </c>
      <c r="B41" s="77" t="s">
        <v>102</v>
      </c>
      <c r="C41" s="78" t="s">
        <v>166</v>
      </c>
      <c r="D41" s="76" t="s">
        <v>120</v>
      </c>
      <c r="E41" s="106">
        <f>'C13D'!C5</f>
        <v>0.54525121160000001</v>
      </c>
      <c r="F41" s="79">
        <f>'C13D'!M5</f>
        <v>8</v>
      </c>
      <c r="G41" s="90">
        <f>'Retention Efficiency Calcs'!B115</f>
        <v>84</v>
      </c>
      <c r="H41" s="79">
        <f t="shared" si="2"/>
        <v>7</v>
      </c>
      <c r="I41" s="106">
        <f>'C13D'!N5</f>
        <v>1.9</v>
      </c>
      <c r="J41" s="90">
        <f t="shared" si="4"/>
        <v>84</v>
      </c>
      <c r="K41" s="80">
        <f t="shared" si="3"/>
        <v>1.6</v>
      </c>
    </row>
    <row r="42" spans="1:12">
      <c r="A42" s="76" t="s">
        <v>147</v>
      </c>
      <c r="B42" s="77" t="s">
        <v>102</v>
      </c>
      <c r="C42" s="78" t="s">
        <v>167</v>
      </c>
      <c r="D42" s="76" t="s">
        <v>120</v>
      </c>
      <c r="E42" s="106">
        <f>'C13E'!C5</f>
        <v>0.91478115290000006</v>
      </c>
      <c r="F42" s="79">
        <f>'C13E'!M5</f>
        <v>13</v>
      </c>
      <c r="G42" s="90">
        <f>'Retention Efficiency Calcs'!B119</f>
        <v>68</v>
      </c>
      <c r="H42" s="79">
        <f t="shared" si="2"/>
        <v>9</v>
      </c>
      <c r="I42" s="106">
        <f>'C13E'!N5</f>
        <v>3.2</v>
      </c>
      <c r="J42" s="90">
        <f t="shared" si="4"/>
        <v>68</v>
      </c>
      <c r="K42" s="80">
        <f t="shared" si="3"/>
        <v>2.2000000000000002</v>
      </c>
    </row>
    <row r="43" spans="1:12">
      <c r="A43" s="76" t="s">
        <v>148</v>
      </c>
      <c r="B43" s="77" t="s">
        <v>102</v>
      </c>
      <c r="C43" s="78" t="s">
        <v>168</v>
      </c>
      <c r="D43" s="76" t="s">
        <v>120</v>
      </c>
      <c r="E43" s="106">
        <f>'C13F'!C2</f>
        <v>1.5593996043</v>
      </c>
      <c r="F43" s="79">
        <f>'C13F'!M2</f>
        <v>22</v>
      </c>
      <c r="G43" s="90">
        <f>'Retention Efficiency Calcs'!B123</f>
        <v>48</v>
      </c>
      <c r="H43" s="79">
        <f>ROUND(F43*G43/100,0)</f>
        <v>11</v>
      </c>
      <c r="I43" s="106">
        <f>'C13F'!N2</f>
        <v>5.4</v>
      </c>
      <c r="J43" s="90">
        <f t="shared" si="4"/>
        <v>48</v>
      </c>
      <c r="K43" s="80">
        <f>ROUND(I43*J43/100,1)</f>
        <v>2.6</v>
      </c>
    </row>
    <row r="44" spans="1:12">
      <c r="A44" s="76" t="s">
        <v>149</v>
      </c>
      <c r="B44" s="77" t="s">
        <v>102</v>
      </c>
      <c r="C44" s="78" t="s">
        <v>169</v>
      </c>
      <c r="D44" s="76" t="s">
        <v>120</v>
      </c>
      <c r="E44" s="106">
        <f>'C13G'!C4</f>
        <v>3.2592906835999997</v>
      </c>
      <c r="F44" s="79">
        <f>'C13G'!M4</f>
        <v>48</v>
      </c>
      <c r="G44" s="90">
        <f>'Retention Efficiency Calcs'!B127</f>
        <v>32</v>
      </c>
      <c r="H44" s="79">
        <f>ROUND(F44*G44/100,0)</f>
        <v>15</v>
      </c>
      <c r="I44" s="106">
        <f>'C13G'!N4</f>
        <v>12</v>
      </c>
      <c r="J44" s="90">
        <f t="shared" si="4"/>
        <v>32</v>
      </c>
      <c r="K44" s="80">
        <f>ROUND(I44*J44/100,1)</f>
        <v>3.8</v>
      </c>
    </row>
    <row r="45" spans="1:12">
      <c r="A45" s="47"/>
      <c r="B45" s="44"/>
      <c r="C45" s="51"/>
      <c r="D45" s="44"/>
      <c r="E45" s="107"/>
      <c r="F45" s="44"/>
      <c r="G45" s="32"/>
      <c r="H45" s="45"/>
      <c r="I45" s="45"/>
      <c r="J45" s="46"/>
      <c r="K45" s="68"/>
    </row>
    <row r="46" spans="1:12">
      <c r="F46" s="35"/>
      <c r="H46" s="32" t="s">
        <v>93</v>
      </c>
      <c r="I46" s="33"/>
      <c r="J46" s="33"/>
      <c r="K46" s="34" t="s">
        <v>94</v>
      </c>
    </row>
    <row r="47" spans="1:12">
      <c r="G47" s="35" t="s">
        <v>95</v>
      </c>
      <c r="H47" s="36">
        <f>SUM(H2:H27)</f>
        <v>2467</v>
      </c>
      <c r="K47" s="37">
        <f>SUM(K2:K27)</f>
        <v>556.9</v>
      </c>
    </row>
    <row r="48" spans="1:12">
      <c r="F48" s="30"/>
      <c r="G48" s="35" t="s">
        <v>99</v>
      </c>
      <c r="H48" s="43">
        <v>2044.7</v>
      </c>
      <c r="I48" s="30"/>
      <c r="J48" s="30"/>
      <c r="K48" s="43">
        <v>407.3</v>
      </c>
      <c r="L48" s="30"/>
    </row>
    <row r="49" spans="6:12">
      <c r="F49" s="30"/>
      <c r="G49" s="35" t="s">
        <v>100</v>
      </c>
      <c r="H49" s="43">
        <f>H48-H47</f>
        <v>-422.29999999999995</v>
      </c>
      <c r="I49" s="30"/>
      <c r="J49" s="30"/>
      <c r="K49" s="43">
        <f>K48-K47</f>
        <v>-149.59999999999997</v>
      </c>
      <c r="L49" s="30"/>
    </row>
  </sheetData>
  <pageMargins left="0.7" right="0.7" top="0.75" bottom="0.75" header="0.3" footer="0.3"/>
  <pageSetup scale="85" orientation="landscape" r:id="rId1"/>
  <headerFooter>
    <oddHeader>&amp;C&amp;"-,Bold"Banana River Lagoon BMAP
Satellite Beach Projects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N13"/>
  <sheetViews>
    <sheetView zoomScaleNormal="100" workbookViewId="0">
      <selection activeCell="N2" sqref="N2"/>
    </sheetView>
  </sheetViews>
  <sheetFormatPr defaultRowHeight="15"/>
  <cols>
    <col min="1" max="1" width="14.28515625" style="14" bestFit="1" customWidth="1"/>
    <col min="2" max="2" width="9.7109375" style="14" customWidth="1"/>
    <col min="3" max="3" width="15.140625" style="14" bestFit="1" customWidth="1"/>
    <col min="4" max="4" width="6.85546875" style="15" bestFit="1" customWidth="1"/>
    <col min="5" max="5" width="13.7109375" style="15" bestFit="1" customWidth="1"/>
    <col min="6" max="6" width="9.42578125" style="15" bestFit="1" customWidth="1"/>
    <col min="7" max="7" width="9.140625" style="15" bestFit="1" customWidth="1"/>
    <col min="8" max="8" width="11.28515625" style="15" bestFit="1" customWidth="1"/>
    <col min="9" max="10" width="9" style="15" customWidth="1"/>
    <col min="11" max="11" width="12.42578125" style="14" bestFit="1" customWidth="1"/>
    <col min="12" max="12" width="13.7109375" style="14" customWidth="1"/>
    <col min="13" max="13" width="8.140625" style="15" bestFit="1" customWidth="1"/>
    <col min="14" max="14" width="7.85546875" style="16" bestFit="1" customWidth="1"/>
  </cols>
  <sheetData>
    <row r="1" spans="1:14" ht="30">
      <c r="A1" s="14" t="s">
        <v>67</v>
      </c>
      <c r="B1" s="14" t="s">
        <v>46</v>
      </c>
      <c r="C1" s="16" t="s">
        <v>53</v>
      </c>
      <c r="D1" s="15" t="s">
        <v>47</v>
      </c>
      <c r="E1" s="15" t="s">
        <v>52</v>
      </c>
      <c r="F1" s="15" t="s">
        <v>48</v>
      </c>
      <c r="G1" s="15" t="s">
        <v>49</v>
      </c>
      <c r="H1" s="14" t="s">
        <v>51</v>
      </c>
      <c r="I1" s="15" t="s">
        <v>55</v>
      </c>
      <c r="J1" s="15" t="s">
        <v>56</v>
      </c>
      <c r="K1" s="14" t="s">
        <v>50</v>
      </c>
      <c r="L1" s="18" t="s">
        <v>57</v>
      </c>
      <c r="M1" s="18" t="s">
        <v>58</v>
      </c>
      <c r="N1" s="18" t="s">
        <v>59</v>
      </c>
    </row>
    <row r="2" spans="1:14">
      <c r="A2" s="14" t="s">
        <v>68</v>
      </c>
      <c r="B2" s="14">
        <v>1400</v>
      </c>
      <c r="C2" s="16">
        <v>0.60155818149999996</v>
      </c>
      <c r="D2" s="17">
        <v>0.88800000000000001</v>
      </c>
      <c r="E2" s="17">
        <v>46.66</v>
      </c>
      <c r="F2" s="17">
        <v>1.93</v>
      </c>
      <c r="G2" s="17">
        <v>0.497</v>
      </c>
      <c r="H2" s="14">
        <v>1</v>
      </c>
      <c r="I2" s="17">
        <f>F2</f>
        <v>1.93</v>
      </c>
      <c r="J2" s="17">
        <f>G2</f>
        <v>0.497</v>
      </c>
      <c r="K2" s="14">
        <v>53916</v>
      </c>
      <c r="L2" s="14">
        <f>ROUND(E2*D2*C2*102.79,0)</f>
        <v>2562</v>
      </c>
      <c r="M2" s="14">
        <f>ROUND(I2*L2*0.002205,0)</f>
        <v>11</v>
      </c>
      <c r="N2" s="19">
        <f>ROUND(J2*L2*0.002205,1)</f>
        <v>2.8</v>
      </c>
    </row>
    <row r="3" spans="1:14">
      <c r="A3" s="14" t="s">
        <v>68</v>
      </c>
      <c r="B3" s="14">
        <v>1400</v>
      </c>
      <c r="C3" s="16">
        <v>0.20513146569999999</v>
      </c>
      <c r="D3" s="17">
        <v>0.88800000000000001</v>
      </c>
      <c r="E3" s="17">
        <v>46.66</v>
      </c>
      <c r="F3" s="17">
        <v>1.93</v>
      </c>
      <c r="G3" s="17">
        <v>0.497</v>
      </c>
      <c r="H3" s="14">
        <v>0</v>
      </c>
      <c r="I3" s="17">
        <f>0.7*F3</f>
        <v>1.351</v>
      </c>
      <c r="J3" s="17">
        <f>0.5*G3</f>
        <v>0.2485</v>
      </c>
      <c r="K3" s="14">
        <v>331</v>
      </c>
      <c r="L3" s="14">
        <f t="shared" ref="L3:L12" si="0">ROUND(E3*D3*C3*102.79,0)</f>
        <v>874</v>
      </c>
      <c r="M3" s="14">
        <f t="shared" ref="M3:M12" si="1">ROUND(I3*L3*0.002205,0)</f>
        <v>3</v>
      </c>
      <c r="N3" s="19">
        <f t="shared" ref="N3:N12" si="2">ROUND(J3*L3*0.002205,1)</f>
        <v>0.5</v>
      </c>
    </row>
    <row r="4" spans="1:14">
      <c r="A4" s="14" t="s">
        <v>68</v>
      </c>
      <c r="B4" s="14">
        <v>1200</v>
      </c>
      <c r="C4" s="16">
        <v>8.1712750285000002</v>
      </c>
      <c r="D4" s="17">
        <v>0.38900000000000001</v>
      </c>
      <c r="E4" s="17">
        <v>46.66</v>
      </c>
      <c r="F4" s="17">
        <v>2.23</v>
      </c>
      <c r="G4" s="17">
        <v>0.316</v>
      </c>
      <c r="H4" s="14">
        <v>1</v>
      </c>
      <c r="I4" s="17">
        <f t="shared" ref="I4:I7" si="3">F4</f>
        <v>2.23</v>
      </c>
      <c r="J4" s="17">
        <f t="shared" ref="J4:J7" si="4">G4</f>
        <v>0.316</v>
      </c>
      <c r="K4" s="14">
        <v>447612</v>
      </c>
      <c r="L4" s="14">
        <f t="shared" si="0"/>
        <v>15245</v>
      </c>
      <c r="M4" s="14">
        <f t="shared" si="1"/>
        <v>75</v>
      </c>
      <c r="N4" s="19">
        <f t="shared" si="2"/>
        <v>10.6</v>
      </c>
    </row>
    <row r="5" spans="1:14">
      <c r="A5" s="14" t="s">
        <v>68</v>
      </c>
      <c r="B5" s="14">
        <v>3100</v>
      </c>
      <c r="C5" s="16">
        <v>5.6540765E-2</v>
      </c>
      <c r="D5" s="17">
        <v>0.3</v>
      </c>
      <c r="E5" s="17">
        <v>46.66</v>
      </c>
      <c r="F5" s="17">
        <v>1.2</v>
      </c>
      <c r="G5" s="17">
        <v>6.4000000000000001E-2</v>
      </c>
      <c r="H5" s="14">
        <v>1</v>
      </c>
      <c r="I5" s="17">
        <f t="shared" si="3"/>
        <v>1.2</v>
      </c>
      <c r="J5" s="17">
        <f t="shared" si="4"/>
        <v>6.4000000000000001E-2</v>
      </c>
      <c r="K5" s="14">
        <v>29</v>
      </c>
      <c r="L5" s="14">
        <f t="shared" si="0"/>
        <v>81</v>
      </c>
      <c r="M5" s="14">
        <f t="shared" si="1"/>
        <v>0</v>
      </c>
      <c r="N5" s="19">
        <f t="shared" si="2"/>
        <v>0</v>
      </c>
    </row>
    <row r="6" spans="1:14">
      <c r="A6" s="14" t="s">
        <v>68</v>
      </c>
      <c r="B6" s="14">
        <v>3100</v>
      </c>
      <c r="C6" s="16">
        <v>0.52803493930000001</v>
      </c>
      <c r="D6" s="17">
        <v>0.3</v>
      </c>
      <c r="E6" s="17">
        <v>46.66</v>
      </c>
      <c r="F6" s="17">
        <v>1.2</v>
      </c>
      <c r="G6" s="17">
        <v>6.4000000000000001E-2</v>
      </c>
      <c r="H6" s="14">
        <v>1</v>
      </c>
      <c r="I6" s="17">
        <f t="shared" si="3"/>
        <v>1.2</v>
      </c>
      <c r="J6" s="17">
        <f t="shared" si="4"/>
        <v>6.4000000000000001E-2</v>
      </c>
      <c r="K6" s="14">
        <v>266</v>
      </c>
      <c r="L6" s="14">
        <f t="shared" si="0"/>
        <v>760</v>
      </c>
      <c r="M6" s="14">
        <f t="shared" si="1"/>
        <v>2</v>
      </c>
      <c r="N6" s="19">
        <f t="shared" si="2"/>
        <v>0.1</v>
      </c>
    </row>
    <row r="7" spans="1:14">
      <c r="A7" s="14" t="s">
        <v>68</v>
      </c>
      <c r="B7" s="14">
        <v>3100</v>
      </c>
      <c r="C7" s="16">
        <v>1.1153996412</v>
      </c>
      <c r="D7" s="17">
        <v>0.3</v>
      </c>
      <c r="E7" s="17">
        <v>46.66</v>
      </c>
      <c r="F7" s="17">
        <v>1.2</v>
      </c>
      <c r="G7" s="17">
        <v>6.4000000000000001E-2</v>
      </c>
      <c r="H7" s="14">
        <v>1</v>
      </c>
      <c r="I7" s="17">
        <f t="shared" si="3"/>
        <v>1.2</v>
      </c>
      <c r="J7" s="17">
        <f t="shared" si="4"/>
        <v>6.4000000000000001E-2</v>
      </c>
      <c r="K7" s="14">
        <v>572</v>
      </c>
      <c r="L7" s="14">
        <f t="shared" si="0"/>
        <v>1605</v>
      </c>
      <c r="M7" s="14">
        <f t="shared" si="1"/>
        <v>4</v>
      </c>
      <c r="N7" s="19">
        <f t="shared" si="2"/>
        <v>0.2</v>
      </c>
    </row>
    <row r="8" spans="1:14">
      <c r="A8" s="14" t="s">
        <v>68</v>
      </c>
      <c r="B8" s="14">
        <v>1200</v>
      </c>
      <c r="C8" s="16">
        <v>0.35410806389999999</v>
      </c>
      <c r="D8" s="17">
        <v>0.38900000000000001</v>
      </c>
      <c r="E8" s="17">
        <v>46.66</v>
      </c>
      <c r="F8" s="17">
        <v>2.23</v>
      </c>
      <c r="G8" s="17">
        <v>0.316</v>
      </c>
      <c r="H8" s="14">
        <v>0</v>
      </c>
      <c r="I8" s="17">
        <f>0.7*F8</f>
        <v>1.5609999999999999</v>
      </c>
      <c r="J8" s="17">
        <f>0.5*G8</f>
        <v>0.158</v>
      </c>
      <c r="K8" s="14">
        <v>231</v>
      </c>
      <c r="L8" s="14">
        <f t="shared" si="0"/>
        <v>661</v>
      </c>
      <c r="M8" s="14">
        <f t="shared" si="1"/>
        <v>2</v>
      </c>
      <c r="N8" s="19">
        <f t="shared" si="2"/>
        <v>0.2</v>
      </c>
    </row>
    <row r="9" spans="1:14">
      <c r="A9" s="14" t="s">
        <v>68</v>
      </c>
      <c r="B9" s="14">
        <v>3100</v>
      </c>
      <c r="C9" s="16">
        <v>0.14584071679999999</v>
      </c>
      <c r="D9" s="17">
        <v>0.3</v>
      </c>
      <c r="E9" s="17">
        <v>46.66</v>
      </c>
      <c r="F9" s="17">
        <v>1.2</v>
      </c>
      <c r="G9" s="17">
        <v>6.4000000000000001E-2</v>
      </c>
      <c r="H9" s="14">
        <v>1</v>
      </c>
      <c r="I9" s="17">
        <f>F9</f>
        <v>1.2</v>
      </c>
      <c r="J9" s="17">
        <f>G9</f>
        <v>6.4000000000000001E-2</v>
      </c>
      <c r="K9" s="14">
        <v>74</v>
      </c>
      <c r="L9" s="14">
        <f t="shared" si="0"/>
        <v>210</v>
      </c>
      <c r="M9" s="14">
        <f t="shared" si="1"/>
        <v>1</v>
      </c>
      <c r="N9" s="19">
        <f t="shared" si="2"/>
        <v>0</v>
      </c>
    </row>
    <row r="10" spans="1:14">
      <c r="A10" s="14" t="s">
        <v>68</v>
      </c>
      <c r="B10" s="14">
        <v>1200</v>
      </c>
      <c r="C10" s="16">
        <v>0.4685894773</v>
      </c>
      <c r="D10" s="17">
        <v>0.38900000000000001</v>
      </c>
      <c r="E10" s="17">
        <v>46.66</v>
      </c>
      <c r="F10" s="17">
        <v>2.23</v>
      </c>
      <c r="G10" s="17">
        <v>0.316</v>
      </c>
      <c r="H10" s="14">
        <v>0</v>
      </c>
      <c r="I10" s="17">
        <f>0.7*F10</f>
        <v>1.5609999999999999</v>
      </c>
      <c r="J10" s="17">
        <f>0.5*G10</f>
        <v>0.158</v>
      </c>
      <c r="K10" s="14">
        <v>744</v>
      </c>
      <c r="L10" s="14">
        <f t="shared" si="0"/>
        <v>874</v>
      </c>
      <c r="M10" s="14">
        <f t="shared" si="1"/>
        <v>3</v>
      </c>
      <c r="N10" s="19">
        <f t="shared" si="2"/>
        <v>0.3</v>
      </c>
    </row>
    <row r="11" spans="1:14">
      <c r="A11" s="14" t="s">
        <v>68</v>
      </c>
      <c r="B11" s="14">
        <v>3100</v>
      </c>
      <c r="C11" s="16">
        <v>2.9571531000000002E-2</v>
      </c>
      <c r="D11" s="17">
        <v>0.3</v>
      </c>
      <c r="E11" s="17">
        <v>46.66</v>
      </c>
      <c r="F11" s="17">
        <v>1.2</v>
      </c>
      <c r="G11" s="17">
        <v>6.4000000000000001E-2</v>
      </c>
      <c r="H11" s="14">
        <v>1</v>
      </c>
      <c r="I11" s="17">
        <f t="shared" ref="I11:I12" si="5">F11</f>
        <v>1.2</v>
      </c>
      <c r="J11" s="17">
        <f t="shared" ref="J11:J12" si="6">G11</f>
        <v>6.4000000000000001E-2</v>
      </c>
      <c r="K11" s="14">
        <v>15</v>
      </c>
      <c r="L11" s="14">
        <f t="shared" si="0"/>
        <v>43</v>
      </c>
      <c r="M11" s="14">
        <f t="shared" si="1"/>
        <v>0</v>
      </c>
      <c r="N11" s="19">
        <f t="shared" si="2"/>
        <v>0</v>
      </c>
    </row>
    <row r="12" spans="1:14">
      <c r="A12" s="14" t="s">
        <v>68</v>
      </c>
      <c r="B12" s="14">
        <v>3100</v>
      </c>
      <c r="C12" s="16">
        <v>3.5551525200000003E-2</v>
      </c>
      <c r="D12" s="17">
        <v>0.3</v>
      </c>
      <c r="E12" s="17">
        <v>46.66</v>
      </c>
      <c r="F12" s="17">
        <v>1.2</v>
      </c>
      <c r="G12" s="17">
        <v>6.4000000000000001E-2</v>
      </c>
      <c r="H12" s="14">
        <v>1</v>
      </c>
      <c r="I12" s="17">
        <f t="shared" si="5"/>
        <v>1.2</v>
      </c>
      <c r="J12" s="17">
        <f t="shared" si="6"/>
        <v>6.4000000000000001E-2</v>
      </c>
      <c r="K12" s="14">
        <v>63</v>
      </c>
      <c r="L12" s="14">
        <f t="shared" si="0"/>
        <v>51</v>
      </c>
      <c r="M12" s="14">
        <f t="shared" si="1"/>
        <v>0</v>
      </c>
      <c r="N12" s="19">
        <f t="shared" si="2"/>
        <v>0</v>
      </c>
    </row>
    <row r="13" spans="1:14">
      <c r="C13" s="16">
        <f>SUM(C2:C12)</f>
        <v>11.711601335400001</v>
      </c>
      <c r="M13" s="14">
        <f>SUM(M2:M12)</f>
        <v>101</v>
      </c>
      <c r="N13" s="19">
        <f>SUM(N2:N12)</f>
        <v>14.699999999999998</v>
      </c>
    </row>
  </sheetData>
  <pageMargins left="0.7" right="0.7" top="0.75" bottom="0.75" header="0.3" footer="0.3"/>
  <pageSetup scale="81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11"/>
  <sheetViews>
    <sheetView zoomScaleNormal="100" workbookViewId="0">
      <selection activeCell="N2" sqref="N2"/>
    </sheetView>
  </sheetViews>
  <sheetFormatPr defaultRowHeight="15"/>
  <cols>
    <col min="1" max="2" width="9.7109375" style="14" customWidth="1"/>
    <col min="3" max="3" width="16.5703125" style="14" bestFit="1" customWidth="1"/>
    <col min="4" max="4" width="6.85546875" style="15" bestFit="1" customWidth="1"/>
    <col min="5" max="5" width="13.7109375" style="15" bestFit="1" customWidth="1"/>
    <col min="6" max="6" width="9.42578125" style="15" bestFit="1" customWidth="1"/>
    <col min="7" max="7" width="9.140625" style="15" bestFit="1" customWidth="1"/>
    <col min="8" max="8" width="11.28515625" style="15" bestFit="1" customWidth="1"/>
    <col min="9" max="10" width="9" style="15" customWidth="1"/>
    <col min="11" max="11" width="12.42578125" style="14" bestFit="1" customWidth="1"/>
    <col min="12" max="12" width="14.140625" style="14" customWidth="1"/>
    <col min="13" max="13" width="11" style="15" customWidth="1"/>
    <col min="14" max="14" width="9.7109375" style="16" customWidth="1"/>
  </cols>
  <sheetData>
    <row r="1" spans="1:14" ht="30">
      <c r="A1" s="14" t="s">
        <v>67</v>
      </c>
      <c r="B1" s="14" t="s">
        <v>46</v>
      </c>
      <c r="C1" s="16" t="s">
        <v>53</v>
      </c>
      <c r="D1" s="15" t="s">
        <v>47</v>
      </c>
      <c r="E1" s="15" t="s">
        <v>52</v>
      </c>
      <c r="F1" s="15" t="s">
        <v>48</v>
      </c>
      <c r="G1" s="15" t="s">
        <v>49</v>
      </c>
      <c r="H1" s="14" t="s">
        <v>51</v>
      </c>
      <c r="I1" s="15" t="s">
        <v>69</v>
      </c>
      <c r="J1" s="15" t="s">
        <v>56</v>
      </c>
      <c r="K1" s="14" t="s">
        <v>50</v>
      </c>
      <c r="L1" s="18" t="s">
        <v>57</v>
      </c>
      <c r="M1" s="18" t="s">
        <v>58</v>
      </c>
      <c r="N1" s="18" t="s">
        <v>59</v>
      </c>
    </row>
    <row r="2" spans="1:14">
      <c r="A2" s="14">
        <v>32062</v>
      </c>
      <c r="B2" s="14">
        <v>1400</v>
      </c>
      <c r="C2" s="16">
        <v>2.4233103526000002</v>
      </c>
      <c r="D2" s="17">
        <v>0.88800000000000001</v>
      </c>
      <c r="E2" s="17">
        <v>46.66</v>
      </c>
      <c r="F2" s="17">
        <v>1.93</v>
      </c>
      <c r="G2" s="17">
        <v>0.497</v>
      </c>
      <c r="H2" s="14">
        <v>1</v>
      </c>
      <c r="I2" s="17">
        <f>F2</f>
        <v>1.93</v>
      </c>
      <c r="J2" s="17">
        <f>G2</f>
        <v>0.497</v>
      </c>
      <c r="K2" s="14">
        <v>53916</v>
      </c>
      <c r="L2" s="14">
        <f>ROUND(E2*D2*C2*102.79,0)</f>
        <v>10321</v>
      </c>
      <c r="M2" s="14">
        <f>ROUND(I2*L2*0.002205,0)</f>
        <v>44</v>
      </c>
      <c r="N2" s="19">
        <f>ROUND(J2*L2*0.002205,1)</f>
        <v>11.3</v>
      </c>
    </row>
    <row r="3" spans="1:14">
      <c r="A3" s="14">
        <v>32258</v>
      </c>
      <c r="B3" s="14">
        <v>1200</v>
      </c>
      <c r="C3" s="16">
        <v>45.657309341599998</v>
      </c>
      <c r="D3" s="17">
        <v>0.38900000000000001</v>
      </c>
      <c r="E3" s="17">
        <v>46.66</v>
      </c>
      <c r="F3" s="17">
        <v>2.23</v>
      </c>
      <c r="G3" s="17">
        <v>0.316</v>
      </c>
      <c r="H3" s="14">
        <v>1</v>
      </c>
      <c r="I3" s="17">
        <f t="shared" ref="I3:I4" si="0">F3</f>
        <v>2.23</v>
      </c>
      <c r="J3" s="17">
        <f t="shared" ref="J3:J4" si="1">G3</f>
        <v>0.316</v>
      </c>
      <c r="K3" s="14">
        <v>447612</v>
      </c>
      <c r="L3" s="14">
        <f t="shared" ref="L3:L10" si="2">ROUND(E3*D3*C3*102.79,0)</f>
        <v>85184</v>
      </c>
      <c r="M3" s="14">
        <f t="shared" ref="M3:M10" si="3">ROUND(I3*L3*0.002205,0)</f>
        <v>419</v>
      </c>
      <c r="N3" s="19">
        <f t="shared" ref="N3:N10" si="4">ROUND(J3*L3*0.002205,1)</f>
        <v>59.4</v>
      </c>
    </row>
    <row r="4" spans="1:14">
      <c r="A4" s="14">
        <v>32352</v>
      </c>
      <c r="B4" s="14">
        <v>1300</v>
      </c>
      <c r="C4" s="16">
        <v>5.5962912583</v>
      </c>
      <c r="D4" s="17">
        <v>0.69199999999999995</v>
      </c>
      <c r="E4" s="17">
        <v>46.66</v>
      </c>
      <c r="F4" s="17">
        <v>2.1</v>
      </c>
      <c r="G4" s="17">
        <v>0.51600000000000001</v>
      </c>
      <c r="H4" s="14">
        <v>1</v>
      </c>
      <c r="I4" s="17">
        <f t="shared" si="0"/>
        <v>2.1</v>
      </c>
      <c r="J4" s="17">
        <f t="shared" si="1"/>
        <v>0.51600000000000001</v>
      </c>
      <c r="K4" s="14">
        <v>8333</v>
      </c>
      <c r="L4" s="14">
        <f t="shared" si="2"/>
        <v>18574</v>
      </c>
      <c r="M4" s="14">
        <f t="shared" si="3"/>
        <v>86</v>
      </c>
      <c r="N4" s="19">
        <f t="shared" si="4"/>
        <v>21.1</v>
      </c>
    </row>
    <row r="5" spans="1:14">
      <c r="A5" s="14">
        <v>32405</v>
      </c>
      <c r="B5" s="14">
        <v>1200</v>
      </c>
      <c r="C5" s="16">
        <v>0.72769732549999999</v>
      </c>
      <c r="D5" s="17">
        <v>0.38900000000000001</v>
      </c>
      <c r="E5" s="17">
        <v>46.66</v>
      </c>
      <c r="F5" s="17">
        <v>2.23</v>
      </c>
      <c r="G5" s="17">
        <v>0.316</v>
      </c>
      <c r="H5" s="14">
        <v>0</v>
      </c>
      <c r="I5" s="17">
        <f>0.7*F5</f>
        <v>1.5609999999999999</v>
      </c>
      <c r="J5" s="17">
        <f>0.5*G5</f>
        <v>0.158</v>
      </c>
      <c r="K5" s="14">
        <v>533</v>
      </c>
      <c r="L5" s="14">
        <f t="shared" si="2"/>
        <v>1358</v>
      </c>
      <c r="M5" s="14">
        <f t="shared" si="3"/>
        <v>5</v>
      </c>
      <c r="N5" s="19">
        <f t="shared" si="4"/>
        <v>0.5</v>
      </c>
    </row>
    <row r="6" spans="1:14">
      <c r="A6" s="14">
        <v>32409</v>
      </c>
      <c r="B6" s="14">
        <v>3100</v>
      </c>
      <c r="C6" s="16">
        <v>0.33866328099999998</v>
      </c>
      <c r="D6" s="17">
        <v>0.3</v>
      </c>
      <c r="E6" s="17">
        <v>46.66</v>
      </c>
      <c r="F6" s="17">
        <v>1.2</v>
      </c>
      <c r="G6" s="17">
        <v>6.4000000000000001E-2</v>
      </c>
      <c r="H6" s="14">
        <v>1</v>
      </c>
      <c r="I6" s="17">
        <f t="shared" ref="I6:I8" si="5">F6</f>
        <v>1.2</v>
      </c>
      <c r="J6" s="17">
        <f t="shared" ref="J6:J8" si="6">G6</f>
        <v>6.4000000000000001E-2</v>
      </c>
      <c r="K6" s="14">
        <v>301</v>
      </c>
      <c r="L6" s="14">
        <f t="shared" si="2"/>
        <v>487</v>
      </c>
      <c r="M6" s="14">
        <f t="shared" si="3"/>
        <v>1</v>
      </c>
      <c r="N6" s="19">
        <f t="shared" si="4"/>
        <v>0.1</v>
      </c>
    </row>
    <row r="7" spans="1:14">
      <c r="A7" s="14">
        <v>32413</v>
      </c>
      <c r="B7" s="14">
        <v>3100</v>
      </c>
      <c r="C7" s="16">
        <v>6.8161852199999998E-2</v>
      </c>
      <c r="D7" s="17">
        <v>0.41099999999999998</v>
      </c>
      <c r="E7" s="17">
        <v>46.66</v>
      </c>
      <c r="F7" s="17">
        <v>1.2</v>
      </c>
      <c r="G7" s="17">
        <v>6.4000000000000001E-2</v>
      </c>
      <c r="H7" s="14">
        <v>1</v>
      </c>
      <c r="I7" s="17">
        <f t="shared" si="5"/>
        <v>1.2</v>
      </c>
      <c r="J7" s="17">
        <f t="shared" si="6"/>
        <v>6.4000000000000001E-2</v>
      </c>
      <c r="K7" s="14">
        <v>235</v>
      </c>
      <c r="L7" s="14">
        <f t="shared" si="2"/>
        <v>134</v>
      </c>
      <c r="M7" s="14">
        <f t="shared" si="3"/>
        <v>0</v>
      </c>
      <c r="N7" s="19">
        <f t="shared" si="4"/>
        <v>0</v>
      </c>
    </row>
    <row r="8" spans="1:14">
      <c r="A8" s="14">
        <v>32416</v>
      </c>
      <c r="B8" s="14">
        <v>3100</v>
      </c>
      <c r="C8" s="16">
        <v>2.4910458000000002E-3</v>
      </c>
      <c r="D8" s="17">
        <v>0.41099999999999998</v>
      </c>
      <c r="E8" s="17">
        <v>46.66</v>
      </c>
      <c r="F8" s="17">
        <v>1.2</v>
      </c>
      <c r="G8" s="17">
        <v>6.4000000000000001E-2</v>
      </c>
      <c r="H8" s="14">
        <v>1</v>
      </c>
      <c r="I8" s="17">
        <f t="shared" si="5"/>
        <v>1.2</v>
      </c>
      <c r="J8" s="17">
        <f t="shared" si="6"/>
        <v>6.4000000000000001E-2</v>
      </c>
      <c r="K8" s="14">
        <v>1414</v>
      </c>
      <c r="L8" s="14">
        <f t="shared" si="2"/>
        <v>5</v>
      </c>
      <c r="M8" s="14">
        <f t="shared" si="3"/>
        <v>0</v>
      </c>
      <c r="N8" s="19">
        <f t="shared" si="4"/>
        <v>0</v>
      </c>
    </row>
    <row r="9" spans="1:14">
      <c r="A9" s="14">
        <v>32457</v>
      </c>
      <c r="B9" s="14">
        <v>1200</v>
      </c>
      <c r="C9" s="16">
        <v>0.94164340660000001</v>
      </c>
      <c r="D9" s="17">
        <v>0.38900000000000001</v>
      </c>
      <c r="E9" s="17">
        <v>46.66</v>
      </c>
      <c r="F9" s="17">
        <v>2.23</v>
      </c>
      <c r="G9" s="17">
        <v>0.316</v>
      </c>
      <c r="H9" s="14">
        <v>0</v>
      </c>
      <c r="I9" s="17">
        <f>0.7*F9</f>
        <v>1.5609999999999999</v>
      </c>
      <c r="J9" s="17">
        <f>0.5*G9</f>
        <v>0.158</v>
      </c>
      <c r="K9" s="14">
        <v>654</v>
      </c>
      <c r="L9" s="14">
        <f t="shared" si="2"/>
        <v>1757</v>
      </c>
      <c r="M9" s="14">
        <f t="shared" si="3"/>
        <v>6</v>
      </c>
      <c r="N9" s="19">
        <f t="shared" si="4"/>
        <v>0.6</v>
      </c>
    </row>
    <row r="10" spans="1:14">
      <c r="A10" s="14">
        <v>32488</v>
      </c>
      <c r="B10" s="14">
        <v>3100</v>
      </c>
      <c r="C10" s="16">
        <v>1.24214242E-2</v>
      </c>
      <c r="D10" s="17">
        <v>0.3</v>
      </c>
      <c r="E10" s="17">
        <v>46.66</v>
      </c>
      <c r="F10" s="17">
        <v>1.2</v>
      </c>
      <c r="G10" s="17">
        <v>6.4000000000000001E-2</v>
      </c>
      <c r="H10" s="14">
        <v>1</v>
      </c>
      <c r="I10" s="17">
        <f>F10</f>
        <v>1.2</v>
      </c>
      <c r="J10" s="17">
        <f>G10</f>
        <v>6.4000000000000001E-2</v>
      </c>
      <c r="K10" s="14">
        <v>21</v>
      </c>
      <c r="L10" s="14">
        <f t="shared" si="2"/>
        <v>18</v>
      </c>
      <c r="M10" s="14">
        <f t="shared" si="3"/>
        <v>0</v>
      </c>
      <c r="N10" s="19">
        <f t="shared" si="4"/>
        <v>0</v>
      </c>
    </row>
    <row r="11" spans="1:14">
      <c r="C11" s="16">
        <f>SUM(C2:C10)</f>
        <v>55.767989287799999</v>
      </c>
      <c r="M11" s="14">
        <f>SUM(M2:M10)</f>
        <v>561</v>
      </c>
      <c r="N11" s="19">
        <f>SUM(N2:N10)</f>
        <v>93</v>
      </c>
    </row>
  </sheetData>
  <pageMargins left="0.7" right="0.7" top="0.75" bottom="0.75" header="0.3" footer="0.3"/>
  <pageSetup scale="8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N17"/>
  <sheetViews>
    <sheetView zoomScaleNormal="100" workbookViewId="0">
      <selection activeCell="N2" sqref="N2"/>
    </sheetView>
  </sheetViews>
  <sheetFormatPr defaultRowHeight="15"/>
  <cols>
    <col min="1" max="1" width="14.28515625" style="14" bestFit="1" customWidth="1"/>
    <col min="2" max="2" width="9.7109375" style="14" customWidth="1"/>
    <col min="3" max="3" width="15.42578125" style="14" bestFit="1" customWidth="1"/>
    <col min="4" max="4" width="6.85546875" style="15" bestFit="1" customWidth="1"/>
    <col min="5" max="5" width="13.7109375" style="15" bestFit="1" customWidth="1"/>
    <col min="6" max="6" width="9.42578125" style="15" bestFit="1" customWidth="1"/>
    <col min="7" max="7" width="9.140625" style="15" bestFit="1" customWidth="1"/>
    <col min="8" max="8" width="11.28515625" style="15" bestFit="1" customWidth="1"/>
    <col min="9" max="10" width="9" style="15" customWidth="1"/>
    <col min="11" max="11" width="12.42578125" style="14" bestFit="1" customWidth="1"/>
    <col min="12" max="12" width="15.7109375" style="14" customWidth="1"/>
    <col min="13" max="13" width="10.42578125" style="15" customWidth="1"/>
    <col min="14" max="14" width="9.7109375" style="16" customWidth="1"/>
  </cols>
  <sheetData>
    <row r="1" spans="1:14" ht="30">
      <c r="A1" s="14" t="s">
        <v>67</v>
      </c>
      <c r="B1" s="14" t="s">
        <v>46</v>
      </c>
      <c r="C1" s="16" t="s">
        <v>53</v>
      </c>
      <c r="D1" s="15" t="s">
        <v>47</v>
      </c>
      <c r="E1" s="15" t="s">
        <v>52</v>
      </c>
      <c r="F1" s="15" t="s">
        <v>48</v>
      </c>
      <c r="G1" s="15" t="s">
        <v>49</v>
      </c>
      <c r="H1" s="14" t="s">
        <v>51</v>
      </c>
      <c r="I1" s="15" t="s">
        <v>55</v>
      </c>
      <c r="J1" s="15" t="s">
        <v>56</v>
      </c>
      <c r="K1" s="14" t="s">
        <v>50</v>
      </c>
      <c r="L1" s="18" t="s">
        <v>57</v>
      </c>
      <c r="M1" s="18" t="s">
        <v>58</v>
      </c>
      <c r="N1" s="18" t="s">
        <v>59</v>
      </c>
    </row>
    <row r="2" spans="1:14">
      <c r="A2" s="14" t="s">
        <v>68</v>
      </c>
      <c r="B2" s="14">
        <v>1200</v>
      </c>
      <c r="C2" s="16">
        <v>31.724607647100001</v>
      </c>
      <c r="D2" s="17">
        <v>0.38900000000000001</v>
      </c>
      <c r="E2" s="17">
        <v>46.66</v>
      </c>
      <c r="F2" s="17">
        <v>2.23</v>
      </c>
      <c r="G2" s="17">
        <v>0.316</v>
      </c>
      <c r="H2" s="14">
        <v>1</v>
      </c>
      <c r="I2" s="17">
        <f>F2</f>
        <v>2.23</v>
      </c>
      <c r="J2" s="17">
        <f>G2</f>
        <v>0.316</v>
      </c>
      <c r="K2" s="14">
        <v>447612</v>
      </c>
      <c r="L2" s="14">
        <f>ROUND(E2*D2*C2*102.79,0)</f>
        <v>59189</v>
      </c>
      <c r="M2" s="14">
        <f>ROUND(I2*L2*0.002205,0)</f>
        <v>291</v>
      </c>
      <c r="N2" s="19">
        <f>ROUND(J2*L2*0.002205,1)</f>
        <v>41.2</v>
      </c>
    </row>
    <row r="3" spans="1:14">
      <c r="A3" s="14" t="s">
        <v>68</v>
      </c>
      <c r="B3" s="14">
        <v>1200</v>
      </c>
      <c r="C3" s="16">
        <v>0.2570216199</v>
      </c>
      <c r="D3" s="17">
        <v>0.22</v>
      </c>
      <c r="E3" s="17">
        <v>46.66</v>
      </c>
      <c r="F3" s="17">
        <v>2.23</v>
      </c>
      <c r="G3" s="17">
        <v>0.316</v>
      </c>
      <c r="H3" s="14">
        <v>1</v>
      </c>
      <c r="I3" s="17">
        <f t="shared" ref="I3:I5" si="0">F3</f>
        <v>2.23</v>
      </c>
      <c r="J3" s="17">
        <f t="shared" ref="J3:J5" si="1">G3</f>
        <v>0.316</v>
      </c>
      <c r="K3" s="14">
        <v>314</v>
      </c>
      <c r="L3" s="14">
        <f t="shared" ref="L3:L16" si="2">ROUND(E3*D3*C3*102.79,0)</f>
        <v>271</v>
      </c>
      <c r="M3" s="14">
        <f t="shared" ref="M3:M16" si="3">ROUND(I3*L3*0.002205,0)</f>
        <v>1</v>
      </c>
      <c r="N3" s="19">
        <f t="shared" ref="N3:N16" si="4">ROUND(J3*L3*0.002205,1)</f>
        <v>0.2</v>
      </c>
    </row>
    <row r="4" spans="1:14">
      <c r="A4" s="14" t="s">
        <v>68</v>
      </c>
      <c r="B4" s="14">
        <v>1300</v>
      </c>
      <c r="C4" s="16">
        <v>0.19040478299999999</v>
      </c>
      <c r="D4" s="17">
        <v>0.69199999999999995</v>
      </c>
      <c r="E4" s="17">
        <v>46.66</v>
      </c>
      <c r="F4" s="17">
        <v>2.1</v>
      </c>
      <c r="G4" s="17">
        <v>0.51600000000000001</v>
      </c>
      <c r="H4" s="14">
        <v>1</v>
      </c>
      <c r="I4" s="17">
        <f t="shared" si="0"/>
        <v>2.1</v>
      </c>
      <c r="J4" s="17">
        <f t="shared" si="1"/>
        <v>0.51600000000000001</v>
      </c>
      <c r="K4" s="14">
        <v>5174</v>
      </c>
      <c r="L4" s="14">
        <f t="shared" si="2"/>
        <v>632</v>
      </c>
      <c r="M4" s="14">
        <f t="shared" si="3"/>
        <v>3</v>
      </c>
      <c r="N4" s="19">
        <f t="shared" si="4"/>
        <v>0.7</v>
      </c>
    </row>
    <row r="5" spans="1:14">
      <c r="A5" s="14" t="s">
        <v>68</v>
      </c>
      <c r="B5" s="14">
        <v>1400</v>
      </c>
      <c r="C5" s="16">
        <v>4.2625967700000003E-2</v>
      </c>
      <c r="D5" s="17">
        <v>0.88800000000000001</v>
      </c>
      <c r="E5" s="17">
        <v>46.66</v>
      </c>
      <c r="F5" s="17">
        <v>1.93</v>
      </c>
      <c r="G5" s="17">
        <v>0.497</v>
      </c>
      <c r="H5" s="14">
        <v>1</v>
      </c>
      <c r="I5" s="17">
        <f t="shared" si="0"/>
        <v>1.93</v>
      </c>
      <c r="J5" s="17">
        <f t="shared" si="1"/>
        <v>0.497</v>
      </c>
      <c r="K5" s="14">
        <v>1503</v>
      </c>
      <c r="L5" s="14">
        <f t="shared" si="2"/>
        <v>182</v>
      </c>
      <c r="M5" s="14">
        <f t="shared" si="3"/>
        <v>1</v>
      </c>
      <c r="N5" s="19">
        <f t="shared" si="4"/>
        <v>0.2</v>
      </c>
    </row>
    <row r="6" spans="1:14">
      <c r="A6" s="14" t="s">
        <v>68</v>
      </c>
      <c r="B6" s="14">
        <v>1400</v>
      </c>
      <c r="C6" s="16">
        <v>1.98254348E-2</v>
      </c>
      <c r="D6" s="17">
        <v>0.88800000000000001</v>
      </c>
      <c r="E6" s="17">
        <v>46.66</v>
      </c>
      <c r="F6" s="17">
        <v>1.93</v>
      </c>
      <c r="G6" s="17">
        <v>0.497</v>
      </c>
      <c r="H6" s="14">
        <v>0</v>
      </c>
      <c r="I6" s="17">
        <f>0.7*F6</f>
        <v>1.351</v>
      </c>
      <c r="J6" s="17">
        <f>0.5*G6</f>
        <v>0.2485</v>
      </c>
      <c r="K6" s="14">
        <v>2274</v>
      </c>
      <c r="L6" s="14">
        <f t="shared" si="2"/>
        <v>84</v>
      </c>
      <c r="M6" s="14">
        <f t="shared" si="3"/>
        <v>0</v>
      </c>
      <c r="N6" s="19">
        <f t="shared" si="4"/>
        <v>0</v>
      </c>
    </row>
    <row r="7" spans="1:14">
      <c r="A7" s="14" t="s">
        <v>68</v>
      </c>
      <c r="B7" s="14">
        <v>1400</v>
      </c>
      <c r="C7" s="16">
        <v>4.4385236490000004</v>
      </c>
      <c r="D7" s="17">
        <v>0.88800000000000001</v>
      </c>
      <c r="E7" s="17">
        <v>46.66</v>
      </c>
      <c r="F7" s="17">
        <v>1.93</v>
      </c>
      <c r="G7" s="17">
        <v>0.497</v>
      </c>
      <c r="H7" s="14">
        <v>1</v>
      </c>
      <c r="I7" s="17">
        <f t="shared" ref="I7:I11" si="5">F7</f>
        <v>1.93</v>
      </c>
      <c r="J7" s="17">
        <f t="shared" ref="J7:J11" si="6">G7</f>
        <v>0.497</v>
      </c>
      <c r="K7" s="14">
        <v>10169</v>
      </c>
      <c r="L7" s="14">
        <f t="shared" si="2"/>
        <v>18904</v>
      </c>
      <c r="M7" s="14">
        <f t="shared" si="3"/>
        <v>80</v>
      </c>
      <c r="N7" s="19">
        <f t="shared" si="4"/>
        <v>20.7</v>
      </c>
    </row>
    <row r="8" spans="1:14">
      <c r="A8" s="14" t="s">
        <v>68</v>
      </c>
      <c r="B8" s="14">
        <v>1200</v>
      </c>
      <c r="C8" s="16">
        <v>2.7063193484000001</v>
      </c>
      <c r="D8" s="17">
        <v>0.22</v>
      </c>
      <c r="E8" s="17">
        <v>46.66</v>
      </c>
      <c r="F8" s="17">
        <v>2.23</v>
      </c>
      <c r="G8" s="17">
        <v>0.316</v>
      </c>
      <c r="H8" s="14">
        <v>1</v>
      </c>
      <c r="I8" s="17">
        <f t="shared" si="5"/>
        <v>2.23</v>
      </c>
      <c r="J8" s="17">
        <f t="shared" si="6"/>
        <v>0.316</v>
      </c>
      <c r="K8" s="14">
        <v>21084</v>
      </c>
      <c r="L8" s="14">
        <f t="shared" si="2"/>
        <v>2856</v>
      </c>
      <c r="M8" s="14">
        <f t="shared" si="3"/>
        <v>14</v>
      </c>
      <c r="N8" s="19">
        <f t="shared" si="4"/>
        <v>2</v>
      </c>
    </row>
    <row r="9" spans="1:14">
      <c r="A9" s="14" t="s">
        <v>68</v>
      </c>
      <c r="B9" s="14">
        <v>1400</v>
      </c>
      <c r="C9" s="16">
        <v>2.0038044999999998E-3</v>
      </c>
      <c r="D9" s="17">
        <v>0.88600000000000001</v>
      </c>
      <c r="E9" s="17">
        <v>46.66</v>
      </c>
      <c r="F9" s="17">
        <v>1.93</v>
      </c>
      <c r="G9" s="17">
        <v>0.497</v>
      </c>
      <c r="H9" s="14">
        <v>1</v>
      </c>
      <c r="I9" s="17">
        <f t="shared" si="5"/>
        <v>1.93</v>
      </c>
      <c r="J9" s="17">
        <f t="shared" si="6"/>
        <v>0.497</v>
      </c>
      <c r="K9" s="14">
        <v>3</v>
      </c>
      <c r="L9" s="14">
        <f t="shared" si="2"/>
        <v>9</v>
      </c>
      <c r="M9" s="14">
        <f t="shared" si="3"/>
        <v>0</v>
      </c>
      <c r="N9" s="19">
        <f t="shared" si="4"/>
        <v>0</v>
      </c>
    </row>
    <row r="10" spans="1:14">
      <c r="A10" s="14" t="s">
        <v>68</v>
      </c>
      <c r="B10" s="14">
        <v>3100</v>
      </c>
      <c r="C10" s="16">
        <v>2.1821434999999998E-3</v>
      </c>
      <c r="D10" s="17">
        <v>0.1</v>
      </c>
      <c r="E10" s="17">
        <v>46.66</v>
      </c>
      <c r="F10" s="17">
        <v>1.2</v>
      </c>
      <c r="G10" s="17">
        <v>6.4000000000000001E-2</v>
      </c>
      <c r="H10" s="14">
        <v>1</v>
      </c>
      <c r="I10" s="17">
        <f t="shared" si="5"/>
        <v>1.2</v>
      </c>
      <c r="J10" s="17">
        <f t="shared" si="6"/>
        <v>6.4000000000000001E-2</v>
      </c>
      <c r="K10" s="14">
        <v>0</v>
      </c>
      <c r="L10" s="14">
        <f t="shared" si="2"/>
        <v>1</v>
      </c>
      <c r="M10" s="14">
        <f t="shared" si="3"/>
        <v>0</v>
      </c>
      <c r="N10" s="19">
        <f t="shared" si="4"/>
        <v>0</v>
      </c>
    </row>
    <row r="11" spans="1:14">
      <c r="A11" s="14" t="s">
        <v>68</v>
      </c>
      <c r="B11" s="14">
        <v>3100</v>
      </c>
      <c r="C11" s="16">
        <v>0.15958649729999999</v>
      </c>
      <c r="D11" s="17">
        <v>0.3</v>
      </c>
      <c r="E11" s="17">
        <v>46.66</v>
      </c>
      <c r="F11" s="17">
        <v>1.2</v>
      </c>
      <c r="G11" s="17">
        <v>6.4000000000000001E-2</v>
      </c>
      <c r="H11" s="14">
        <v>1</v>
      </c>
      <c r="I11" s="17">
        <f t="shared" si="5"/>
        <v>1.2</v>
      </c>
      <c r="J11" s="17">
        <f t="shared" si="6"/>
        <v>6.4000000000000001E-2</v>
      </c>
      <c r="K11" s="14">
        <v>310</v>
      </c>
      <c r="L11" s="14">
        <f t="shared" si="2"/>
        <v>230</v>
      </c>
      <c r="M11" s="14">
        <f t="shared" si="3"/>
        <v>1</v>
      </c>
      <c r="N11" s="19">
        <f t="shared" si="4"/>
        <v>0</v>
      </c>
    </row>
    <row r="12" spans="1:14">
      <c r="A12" s="14" t="s">
        <v>68</v>
      </c>
      <c r="B12" s="14">
        <v>1200</v>
      </c>
      <c r="C12" s="16">
        <v>3.4931339800000002E-2</v>
      </c>
      <c r="D12" s="17">
        <v>0.22</v>
      </c>
      <c r="E12" s="17">
        <v>46.66</v>
      </c>
      <c r="F12" s="17">
        <v>2.23</v>
      </c>
      <c r="G12" s="17">
        <v>0.316</v>
      </c>
      <c r="H12" s="14">
        <v>0</v>
      </c>
      <c r="I12" s="17">
        <f>0.7*F12</f>
        <v>1.5609999999999999</v>
      </c>
      <c r="J12" s="17">
        <f>0.5*G12</f>
        <v>0.158</v>
      </c>
      <c r="K12" s="14">
        <v>178</v>
      </c>
      <c r="L12" s="14">
        <f t="shared" si="2"/>
        <v>37</v>
      </c>
      <c r="M12" s="14">
        <f t="shared" si="3"/>
        <v>0</v>
      </c>
      <c r="N12" s="19">
        <f t="shared" si="4"/>
        <v>0</v>
      </c>
    </row>
    <row r="13" spans="1:14">
      <c r="A13" s="14" t="s">
        <v>68</v>
      </c>
      <c r="B13" s="14">
        <v>3100</v>
      </c>
      <c r="C13" s="16">
        <v>3.1983628E-3</v>
      </c>
      <c r="D13" s="17">
        <v>0.1</v>
      </c>
      <c r="E13" s="17">
        <v>46.66</v>
      </c>
      <c r="F13" s="17">
        <v>1.2</v>
      </c>
      <c r="G13" s="17">
        <v>6.4000000000000001E-2</v>
      </c>
      <c r="H13" s="14">
        <v>1</v>
      </c>
      <c r="I13" s="17">
        <f t="shared" ref="I13:I15" si="7">F13</f>
        <v>1.2</v>
      </c>
      <c r="J13" s="17">
        <f t="shared" ref="J13:J15" si="8">G13</f>
        <v>6.4000000000000001E-2</v>
      </c>
      <c r="K13" s="14">
        <v>24</v>
      </c>
      <c r="L13" s="14">
        <f t="shared" si="2"/>
        <v>2</v>
      </c>
      <c r="M13" s="14">
        <f t="shared" si="3"/>
        <v>0</v>
      </c>
      <c r="N13" s="19">
        <f t="shared" si="4"/>
        <v>0</v>
      </c>
    </row>
    <row r="14" spans="1:14">
      <c r="A14" s="14" t="s">
        <v>68</v>
      </c>
      <c r="B14" s="14">
        <v>3100</v>
      </c>
      <c r="C14" s="16">
        <v>1.79124201E-2</v>
      </c>
      <c r="D14" s="17">
        <v>0.3</v>
      </c>
      <c r="E14" s="17">
        <v>46.66</v>
      </c>
      <c r="F14" s="17">
        <v>1.2</v>
      </c>
      <c r="G14" s="17">
        <v>6.4000000000000001E-2</v>
      </c>
      <c r="H14" s="14">
        <v>1</v>
      </c>
      <c r="I14" s="17">
        <f t="shared" si="7"/>
        <v>1.2</v>
      </c>
      <c r="J14" s="17">
        <f t="shared" si="8"/>
        <v>6.4000000000000001E-2</v>
      </c>
      <c r="K14" s="14">
        <v>27</v>
      </c>
      <c r="L14" s="14">
        <f t="shared" si="2"/>
        <v>26</v>
      </c>
      <c r="M14" s="14">
        <f t="shared" si="3"/>
        <v>0</v>
      </c>
      <c r="N14" s="19">
        <f t="shared" si="4"/>
        <v>0</v>
      </c>
    </row>
    <row r="15" spans="1:14">
      <c r="A15" s="14" t="s">
        <v>68</v>
      </c>
      <c r="B15" s="14">
        <v>3100</v>
      </c>
      <c r="C15" s="16">
        <v>7.16815269E-2</v>
      </c>
      <c r="D15" s="17">
        <v>0.3</v>
      </c>
      <c r="E15" s="17">
        <v>46.66</v>
      </c>
      <c r="F15" s="17">
        <v>1.2</v>
      </c>
      <c r="G15" s="17">
        <v>6.4000000000000001E-2</v>
      </c>
      <c r="H15" s="14">
        <v>1</v>
      </c>
      <c r="I15" s="17">
        <f t="shared" si="7"/>
        <v>1.2</v>
      </c>
      <c r="J15" s="17">
        <f t="shared" si="8"/>
        <v>6.4000000000000001E-2</v>
      </c>
      <c r="K15" s="14">
        <v>88</v>
      </c>
      <c r="L15" s="14">
        <f t="shared" si="2"/>
        <v>103</v>
      </c>
      <c r="M15" s="14">
        <f t="shared" si="3"/>
        <v>0</v>
      </c>
      <c r="N15" s="19">
        <f t="shared" si="4"/>
        <v>0</v>
      </c>
    </row>
    <row r="16" spans="1:14">
      <c r="A16" s="14" t="s">
        <v>68</v>
      </c>
      <c r="B16" s="14">
        <v>1400</v>
      </c>
      <c r="C16" s="16">
        <v>4.67506819E-2</v>
      </c>
      <c r="D16" s="17">
        <v>0.88800000000000001</v>
      </c>
      <c r="E16" s="17">
        <v>46.66</v>
      </c>
      <c r="F16" s="17">
        <v>1.93</v>
      </c>
      <c r="G16" s="17">
        <v>0.497</v>
      </c>
      <c r="H16" s="14">
        <v>0</v>
      </c>
      <c r="I16" s="17">
        <f>0.7*F16</f>
        <v>1.351</v>
      </c>
      <c r="J16" s="17">
        <f>0.5*G16</f>
        <v>0.2485</v>
      </c>
      <c r="K16" s="14">
        <v>112</v>
      </c>
      <c r="L16" s="14">
        <f t="shared" si="2"/>
        <v>199</v>
      </c>
      <c r="M16" s="14">
        <f t="shared" si="3"/>
        <v>1</v>
      </c>
      <c r="N16" s="19">
        <f t="shared" si="4"/>
        <v>0.1</v>
      </c>
    </row>
    <row r="17" spans="3:14">
      <c r="C17" s="14">
        <f>SUM(C2:C16)</f>
        <v>39.717575226699999</v>
      </c>
      <c r="M17" s="14">
        <f>SUM(M2:M16)</f>
        <v>392</v>
      </c>
      <c r="N17" s="19">
        <f>SUM(N2:N16)</f>
        <v>65.100000000000009</v>
      </c>
    </row>
  </sheetData>
  <pageMargins left="0.7" right="0.7" top="0.75" bottom="0.75" header="0.3" footer="0.3"/>
  <pageSetup scale="77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N5"/>
  <sheetViews>
    <sheetView zoomScaleNormal="100" workbookViewId="0">
      <selection activeCell="N2" sqref="N2"/>
    </sheetView>
  </sheetViews>
  <sheetFormatPr defaultRowHeight="15"/>
  <cols>
    <col min="1" max="1" width="14.28515625" style="14" bestFit="1" customWidth="1"/>
    <col min="2" max="2" width="8" style="14" bestFit="1" customWidth="1"/>
    <col min="3" max="3" width="16.28515625" style="14" bestFit="1" customWidth="1"/>
    <col min="4" max="4" width="6.85546875" style="15" bestFit="1" customWidth="1"/>
    <col min="5" max="5" width="13.7109375" style="15" bestFit="1" customWidth="1"/>
    <col min="6" max="6" width="9.42578125" style="15" bestFit="1" customWidth="1"/>
    <col min="7" max="7" width="9.140625" style="15" bestFit="1" customWidth="1"/>
    <col min="8" max="8" width="11.28515625" style="15" bestFit="1" customWidth="1"/>
    <col min="9" max="10" width="9" style="15" customWidth="1"/>
    <col min="11" max="11" width="12.42578125" style="14" bestFit="1" customWidth="1"/>
    <col min="12" max="12" width="13.85546875" style="14" customWidth="1"/>
    <col min="13" max="13" width="10.85546875" style="15" customWidth="1"/>
    <col min="14" max="14" width="10.7109375" style="16" customWidth="1"/>
  </cols>
  <sheetData>
    <row r="1" spans="1:14" ht="30">
      <c r="A1" s="14" t="s">
        <v>67</v>
      </c>
      <c r="B1" s="14" t="s">
        <v>46</v>
      </c>
      <c r="C1" s="16" t="s">
        <v>53</v>
      </c>
      <c r="D1" s="15" t="s">
        <v>47</v>
      </c>
      <c r="E1" s="15" t="s">
        <v>52</v>
      </c>
      <c r="F1" s="15" t="s">
        <v>48</v>
      </c>
      <c r="G1" s="15" t="s">
        <v>49</v>
      </c>
      <c r="H1" s="14" t="s">
        <v>51</v>
      </c>
      <c r="I1" s="15" t="s">
        <v>55</v>
      </c>
      <c r="J1" s="15" t="s">
        <v>56</v>
      </c>
      <c r="K1" s="14" t="s">
        <v>50</v>
      </c>
      <c r="L1" s="18" t="s">
        <v>57</v>
      </c>
      <c r="M1" s="18" t="s">
        <v>58</v>
      </c>
      <c r="N1" s="18" t="s">
        <v>59</v>
      </c>
    </row>
    <row r="2" spans="1:14">
      <c r="A2" s="14" t="s">
        <v>68</v>
      </c>
      <c r="B2" s="14">
        <v>1200</v>
      </c>
      <c r="C2" s="16">
        <v>101.80739730160001</v>
      </c>
      <c r="D2" s="17">
        <v>0.38900000000000001</v>
      </c>
      <c r="E2" s="17">
        <v>46.66</v>
      </c>
      <c r="F2" s="17">
        <v>2.23</v>
      </c>
      <c r="G2" s="17">
        <v>0.316</v>
      </c>
      <c r="H2" s="14">
        <v>1</v>
      </c>
      <c r="I2" s="17">
        <f>F2</f>
        <v>2.23</v>
      </c>
      <c r="J2" s="17">
        <f>G2</f>
        <v>0.316</v>
      </c>
      <c r="K2" s="14">
        <v>447612</v>
      </c>
      <c r="L2" s="14">
        <f>ROUND(E2*D2*C2*102.79,0)</f>
        <v>189944</v>
      </c>
      <c r="M2" s="14">
        <f>ROUND(I2*L2*0.002205,0)</f>
        <v>934</v>
      </c>
      <c r="N2" s="19">
        <f>ROUND(J2*L2*0.002205,1)</f>
        <v>132.30000000000001</v>
      </c>
    </row>
    <row r="3" spans="1:14">
      <c r="A3" s="14" t="s">
        <v>68</v>
      </c>
      <c r="B3" s="14">
        <v>1200</v>
      </c>
      <c r="C3" s="16">
        <v>8.3108882999999995E-2</v>
      </c>
      <c r="D3" s="17">
        <v>0.22</v>
      </c>
      <c r="E3" s="17">
        <v>46.66</v>
      </c>
      <c r="F3" s="17">
        <v>2.23</v>
      </c>
      <c r="G3" s="17">
        <v>0.316</v>
      </c>
      <c r="H3" s="14">
        <v>1</v>
      </c>
      <c r="I3" s="17">
        <f t="shared" ref="I3:I4" si="0">F3</f>
        <v>2.23</v>
      </c>
      <c r="J3" s="17">
        <f t="shared" ref="J3:J4" si="1">G3</f>
        <v>0.316</v>
      </c>
      <c r="K3" s="14">
        <v>314</v>
      </c>
      <c r="L3" s="14">
        <f t="shared" ref="L3:L4" si="2">ROUND(E3*D3*C3*102.79,0)</f>
        <v>88</v>
      </c>
      <c r="M3" s="14">
        <f t="shared" ref="M3:M4" si="3">ROUND(I3*L3*0.002205,0)</f>
        <v>0</v>
      </c>
      <c r="N3" s="19">
        <f t="shared" ref="N3:N4" si="4">ROUND(J3*L3*0.002205,1)</f>
        <v>0.1</v>
      </c>
    </row>
    <row r="4" spans="1:14">
      <c r="A4" s="14" t="s">
        <v>68</v>
      </c>
      <c r="B4" s="14">
        <v>1200</v>
      </c>
      <c r="C4" s="16">
        <v>6.3299841874</v>
      </c>
      <c r="D4" s="17">
        <v>0.22</v>
      </c>
      <c r="E4" s="17">
        <v>46.66</v>
      </c>
      <c r="F4" s="17">
        <v>2.23</v>
      </c>
      <c r="G4" s="17">
        <v>0.316</v>
      </c>
      <c r="H4" s="14">
        <v>1</v>
      </c>
      <c r="I4" s="17">
        <f t="shared" si="0"/>
        <v>2.23</v>
      </c>
      <c r="J4" s="17">
        <f t="shared" si="1"/>
        <v>0.316</v>
      </c>
      <c r="K4" s="14">
        <v>10613</v>
      </c>
      <c r="L4" s="14">
        <f t="shared" si="2"/>
        <v>6679</v>
      </c>
      <c r="M4" s="14">
        <f t="shared" si="3"/>
        <v>33</v>
      </c>
      <c r="N4" s="19">
        <f t="shared" si="4"/>
        <v>4.7</v>
      </c>
    </row>
    <row r="5" spans="1:14">
      <c r="C5" s="14">
        <f>SUM(C2:C4)</f>
        <v>108.220490372</v>
      </c>
      <c r="M5" s="14">
        <f>SUM(M2:M4)</f>
        <v>967</v>
      </c>
      <c r="N5" s="19">
        <f>SUM(N2:N4)</f>
        <v>137.1</v>
      </c>
    </row>
  </sheetData>
  <pageMargins left="0.7" right="0.7" top="0.75" bottom="0.75" header="0.3" footer="0.3"/>
  <pageSetup scale="7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N4"/>
  <sheetViews>
    <sheetView zoomScaleNormal="100" workbookViewId="0">
      <selection activeCell="N2" sqref="N2"/>
    </sheetView>
  </sheetViews>
  <sheetFormatPr defaultRowHeight="15"/>
  <cols>
    <col min="1" max="1" width="14.28515625" style="14" bestFit="1" customWidth="1"/>
    <col min="2" max="2" width="9.7109375" style="14" customWidth="1"/>
    <col min="3" max="3" width="15.140625" style="14" bestFit="1" customWidth="1"/>
    <col min="4" max="4" width="6.85546875" style="15" bestFit="1" customWidth="1"/>
    <col min="5" max="5" width="13.7109375" style="15" bestFit="1" customWidth="1"/>
    <col min="6" max="6" width="9.42578125" style="15" bestFit="1" customWidth="1"/>
    <col min="7" max="7" width="9.140625" style="15" bestFit="1" customWidth="1"/>
    <col min="8" max="8" width="11.28515625" style="15" bestFit="1" customWidth="1"/>
    <col min="9" max="9" width="7.85546875" style="15" bestFit="1" customWidth="1"/>
    <col min="10" max="10" width="7.5703125" style="15" bestFit="1" customWidth="1"/>
    <col min="11" max="11" width="12.42578125" style="14" bestFit="1" customWidth="1"/>
    <col min="12" max="12" width="14.42578125" style="14" customWidth="1"/>
    <col min="13" max="13" width="11.28515625" style="15" customWidth="1"/>
    <col min="14" max="14" width="10" style="16" customWidth="1"/>
  </cols>
  <sheetData>
    <row r="1" spans="1:14" ht="30">
      <c r="A1" s="14" t="s">
        <v>67</v>
      </c>
      <c r="B1" s="14" t="s">
        <v>46</v>
      </c>
      <c r="C1" s="16" t="s">
        <v>53</v>
      </c>
      <c r="D1" s="15" t="s">
        <v>47</v>
      </c>
      <c r="E1" s="15" t="s">
        <v>52</v>
      </c>
      <c r="F1" s="15" t="s">
        <v>48</v>
      </c>
      <c r="G1" s="15" t="s">
        <v>49</v>
      </c>
      <c r="H1" s="14" t="s">
        <v>51</v>
      </c>
      <c r="I1" s="15" t="s">
        <v>55</v>
      </c>
      <c r="J1" s="15" t="s">
        <v>56</v>
      </c>
      <c r="K1" s="14" t="s">
        <v>50</v>
      </c>
      <c r="L1" s="18" t="s">
        <v>57</v>
      </c>
      <c r="M1" s="18" t="s">
        <v>58</v>
      </c>
      <c r="N1" s="18" t="s">
        <v>59</v>
      </c>
    </row>
    <row r="2" spans="1:14">
      <c r="A2" s="14" t="s">
        <v>68</v>
      </c>
      <c r="B2" s="14">
        <v>1200</v>
      </c>
      <c r="C2" s="16">
        <v>6.0079352965000004</v>
      </c>
      <c r="D2" s="17">
        <v>0.38900000000000001</v>
      </c>
      <c r="E2" s="17">
        <v>46.66</v>
      </c>
      <c r="F2" s="17">
        <v>2.23</v>
      </c>
      <c r="G2" s="17">
        <v>0.316</v>
      </c>
      <c r="H2" s="14">
        <v>1</v>
      </c>
      <c r="I2" s="17">
        <f>F2</f>
        <v>2.23</v>
      </c>
      <c r="J2" s="17">
        <f>G2</f>
        <v>0.316</v>
      </c>
      <c r="K2" s="14">
        <v>447612</v>
      </c>
      <c r="L2" s="14">
        <f>ROUND(E2*D2*C2*102.79,0)</f>
        <v>11209</v>
      </c>
      <c r="M2" s="14">
        <f>ROUND(I2*L2*0.002205,0)</f>
        <v>55</v>
      </c>
      <c r="N2" s="19">
        <f>ROUND(J2*L2*0.002205,1)</f>
        <v>7.8</v>
      </c>
    </row>
    <row r="3" spans="1:14">
      <c r="A3" s="14" t="s">
        <v>68</v>
      </c>
      <c r="B3" s="14">
        <v>1200</v>
      </c>
      <c r="C3" s="16">
        <v>1.7428011853000001</v>
      </c>
      <c r="D3" s="17">
        <v>0.22</v>
      </c>
      <c r="E3" s="17">
        <v>46.66</v>
      </c>
      <c r="F3" s="17">
        <v>2.23</v>
      </c>
      <c r="G3" s="17">
        <v>0.316</v>
      </c>
      <c r="H3" s="14">
        <v>1</v>
      </c>
      <c r="I3" s="17">
        <f>F3</f>
        <v>2.23</v>
      </c>
      <c r="J3" s="17">
        <f>G3</f>
        <v>0.316</v>
      </c>
      <c r="K3" s="14">
        <v>10613</v>
      </c>
      <c r="L3" s="14">
        <f>ROUND(E3*D3*C3*102.79,0)</f>
        <v>1839</v>
      </c>
      <c r="M3" s="14">
        <f>ROUND(I3*L3*0.002205,0)</f>
        <v>9</v>
      </c>
      <c r="N3" s="19">
        <f>ROUND(J3*L3*0.002205,1)</f>
        <v>1.3</v>
      </c>
    </row>
    <row r="4" spans="1:14">
      <c r="C4" s="14">
        <f>SUM(C2:C3)</f>
        <v>7.7507364818000006</v>
      </c>
      <c r="M4" s="14">
        <f>SUM(M2:M3)</f>
        <v>64</v>
      </c>
      <c r="N4" s="14">
        <f>SUM(N2:N3)</f>
        <v>9.1</v>
      </c>
    </row>
  </sheetData>
  <pageMargins left="0.7" right="0.7" top="0.75" bottom="0.75" header="0.3" footer="0.3"/>
  <pageSetup scale="7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O31"/>
  <sheetViews>
    <sheetView zoomScaleNormal="100" workbookViewId="0">
      <selection activeCell="O2" sqref="O2"/>
    </sheetView>
  </sheetViews>
  <sheetFormatPr defaultRowHeight="15"/>
  <cols>
    <col min="1" max="1" width="14.28515625" style="14" bestFit="1" customWidth="1"/>
    <col min="2" max="2" width="8" style="14" bestFit="1" customWidth="1"/>
    <col min="3" max="3" width="17.28515625" style="16" bestFit="1" customWidth="1"/>
    <col min="4" max="4" width="6.85546875" style="15" bestFit="1" customWidth="1"/>
    <col min="5" max="5" width="13.7109375" style="15" bestFit="1" customWidth="1"/>
    <col min="6" max="6" width="9.42578125" style="15" bestFit="1" customWidth="1"/>
    <col min="7" max="7" width="9.140625" style="15" bestFit="1" customWidth="1"/>
    <col min="8" max="8" width="11.28515625" style="14" bestFit="1" customWidth="1"/>
    <col min="9" max="10" width="9" style="15" customWidth="1"/>
    <col min="11" max="11" width="12.42578125" style="14" bestFit="1" customWidth="1"/>
    <col min="12" max="12" width="15.28515625" style="14" customWidth="1"/>
    <col min="13" max="13" width="14.7109375" customWidth="1"/>
    <col min="14" max="14" width="8.140625" bestFit="1" customWidth="1"/>
    <col min="15" max="15" width="7.85546875" bestFit="1" customWidth="1"/>
  </cols>
  <sheetData>
    <row r="1" spans="1:15" ht="30">
      <c r="A1" s="14" t="s">
        <v>54</v>
      </c>
      <c r="B1" s="14" t="s">
        <v>46</v>
      </c>
      <c r="C1" s="16" t="s">
        <v>53</v>
      </c>
      <c r="D1" s="15" t="s">
        <v>47</v>
      </c>
      <c r="E1" s="15" t="s">
        <v>52</v>
      </c>
      <c r="F1" s="15" t="s">
        <v>48</v>
      </c>
      <c r="G1" s="15" t="s">
        <v>49</v>
      </c>
      <c r="H1" s="14" t="s">
        <v>51</v>
      </c>
      <c r="I1" s="15" t="s">
        <v>55</v>
      </c>
      <c r="J1" s="15" t="s">
        <v>56</v>
      </c>
      <c r="K1" s="14" t="s">
        <v>50</v>
      </c>
      <c r="L1" s="18" t="s">
        <v>87</v>
      </c>
      <c r="M1" s="18" t="s">
        <v>57</v>
      </c>
      <c r="N1" s="18" t="s">
        <v>58</v>
      </c>
      <c r="O1" s="18" t="s">
        <v>59</v>
      </c>
    </row>
    <row r="2" spans="1:15">
      <c r="A2" s="14" t="s">
        <v>68</v>
      </c>
      <c r="B2" s="14">
        <v>1200</v>
      </c>
      <c r="C2" s="16">
        <v>188.32037927799999</v>
      </c>
      <c r="D2" s="17">
        <v>0.38900000000000001</v>
      </c>
      <c r="E2" s="17">
        <v>46.66</v>
      </c>
      <c r="F2" s="17">
        <v>2.23</v>
      </c>
      <c r="G2" s="17">
        <v>0.316</v>
      </c>
      <c r="H2" s="14">
        <v>1</v>
      </c>
      <c r="I2" s="17">
        <f>F2</f>
        <v>2.23</v>
      </c>
      <c r="J2" s="17">
        <f>G2</f>
        <v>0.316</v>
      </c>
      <c r="K2" s="14">
        <v>447612</v>
      </c>
      <c r="L2" s="14">
        <f>E2*D2*C2/12</f>
        <v>284.84618674803045</v>
      </c>
      <c r="M2" s="14">
        <f>ROUND(E2*D2*C2*102.79,0)</f>
        <v>351352</v>
      </c>
      <c r="N2" s="14">
        <f>ROUND(I2*M2*0.002205,0)</f>
        <v>1728</v>
      </c>
      <c r="O2" s="19">
        <f>ROUND(J2*M2*0.002205,1)</f>
        <v>244.8</v>
      </c>
    </row>
    <row r="3" spans="1:15">
      <c r="A3" s="14" t="s">
        <v>68</v>
      </c>
      <c r="B3" s="14">
        <v>1200</v>
      </c>
      <c r="C3" s="16">
        <v>0.34013050239999998</v>
      </c>
      <c r="D3" s="17">
        <v>0.22</v>
      </c>
      <c r="E3" s="17">
        <v>46.66</v>
      </c>
      <c r="F3" s="17">
        <v>2.23</v>
      </c>
      <c r="G3" s="17">
        <v>0.316</v>
      </c>
      <c r="H3" s="14">
        <v>1</v>
      </c>
      <c r="I3" s="17">
        <f t="shared" ref="I3:I6" si="0">F3</f>
        <v>2.23</v>
      </c>
      <c r="J3" s="17">
        <f t="shared" ref="J3:J6" si="1">G3</f>
        <v>0.316</v>
      </c>
      <c r="K3" s="14">
        <v>314</v>
      </c>
      <c r="L3" s="14">
        <f t="shared" ref="L3:L30" si="2">E3*D3*C3/12</f>
        <v>0.29095896943637328</v>
      </c>
      <c r="M3" s="14">
        <f t="shared" ref="M3:M30" si="3">ROUND(E3*D3*C3*102.79,0)</f>
        <v>359</v>
      </c>
      <c r="N3" s="14">
        <f t="shared" ref="N3:N30" si="4">ROUND(I3*M3*0.002205,0)</f>
        <v>2</v>
      </c>
      <c r="O3" s="19">
        <f t="shared" ref="O3:O30" si="5">ROUND(J3*M3*0.002205,1)</f>
        <v>0.3</v>
      </c>
    </row>
    <row r="4" spans="1:15">
      <c r="A4" s="14" t="s">
        <v>68</v>
      </c>
      <c r="B4" s="14">
        <v>1200</v>
      </c>
      <c r="C4" s="16">
        <v>8.0727850705000002</v>
      </c>
      <c r="D4" s="17">
        <v>0.22</v>
      </c>
      <c r="E4" s="17">
        <v>46.66</v>
      </c>
      <c r="F4" s="17">
        <v>2.23</v>
      </c>
      <c r="G4" s="17">
        <v>0.316</v>
      </c>
      <c r="H4" s="14">
        <v>1</v>
      </c>
      <c r="I4" s="17">
        <f t="shared" si="0"/>
        <v>2.23</v>
      </c>
      <c r="J4" s="17">
        <f t="shared" si="1"/>
        <v>0.316</v>
      </c>
      <c r="K4" s="14">
        <v>10613</v>
      </c>
      <c r="L4" s="14">
        <f t="shared" si="2"/>
        <v>6.9057294421413831</v>
      </c>
      <c r="M4" s="14">
        <f t="shared" si="3"/>
        <v>8518</v>
      </c>
      <c r="N4" s="14">
        <f t="shared" si="4"/>
        <v>42</v>
      </c>
      <c r="O4" s="19">
        <f t="shared" si="5"/>
        <v>5.9</v>
      </c>
    </row>
    <row r="5" spans="1:15">
      <c r="A5" s="14" t="s">
        <v>68</v>
      </c>
      <c r="B5" s="14">
        <v>1300</v>
      </c>
      <c r="C5" s="16">
        <v>0.19161952409999999</v>
      </c>
      <c r="D5" s="17">
        <v>0.69199999999999995</v>
      </c>
      <c r="E5" s="17">
        <v>46.66</v>
      </c>
      <c r="F5" s="17">
        <v>2.1</v>
      </c>
      <c r="G5" s="17">
        <v>0.51600000000000001</v>
      </c>
      <c r="H5" s="14">
        <v>1</v>
      </c>
      <c r="I5" s="17">
        <f t="shared" si="0"/>
        <v>2.1</v>
      </c>
      <c r="J5" s="17">
        <f t="shared" si="1"/>
        <v>0.51600000000000001</v>
      </c>
      <c r="K5" s="14">
        <v>5174</v>
      </c>
      <c r="L5" s="14">
        <f t="shared" si="2"/>
        <v>0.51559576334984591</v>
      </c>
      <c r="M5" s="14">
        <f t="shared" si="3"/>
        <v>636</v>
      </c>
      <c r="N5" s="14">
        <f t="shared" si="4"/>
        <v>3</v>
      </c>
      <c r="O5" s="19">
        <f t="shared" si="5"/>
        <v>0.7</v>
      </c>
    </row>
    <row r="6" spans="1:15">
      <c r="A6" s="14" t="s">
        <v>68</v>
      </c>
      <c r="B6" s="14">
        <v>1400</v>
      </c>
      <c r="C6" s="16">
        <v>4.2919436300000002E-2</v>
      </c>
      <c r="D6" s="17">
        <v>0.88800000000000001</v>
      </c>
      <c r="E6" s="17">
        <v>46.66</v>
      </c>
      <c r="F6" s="17">
        <v>1.93</v>
      </c>
      <c r="G6" s="17">
        <v>0.497</v>
      </c>
      <c r="H6" s="14">
        <v>1</v>
      </c>
      <c r="I6" s="17">
        <f t="shared" si="0"/>
        <v>1.93</v>
      </c>
      <c r="J6" s="17">
        <f t="shared" si="1"/>
        <v>0.497</v>
      </c>
      <c r="K6" s="14">
        <v>1503</v>
      </c>
      <c r="L6" s="14">
        <f t="shared" si="2"/>
        <v>0.14819394643409198</v>
      </c>
      <c r="M6" s="14">
        <f t="shared" si="3"/>
        <v>183</v>
      </c>
      <c r="N6" s="14">
        <f t="shared" si="4"/>
        <v>1</v>
      </c>
      <c r="O6" s="19">
        <f t="shared" si="5"/>
        <v>0.2</v>
      </c>
    </row>
    <row r="7" spans="1:15">
      <c r="A7" s="14" t="s">
        <v>68</v>
      </c>
      <c r="B7" s="14">
        <v>1400</v>
      </c>
      <c r="C7" s="16">
        <v>1.99129935E-2</v>
      </c>
      <c r="D7" s="17">
        <v>0.88800000000000001</v>
      </c>
      <c r="E7" s="17">
        <v>46.66</v>
      </c>
      <c r="F7" s="17">
        <v>1.93</v>
      </c>
      <c r="G7" s="17">
        <v>0.497</v>
      </c>
      <c r="H7" s="14">
        <v>0</v>
      </c>
      <c r="I7" s="17">
        <f>0.7*F7</f>
        <v>1.351</v>
      </c>
      <c r="J7" s="17">
        <f>0.5*G7</f>
        <v>0.2485</v>
      </c>
      <c r="K7" s="14">
        <v>2274</v>
      </c>
      <c r="L7" s="14">
        <f t="shared" si="2"/>
        <v>6.8756380476539994E-2</v>
      </c>
      <c r="M7" s="14">
        <f t="shared" si="3"/>
        <v>85</v>
      </c>
      <c r="N7" s="14">
        <f t="shared" si="4"/>
        <v>0</v>
      </c>
      <c r="O7" s="19">
        <f t="shared" si="5"/>
        <v>0</v>
      </c>
    </row>
    <row r="8" spans="1:15">
      <c r="A8" s="14" t="s">
        <v>68</v>
      </c>
      <c r="B8" s="14">
        <v>1400</v>
      </c>
      <c r="C8" s="16">
        <v>4.4385565570000001</v>
      </c>
      <c r="D8" s="17">
        <v>0.88800000000000001</v>
      </c>
      <c r="E8" s="17">
        <v>46.66</v>
      </c>
      <c r="F8" s="17">
        <v>1.93</v>
      </c>
      <c r="G8" s="17">
        <v>0.497</v>
      </c>
      <c r="H8" s="14">
        <v>1</v>
      </c>
      <c r="I8" s="17">
        <f t="shared" ref="I8:I12" si="6">F8</f>
        <v>1.93</v>
      </c>
      <c r="J8" s="17">
        <f t="shared" ref="J8:J12" si="7">G8</f>
        <v>0.497</v>
      </c>
      <c r="K8" s="14">
        <v>10169</v>
      </c>
      <c r="L8" s="14">
        <f t="shared" si="2"/>
        <v>15.325625622271879</v>
      </c>
      <c r="M8" s="14">
        <f t="shared" si="3"/>
        <v>18904</v>
      </c>
      <c r="N8" s="14">
        <f t="shared" si="4"/>
        <v>80</v>
      </c>
      <c r="O8" s="19">
        <f t="shared" si="5"/>
        <v>20.7</v>
      </c>
    </row>
    <row r="9" spans="1:15">
      <c r="A9" s="14" t="s">
        <v>68</v>
      </c>
      <c r="B9" s="14">
        <v>1200</v>
      </c>
      <c r="C9" s="16">
        <v>2.7063194066</v>
      </c>
      <c r="D9" s="17">
        <v>0.22</v>
      </c>
      <c r="E9" s="17">
        <v>46.66</v>
      </c>
      <c r="F9" s="17">
        <v>2.23</v>
      </c>
      <c r="G9" s="17">
        <v>0.316</v>
      </c>
      <c r="H9" s="14">
        <v>1</v>
      </c>
      <c r="I9" s="17">
        <f t="shared" si="6"/>
        <v>2.23</v>
      </c>
      <c r="J9" s="17">
        <f t="shared" si="7"/>
        <v>0.316</v>
      </c>
      <c r="K9" s="14">
        <v>21084</v>
      </c>
      <c r="L9" s="14">
        <f t="shared" si="2"/>
        <v>2.315075831052527</v>
      </c>
      <c r="M9" s="14">
        <f t="shared" si="3"/>
        <v>2856</v>
      </c>
      <c r="N9" s="14">
        <f t="shared" si="4"/>
        <v>14</v>
      </c>
      <c r="O9" s="19">
        <f t="shared" si="5"/>
        <v>2</v>
      </c>
    </row>
    <row r="10" spans="1:15">
      <c r="A10" s="14" t="s">
        <v>68</v>
      </c>
      <c r="B10" s="14">
        <v>1400</v>
      </c>
      <c r="C10" s="16">
        <v>2.0038044999999998E-3</v>
      </c>
      <c r="D10" s="17">
        <v>0.88600000000000001</v>
      </c>
      <c r="E10" s="17">
        <v>46.66</v>
      </c>
      <c r="F10" s="17">
        <v>1.93</v>
      </c>
      <c r="G10" s="17">
        <v>0.497</v>
      </c>
      <c r="H10" s="14">
        <v>1</v>
      </c>
      <c r="I10" s="17">
        <f t="shared" si="6"/>
        <v>1.93</v>
      </c>
      <c r="J10" s="17">
        <f t="shared" si="7"/>
        <v>0.497</v>
      </c>
      <c r="K10" s="14">
        <v>3</v>
      </c>
      <c r="L10" s="14">
        <f t="shared" si="2"/>
        <v>6.9032334101183325E-3</v>
      </c>
      <c r="M10" s="14">
        <f t="shared" si="3"/>
        <v>9</v>
      </c>
      <c r="N10" s="14">
        <f t="shared" si="4"/>
        <v>0</v>
      </c>
      <c r="O10" s="19">
        <f t="shared" si="5"/>
        <v>0</v>
      </c>
    </row>
    <row r="11" spans="1:15">
      <c r="A11" s="14" t="s">
        <v>68</v>
      </c>
      <c r="B11" s="14">
        <v>3100</v>
      </c>
      <c r="C11" s="16">
        <v>2.1821434999999998E-3</v>
      </c>
      <c r="D11" s="17">
        <v>0.1</v>
      </c>
      <c r="E11" s="17">
        <v>46.66</v>
      </c>
      <c r="F11" s="17">
        <v>1.2</v>
      </c>
      <c r="G11" s="17">
        <v>6.4000000000000001E-2</v>
      </c>
      <c r="H11" s="14">
        <v>1</v>
      </c>
      <c r="I11" s="17">
        <f t="shared" si="6"/>
        <v>1.2</v>
      </c>
      <c r="J11" s="17">
        <f t="shared" si="7"/>
        <v>6.4000000000000001E-2</v>
      </c>
      <c r="K11" s="14">
        <v>0</v>
      </c>
      <c r="L11" s="14">
        <f t="shared" si="2"/>
        <v>8.4849013091666643E-4</v>
      </c>
      <c r="M11" s="14">
        <f t="shared" si="3"/>
        <v>1</v>
      </c>
      <c r="N11" s="14">
        <f t="shared" si="4"/>
        <v>0</v>
      </c>
      <c r="O11" s="19">
        <f t="shared" si="5"/>
        <v>0</v>
      </c>
    </row>
    <row r="12" spans="1:15">
      <c r="A12" s="14" t="s">
        <v>68</v>
      </c>
      <c r="B12" s="14">
        <v>3100</v>
      </c>
      <c r="C12" s="16">
        <v>0.15958650220000001</v>
      </c>
      <c r="D12" s="17">
        <v>0.3</v>
      </c>
      <c r="E12" s="17">
        <v>46.66</v>
      </c>
      <c r="F12" s="17">
        <v>1.2</v>
      </c>
      <c r="G12" s="17">
        <v>6.4000000000000001E-2</v>
      </c>
      <c r="H12" s="14">
        <v>1</v>
      </c>
      <c r="I12" s="17">
        <f t="shared" si="6"/>
        <v>1.2</v>
      </c>
      <c r="J12" s="17">
        <f t="shared" si="7"/>
        <v>6.4000000000000001E-2</v>
      </c>
      <c r="K12" s="14">
        <v>310</v>
      </c>
      <c r="L12" s="14">
        <f t="shared" si="2"/>
        <v>0.18615765481630001</v>
      </c>
      <c r="M12" s="14">
        <f t="shared" si="3"/>
        <v>230</v>
      </c>
      <c r="N12" s="14">
        <f t="shared" si="4"/>
        <v>1</v>
      </c>
      <c r="O12" s="19">
        <f t="shared" si="5"/>
        <v>0</v>
      </c>
    </row>
    <row r="13" spans="1:15">
      <c r="A13" s="14" t="s">
        <v>68</v>
      </c>
      <c r="B13" s="14">
        <v>1200</v>
      </c>
      <c r="C13" s="16">
        <v>3.49313417E-2</v>
      </c>
      <c r="D13" s="17">
        <v>0.22</v>
      </c>
      <c r="E13" s="17">
        <v>46.66</v>
      </c>
      <c r="F13" s="17">
        <v>2.23</v>
      </c>
      <c r="G13" s="17">
        <v>0.316</v>
      </c>
      <c r="H13" s="14">
        <v>0</v>
      </c>
      <c r="I13" s="17">
        <f>0.7*F13</f>
        <v>1.5609999999999999</v>
      </c>
      <c r="J13" s="17">
        <f>0.5*G13</f>
        <v>0.158</v>
      </c>
      <c r="K13" s="14">
        <v>178</v>
      </c>
      <c r="L13" s="14">
        <f t="shared" si="2"/>
        <v>2.9881434068236668E-2</v>
      </c>
      <c r="M13" s="14">
        <f t="shared" si="3"/>
        <v>37</v>
      </c>
      <c r="N13" s="14">
        <f t="shared" si="4"/>
        <v>0</v>
      </c>
      <c r="O13" s="19">
        <f t="shared" si="5"/>
        <v>0</v>
      </c>
    </row>
    <row r="14" spans="1:15">
      <c r="A14" s="14" t="s">
        <v>68</v>
      </c>
      <c r="B14" s="14">
        <v>3100</v>
      </c>
      <c r="C14" s="16">
        <v>3.1983632000000001E-3</v>
      </c>
      <c r="D14" s="17">
        <v>0.1</v>
      </c>
      <c r="E14" s="17">
        <v>46.66</v>
      </c>
      <c r="F14" s="17">
        <v>1.2</v>
      </c>
      <c r="G14" s="17">
        <v>6.4000000000000001E-2</v>
      </c>
      <c r="H14" s="14">
        <v>1</v>
      </c>
      <c r="I14" s="17">
        <f t="shared" ref="I14:I16" si="8">F14</f>
        <v>1.2</v>
      </c>
      <c r="J14" s="17">
        <f t="shared" ref="J14:J16" si="9">G14</f>
        <v>6.4000000000000001E-2</v>
      </c>
      <c r="K14" s="14">
        <v>24</v>
      </c>
      <c r="L14" s="14">
        <f t="shared" si="2"/>
        <v>1.2436302242666666E-3</v>
      </c>
      <c r="M14" s="14">
        <f t="shared" si="3"/>
        <v>2</v>
      </c>
      <c r="N14" s="14">
        <f t="shared" si="4"/>
        <v>0</v>
      </c>
      <c r="O14" s="19">
        <f t="shared" si="5"/>
        <v>0</v>
      </c>
    </row>
    <row r="15" spans="1:15">
      <c r="A15" s="14" t="s">
        <v>68</v>
      </c>
      <c r="B15" s="14">
        <v>3100</v>
      </c>
      <c r="C15" s="16">
        <v>1.7912422300000001E-2</v>
      </c>
      <c r="D15" s="17">
        <v>0.3</v>
      </c>
      <c r="E15" s="17">
        <v>46.66</v>
      </c>
      <c r="F15" s="17">
        <v>1.2</v>
      </c>
      <c r="G15" s="17">
        <v>6.4000000000000001E-2</v>
      </c>
      <c r="H15" s="14">
        <v>1</v>
      </c>
      <c r="I15" s="17">
        <f t="shared" si="8"/>
        <v>1.2</v>
      </c>
      <c r="J15" s="17">
        <f t="shared" si="9"/>
        <v>6.4000000000000001E-2</v>
      </c>
      <c r="K15" s="14">
        <v>27</v>
      </c>
      <c r="L15" s="14">
        <f t="shared" si="2"/>
        <v>2.0894840612949998E-2</v>
      </c>
      <c r="M15" s="14">
        <f t="shared" si="3"/>
        <v>26</v>
      </c>
      <c r="N15" s="14">
        <f t="shared" si="4"/>
        <v>0</v>
      </c>
      <c r="O15" s="19">
        <f t="shared" si="5"/>
        <v>0</v>
      </c>
    </row>
    <row r="16" spans="1:15">
      <c r="A16" s="14" t="s">
        <v>68</v>
      </c>
      <c r="B16" s="14">
        <v>3100</v>
      </c>
      <c r="C16" s="16">
        <v>7.1681527499999995E-2</v>
      </c>
      <c r="D16" s="17">
        <v>0.3</v>
      </c>
      <c r="E16" s="17">
        <v>46.66</v>
      </c>
      <c r="F16" s="17">
        <v>1.2</v>
      </c>
      <c r="G16" s="17">
        <v>6.4000000000000001E-2</v>
      </c>
      <c r="H16" s="14">
        <v>1</v>
      </c>
      <c r="I16" s="17">
        <f t="shared" si="8"/>
        <v>1.2</v>
      </c>
      <c r="J16" s="17">
        <f t="shared" si="9"/>
        <v>6.4000000000000001E-2</v>
      </c>
      <c r="K16" s="14">
        <v>88</v>
      </c>
      <c r="L16" s="14">
        <f t="shared" si="2"/>
        <v>8.3616501828749981E-2</v>
      </c>
      <c r="M16" s="14">
        <f t="shared" si="3"/>
        <v>103</v>
      </c>
      <c r="N16" s="14">
        <f t="shared" si="4"/>
        <v>0</v>
      </c>
      <c r="O16" s="19">
        <f t="shared" si="5"/>
        <v>0</v>
      </c>
    </row>
    <row r="17" spans="1:15">
      <c r="A17" s="14" t="s">
        <v>68</v>
      </c>
      <c r="B17" s="14">
        <v>1400</v>
      </c>
      <c r="C17" s="16">
        <v>4.6750685E-2</v>
      </c>
      <c r="D17" s="17">
        <v>0.88800000000000001</v>
      </c>
      <c r="E17" s="17">
        <v>46.66</v>
      </c>
      <c r="F17" s="17">
        <v>1.93</v>
      </c>
      <c r="G17" s="17">
        <v>0.497</v>
      </c>
      <c r="H17" s="14">
        <v>0</v>
      </c>
      <c r="I17" s="17">
        <f>0.7*F17</f>
        <v>1.351</v>
      </c>
      <c r="J17" s="17">
        <f>0.5*G17</f>
        <v>0.2485</v>
      </c>
      <c r="K17" s="14">
        <v>112</v>
      </c>
      <c r="L17" s="14">
        <f t="shared" si="2"/>
        <v>0.16142263519539998</v>
      </c>
      <c r="M17" s="14">
        <f t="shared" si="3"/>
        <v>199</v>
      </c>
      <c r="N17" s="14">
        <f t="shared" si="4"/>
        <v>1</v>
      </c>
      <c r="O17" s="19">
        <f t="shared" si="5"/>
        <v>0.1</v>
      </c>
    </row>
    <row r="18" spans="1:15">
      <c r="A18" s="14" t="s">
        <v>68</v>
      </c>
      <c r="B18" s="14">
        <v>1400</v>
      </c>
      <c r="C18" s="16">
        <v>0.18688208589999999</v>
      </c>
      <c r="D18" s="17">
        <v>0.88800000000000001</v>
      </c>
      <c r="E18" s="17">
        <v>46.66</v>
      </c>
      <c r="F18" s="17">
        <v>1.93</v>
      </c>
      <c r="G18" s="17">
        <v>0.497</v>
      </c>
      <c r="H18" s="14">
        <v>1</v>
      </c>
      <c r="I18" s="17">
        <f t="shared" ref="I18:I20" si="10">F18</f>
        <v>1.93</v>
      </c>
      <c r="J18" s="17">
        <f t="shared" ref="J18:J20" si="11">G18</f>
        <v>0.497</v>
      </c>
      <c r="K18" s="14">
        <v>16467</v>
      </c>
      <c r="L18" s="14">
        <f t="shared" si="2"/>
        <v>0.64527394147895589</v>
      </c>
      <c r="M18" s="14">
        <f t="shared" si="3"/>
        <v>796</v>
      </c>
      <c r="N18" s="14">
        <f t="shared" si="4"/>
        <v>3</v>
      </c>
      <c r="O18" s="19">
        <f t="shared" si="5"/>
        <v>0.9</v>
      </c>
    </row>
    <row r="19" spans="1:15">
      <c r="A19" s="14" t="s">
        <v>68</v>
      </c>
      <c r="B19" s="14">
        <v>3300</v>
      </c>
      <c r="C19" s="16">
        <v>0.96929374989999995</v>
      </c>
      <c r="D19" s="17">
        <v>0.28699999999999998</v>
      </c>
      <c r="E19" s="17">
        <v>46.66</v>
      </c>
      <c r="F19" s="17">
        <v>1.2</v>
      </c>
      <c r="G19" s="17">
        <v>6.4000000000000001E-2</v>
      </c>
      <c r="H19" s="14">
        <v>1</v>
      </c>
      <c r="I19" s="17">
        <f t="shared" si="10"/>
        <v>1.2</v>
      </c>
      <c r="J19" s="17">
        <f t="shared" si="11"/>
        <v>6.4000000000000001E-2</v>
      </c>
      <c r="K19" s="14">
        <v>470</v>
      </c>
      <c r="L19" s="14">
        <f t="shared" si="2"/>
        <v>1.0816849756904878</v>
      </c>
      <c r="M19" s="14">
        <f t="shared" si="3"/>
        <v>1334</v>
      </c>
      <c r="N19" s="14">
        <f t="shared" si="4"/>
        <v>4</v>
      </c>
      <c r="O19" s="19">
        <f t="shared" si="5"/>
        <v>0.2</v>
      </c>
    </row>
    <row r="20" spans="1:15">
      <c r="A20" s="14" t="s">
        <v>68</v>
      </c>
      <c r="B20" s="14">
        <v>3300</v>
      </c>
      <c r="C20" s="16">
        <v>3.3462440918</v>
      </c>
      <c r="D20" s="17">
        <v>0.28699999999999998</v>
      </c>
      <c r="E20" s="17">
        <v>46.66</v>
      </c>
      <c r="F20" s="17">
        <v>1.2</v>
      </c>
      <c r="G20" s="17">
        <v>6.4000000000000001E-2</v>
      </c>
      <c r="H20" s="14">
        <v>1</v>
      </c>
      <c r="I20" s="17">
        <f t="shared" si="10"/>
        <v>1.2</v>
      </c>
      <c r="J20" s="17">
        <f t="shared" si="11"/>
        <v>6.4000000000000001E-2</v>
      </c>
      <c r="K20" s="14">
        <v>2397</v>
      </c>
      <c r="L20" s="14">
        <f t="shared" si="2"/>
        <v>3.7342466713176958</v>
      </c>
      <c r="M20" s="14">
        <f t="shared" si="3"/>
        <v>4606</v>
      </c>
      <c r="N20" s="14">
        <f t="shared" si="4"/>
        <v>12</v>
      </c>
      <c r="O20" s="19">
        <f t="shared" si="5"/>
        <v>0.6</v>
      </c>
    </row>
    <row r="21" spans="1:15">
      <c r="A21" s="14" t="s">
        <v>68</v>
      </c>
      <c r="B21" s="14">
        <v>1200</v>
      </c>
      <c r="C21" s="16">
        <v>1.42118138E-2</v>
      </c>
      <c r="D21" s="17">
        <v>0.38900000000000001</v>
      </c>
      <c r="E21" s="17">
        <v>46.66</v>
      </c>
      <c r="F21" s="17">
        <v>2.23</v>
      </c>
      <c r="G21" s="17">
        <v>0.316</v>
      </c>
      <c r="H21" s="14">
        <v>0</v>
      </c>
      <c r="I21" s="17">
        <f>0.7*F21</f>
        <v>1.5609999999999999</v>
      </c>
      <c r="J21" s="17">
        <f>0.5*G21</f>
        <v>0.158</v>
      </c>
      <c r="K21" s="14">
        <v>131</v>
      </c>
      <c r="L21" s="14">
        <f t="shared" si="2"/>
        <v>2.1496244767684334E-2</v>
      </c>
      <c r="M21" s="14">
        <f t="shared" si="3"/>
        <v>27</v>
      </c>
      <c r="N21" s="14">
        <f t="shared" si="4"/>
        <v>0</v>
      </c>
      <c r="O21" s="19">
        <f t="shared" si="5"/>
        <v>0</v>
      </c>
    </row>
    <row r="22" spans="1:15">
      <c r="A22" s="14" t="s">
        <v>68</v>
      </c>
      <c r="B22" s="14">
        <v>3300</v>
      </c>
      <c r="C22" s="16">
        <v>2.8392467420999998</v>
      </c>
      <c r="D22" s="17">
        <v>0.28699999999999998</v>
      </c>
      <c r="E22" s="17">
        <v>46.66</v>
      </c>
      <c r="F22" s="17">
        <v>1.2</v>
      </c>
      <c r="G22" s="17">
        <v>6.4000000000000001E-2</v>
      </c>
      <c r="H22" s="14">
        <v>1</v>
      </c>
      <c r="I22" s="17">
        <f t="shared" ref="I22:I25" si="12">F22</f>
        <v>1.2</v>
      </c>
      <c r="J22" s="17">
        <f t="shared" ref="J22:J25" si="13">G22</f>
        <v>6.4000000000000001E-2</v>
      </c>
      <c r="K22" s="14">
        <v>1889</v>
      </c>
      <c r="L22" s="14">
        <f t="shared" si="2"/>
        <v>3.1684621339243981</v>
      </c>
      <c r="M22" s="14">
        <f t="shared" si="3"/>
        <v>3908</v>
      </c>
      <c r="N22" s="14">
        <f t="shared" si="4"/>
        <v>10</v>
      </c>
      <c r="O22" s="19">
        <f t="shared" si="5"/>
        <v>0.6</v>
      </c>
    </row>
    <row r="23" spans="1:15">
      <c r="A23" s="14" t="s">
        <v>68</v>
      </c>
      <c r="B23" s="14">
        <v>1700</v>
      </c>
      <c r="C23" s="16">
        <v>0.287864815</v>
      </c>
      <c r="D23" s="17">
        <v>0.78600000000000003</v>
      </c>
      <c r="E23" s="17">
        <v>46.66</v>
      </c>
      <c r="F23" s="17">
        <v>1.8</v>
      </c>
      <c r="G23" s="17">
        <v>0.47799999999999998</v>
      </c>
      <c r="H23" s="14">
        <v>1</v>
      </c>
      <c r="I23" s="17">
        <f t="shared" si="12"/>
        <v>1.8</v>
      </c>
      <c r="J23" s="17">
        <f t="shared" si="13"/>
        <v>0.47799999999999998</v>
      </c>
      <c r="K23" s="14">
        <v>4457</v>
      </c>
      <c r="L23" s="14">
        <f t="shared" si="2"/>
        <v>0.87978108354744988</v>
      </c>
      <c r="M23" s="14">
        <f t="shared" si="3"/>
        <v>1085</v>
      </c>
      <c r="N23" s="14">
        <f t="shared" si="4"/>
        <v>4</v>
      </c>
      <c r="O23" s="19">
        <f t="shared" si="5"/>
        <v>1.1000000000000001</v>
      </c>
    </row>
    <row r="24" spans="1:15">
      <c r="A24" s="14" t="s">
        <v>68</v>
      </c>
      <c r="B24" s="14">
        <v>7400</v>
      </c>
      <c r="C24" s="16">
        <v>1.6904756616000001</v>
      </c>
      <c r="D24" s="17">
        <v>0.20200000000000001</v>
      </c>
      <c r="E24" s="17">
        <v>46.66</v>
      </c>
      <c r="F24" s="17">
        <v>1.38</v>
      </c>
      <c r="G24" s="17">
        <v>0.109</v>
      </c>
      <c r="H24" s="14">
        <v>1</v>
      </c>
      <c r="I24" s="17">
        <f t="shared" si="12"/>
        <v>1.38</v>
      </c>
      <c r="J24" s="17">
        <f t="shared" si="13"/>
        <v>0.109</v>
      </c>
      <c r="K24" s="14">
        <v>677</v>
      </c>
      <c r="L24" s="14">
        <f t="shared" si="2"/>
        <v>1.3277728385659759</v>
      </c>
      <c r="M24" s="14">
        <f t="shared" si="3"/>
        <v>1638</v>
      </c>
      <c r="N24" s="14">
        <f t="shared" si="4"/>
        <v>5</v>
      </c>
      <c r="O24" s="19">
        <f t="shared" si="5"/>
        <v>0.4</v>
      </c>
    </row>
    <row r="25" spans="1:15">
      <c r="A25" s="14" t="s">
        <v>68</v>
      </c>
      <c r="B25" s="14">
        <v>7400</v>
      </c>
      <c r="C25" s="16">
        <v>9.8402297799999996E-2</v>
      </c>
      <c r="D25" s="17">
        <v>0.20200000000000001</v>
      </c>
      <c r="E25" s="17">
        <v>46.66</v>
      </c>
      <c r="F25" s="17">
        <v>1.38</v>
      </c>
      <c r="G25" s="17">
        <v>0.109</v>
      </c>
      <c r="H25" s="14">
        <v>1</v>
      </c>
      <c r="I25" s="17">
        <f t="shared" si="12"/>
        <v>1.38</v>
      </c>
      <c r="J25" s="17">
        <f t="shared" si="13"/>
        <v>0.109</v>
      </c>
      <c r="K25" s="14">
        <v>33</v>
      </c>
      <c r="L25" s="14">
        <f t="shared" si="2"/>
        <v>7.7289428791691331E-2</v>
      </c>
      <c r="M25" s="14">
        <f t="shared" si="3"/>
        <v>95</v>
      </c>
      <c r="N25" s="14">
        <f t="shared" si="4"/>
        <v>0</v>
      </c>
      <c r="O25" s="19">
        <f t="shared" si="5"/>
        <v>0</v>
      </c>
    </row>
    <row r="26" spans="1:15">
      <c r="A26" s="14" t="s">
        <v>68</v>
      </c>
      <c r="B26" s="14">
        <v>1700</v>
      </c>
      <c r="C26" s="16">
        <v>0.15157108650000001</v>
      </c>
      <c r="D26" s="17">
        <v>0.78600000000000003</v>
      </c>
      <c r="E26" s="17">
        <v>46.66</v>
      </c>
      <c r="F26" s="17">
        <v>1.8</v>
      </c>
      <c r="G26" s="17">
        <v>0.47799999999999998</v>
      </c>
      <c r="H26" s="14">
        <v>0</v>
      </c>
      <c r="I26" s="17">
        <f>0.7*F26</f>
        <v>1.26</v>
      </c>
      <c r="J26" s="17">
        <f>0.5*G26</f>
        <v>0.23899999999999999</v>
      </c>
      <c r="K26" s="14">
        <v>196</v>
      </c>
      <c r="L26" s="14">
        <f t="shared" si="2"/>
        <v>0.46323610169389501</v>
      </c>
      <c r="M26" s="14">
        <f t="shared" si="3"/>
        <v>571</v>
      </c>
      <c r="N26" s="14">
        <f t="shared" si="4"/>
        <v>2</v>
      </c>
      <c r="O26" s="19">
        <f t="shared" si="5"/>
        <v>0.3</v>
      </c>
    </row>
    <row r="27" spans="1:15">
      <c r="A27" s="14" t="s">
        <v>68</v>
      </c>
      <c r="B27" s="14">
        <v>7400</v>
      </c>
      <c r="C27" s="16">
        <v>0.12313279019999999</v>
      </c>
      <c r="D27" s="17">
        <v>0.191</v>
      </c>
      <c r="E27" s="17">
        <v>46.66</v>
      </c>
      <c r="F27" s="17">
        <v>1.38</v>
      </c>
      <c r="G27" s="17">
        <v>0.109</v>
      </c>
      <c r="H27" s="14">
        <v>1</v>
      </c>
      <c r="I27" s="17">
        <f t="shared" ref="I27:I30" si="14">F27</f>
        <v>1.38</v>
      </c>
      <c r="J27" s="17">
        <f t="shared" ref="J27:J30" si="15">G27</f>
        <v>0.109</v>
      </c>
      <c r="K27" s="14">
        <v>46</v>
      </c>
      <c r="L27" s="14">
        <f t="shared" si="2"/>
        <v>9.1447234519151002E-2</v>
      </c>
      <c r="M27" s="14">
        <f t="shared" si="3"/>
        <v>113</v>
      </c>
      <c r="N27" s="14">
        <f t="shared" si="4"/>
        <v>0</v>
      </c>
      <c r="O27" s="19">
        <f t="shared" si="5"/>
        <v>0</v>
      </c>
    </row>
    <row r="28" spans="1:15">
      <c r="A28" s="14" t="s">
        <v>68</v>
      </c>
      <c r="B28" s="14">
        <v>7400</v>
      </c>
      <c r="C28" s="16">
        <v>0.29275030950000003</v>
      </c>
      <c r="D28" s="17">
        <v>0.20200000000000001</v>
      </c>
      <c r="E28" s="17">
        <v>46.66</v>
      </c>
      <c r="F28" s="17">
        <v>1.38</v>
      </c>
      <c r="G28" s="17">
        <v>0.109</v>
      </c>
      <c r="H28" s="14">
        <v>1</v>
      </c>
      <c r="I28" s="17">
        <f t="shared" si="14"/>
        <v>1.38</v>
      </c>
      <c r="J28" s="17">
        <f t="shared" si="15"/>
        <v>0.109</v>
      </c>
      <c r="K28" s="14">
        <v>4404</v>
      </c>
      <c r="L28" s="14">
        <f t="shared" si="2"/>
        <v>0.22993877892804501</v>
      </c>
      <c r="M28" s="14">
        <f t="shared" si="3"/>
        <v>284</v>
      </c>
      <c r="N28" s="14">
        <f t="shared" si="4"/>
        <v>1</v>
      </c>
      <c r="O28" s="19">
        <f t="shared" si="5"/>
        <v>0.1</v>
      </c>
    </row>
    <row r="29" spans="1:15">
      <c r="A29" s="14" t="s">
        <v>68</v>
      </c>
      <c r="B29" s="14">
        <v>7400</v>
      </c>
      <c r="C29" s="16">
        <v>1.6330681229999999</v>
      </c>
      <c r="D29" s="17">
        <v>0.191</v>
      </c>
      <c r="E29" s="17">
        <v>46.66</v>
      </c>
      <c r="F29" s="17">
        <v>1.38</v>
      </c>
      <c r="G29" s="17">
        <v>0.109</v>
      </c>
      <c r="H29" s="14">
        <v>1</v>
      </c>
      <c r="I29" s="17">
        <f t="shared" si="14"/>
        <v>1.38</v>
      </c>
      <c r="J29" s="17">
        <f t="shared" si="15"/>
        <v>0.109</v>
      </c>
      <c r="K29" s="14">
        <v>789</v>
      </c>
      <c r="L29" s="14">
        <f t="shared" si="2"/>
        <v>1.212833424688615</v>
      </c>
      <c r="M29" s="14">
        <f t="shared" si="3"/>
        <v>1496</v>
      </c>
      <c r="N29" s="14">
        <f t="shared" si="4"/>
        <v>5</v>
      </c>
      <c r="O29" s="19">
        <f t="shared" si="5"/>
        <v>0.4</v>
      </c>
    </row>
    <row r="30" spans="1:15">
      <c r="A30" s="14" t="s">
        <v>68</v>
      </c>
      <c r="B30" s="14">
        <v>7400</v>
      </c>
      <c r="C30" s="16">
        <v>0.11313098069999999</v>
      </c>
      <c r="D30" s="17">
        <v>0.20200000000000001</v>
      </c>
      <c r="E30" s="17">
        <v>46.66</v>
      </c>
      <c r="F30" s="17">
        <v>1.38</v>
      </c>
      <c r="G30" s="17">
        <v>0.109</v>
      </c>
      <c r="H30" s="14">
        <v>1</v>
      </c>
      <c r="I30" s="17">
        <f t="shared" si="14"/>
        <v>1.38</v>
      </c>
      <c r="J30" s="17">
        <f t="shared" si="15"/>
        <v>0.109</v>
      </c>
      <c r="K30" s="14">
        <v>94</v>
      </c>
      <c r="L30" s="14">
        <f t="shared" si="2"/>
        <v>8.885797458427698E-2</v>
      </c>
      <c r="M30" s="14">
        <f t="shared" si="3"/>
        <v>110</v>
      </c>
      <c r="N30" s="14">
        <f t="shared" si="4"/>
        <v>0</v>
      </c>
      <c r="O30" s="19">
        <f t="shared" si="5"/>
        <v>0</v>
      </c>
    </row>
    <row r="31" spans="1:15">
      <c r="C31" s="16">
        <f>SUM(C2:C30)</f>
        <v>216.21714410609994</v>
      </c>
      <c r="L31" s="14">
        <f>SUM(L2:L30)</f>
        <v>323.92941195597831</v>
      </c>
      <c r="N31" s="14">
        <f>SUM(N2:N30)</f>
        <v>1918</v>
      </c>
      <c r="O31" s="19">
        <f>SUM(O2:O30)</f>
        <v>279.30000000000007</v>
      </c>
    </row>
  </sheetData>
  <pageMargins left="0.7" right="0.7" top="0.75" bottom="0.75" header="0.3" footer="0.3"/>
  <pageSetup scale="73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N31"/>
  <sheetViews>
    <sheetView zoomScaleNormal="100" workbookViewId="0">
      <selection activeCell="N2" sqref="N2"/>
    </sheetView>
  </sheetViews>
  <sheetFormatPr defaultRowHeight="15"/>
  <cols>
    <col min="1" max="1" width="14.28515625" style="14" bestFit="1" customWidth="1"/>
    <col min="2" max="2" width="8" style="14" bestFit="1" customWidth="1"/>
    <col min="3" max="3" width="17.28515625" style="16" bestFit="1" customWidth="1"/>
    <col min="4" max="4" width="6.85546875" style="15" bestFit="1" customWidth="1"/>
    <col min="5" max="5" width="13.7109375" style="15" bestFit="1" customWidth="1"/>
    <col min="6" max="6" width="9.42578125" style="15" bestFit="1" customWidth="1"/>
    <col min="7" max="7" width="9.140625" style="15" bestFit="1" customWidth="1"/>
    <col min="8" max="8" width="11.28515625" style="14" bestFit="1" customWidth="1"/>
    <col min="9" max="10" width="9" style="15" customWidth="1"/>
    <col min="11" max="11" width="12.42578125" style="14" bestFit="1" customWidth="1"/>
    <col min="12" max="12" width="14.7109375" customWidth="1"/>
    <col min="13" max="13" width="8.140625" bestFit="1" customWidth="1"/>
    <col min="14" max="14" width="7.85546875" bestFit="1" customWidth="1"/>
  </cols>
  <sheetData>
    <row r="1" spans="1:14" ht="30">
      <c r="A1" s="14" t="s">
        <v>54</v>
      </c>
      <c r="B1" s="14" t="s">
        <v>46</v>
      </c>
      <c r="C1" s="16" t="s">
        <v>53</v>
      </c>
      <c r="D1" s="15" t="s">
        <v>47</v>
      </c>
      <c r="E1" s="15" t="s">
        <v>52</v>
      </c>
      <c r="F1" s="15" t="s">
        <v>48</v>
      </c>
      <c r="G1" s="15" t="s">
        <v>49</v>
      </c>
      <c r="H1" s="14" t="s">
        <v>51</v>
      </c>
      <c r="I1" s="15" t="s">
        <v>55</v>
      </c>
      <c r="J1" s="15" t="s">
        <v>56</v>
      </c>
      <c r="K1" s="14" t="s">
        <v>50</v>
      </c>
      <c r="L1" s="18" t="s">
        <v>57</v>
      </c>
      <c r="M1" s="18" t="s">
        <v>58</v>
      </c>
      <c r="N1" s="18" t="s">
        <v>59</v>
      </c>
    </row>
    <row r="2" spans="1:14">
      <c r="A2" s="14" t="s">
        <v>68</v>
      </c>
      <c r="B2" s="14">
        <v>1200</v>
      </c>
      <c r="C2" s="16">
        <v>188.32037927799999</v>
      </c>
      <c r="D2" s="17">
        <v>0.38900000000000001</v>
      </c>
      <c r="E2" s="17">
        <v>46.66</v>
      </c>
      <c r="F2" s="17">
        <v>2.23</v>
      </c>
      <c r="G2" s="17">
        <v>0.316</v>
      </c>
      <c r="H2" s="14">
        <v>1</v>
      </c>
      <c r="I2" s="17">
        <f>F2</f>
        <v>2.23</v>
      </c>
      <c r="J2" s="17">
        <f>G2</f>
        <v>0.316</v>
      </c>
      <c r="K2" s="14">
        <v>447612</v>
      </c>
      <c r="L2" s="14">
        <f>ROUND(E2*D2*C2*102.79,0)</f>
        <v>351352</v>
      </c>
      <c r="M2" s="14">
        <f>ROUND(I2*L2*0.002205,0)</f>
        <v>1728</v>
      </c>
      <c r="N2" s="19">
        <f>ROUND(J2*L2*0.002205,1)</f>
        <v>244.8</v>
      </c>
    </row>
    <row r="3" spans="1:14">
      <c r="A3" s="14" t="s">
        <v>68</v>
      </c>
      <c r="B3" s="14">
        <v>1200</v>
      </c>
      <c r="C3" s="16">
        <v>0.34013050239999998</v>
      </c>
      <c r="D3" s="17">
        <v>0.22</v>
      </c>
      <c r="E3" s="17">
        <v>46.66</v>
      </c>
      <c r="F3" s="17">
        <v>2.23</v>
      </c>
      <c r="G3" s="17">
        <v>0.316</v>
      </c>
      <c r="H3" s="14">
        <v>1</v>
      </c>
      <c r="I3" s="17">
        <f t="shared" ref="I3:J6" si="0">F3</f>
        <v>2.23</v>
      </c>
      <c r="J3" s="17">
        <f t="shared" si="0"/>
        <v>0.316</v>
      </c>
      <c r="K3" s="14">
        <v>314</v>
      </c>
      <c r="L3" s="14">
        <f t="shared" ref="L3:L30" si="1">ROUND(E3*D3*C3*102.79,0)</f>
        <v>359</v>
      </c>
      <c r="M3" s="14">
        <f t="shared" ref="M3:M30" si="2">ROUND(I3*L3*0.002205,0)</f>
        <v>2</v>
      </c>
      <c r="N3" s="19">
        <f t="shared" ref="N3:N30" si="3">ROUND(J3*L3*0.002205,1)</f>
        <v>0.3</v>
      </c>
    </row>
    <row r="4" spans="1:14">
      <c r="A4" s="14" t="s">
        <v>68</v>
      </c>
      <c r="B4" s="14">
        <v>1200</v>
      </c>
      <c r="C4" s="16">
        <v>8.0727850705000002</v>
      </c>
      <c r="D4" s="17">
        <v>0.22</v>
      </c>
      <c r="E4" s="17">
        <v>46.66</v>
      </c>
      <c r="F4" s="17">
        <v>2.23</v>
      </c>
      <c r="G4" s="17">
        <v>0.316</v>
      </c>
      <c r="H4" s="14">
        <v>1</v>
      </c>
      <c r="I4" s="17">
        <f t="shared" si="0"/>
        <v>2.23</v>
      </c>
      <c r="J4" s="17">
        <f t="shared" si="0"/>
        <v>0.316</v>
      </c>
      <c r="K4" s="14">
        <v>10613</v>
      </c>
      <c r="L4" s="14">
        <f t="shared" si="1"/>
        <v>8518</v>
      </c>
      <c r="M4" s="14">
        <f t="shared" si="2"/>
        <v>42</v>
      </c>
      <c r="N4" s="19">
        <f t="shared" si="3"/>
        <v>5.9</v>
      </c>
    </row>
    <row r="5" spans="1:14">
      <c r="A5" s="14" t="s">
        <v>68</v>
      </c>
      <c r="B5" s="14">
        <v>1300</v>
      </c>
      <c r="C5" s="16">
        <v>0.19161952409999999</v>
      </c>
      <c r="D5" s="17">
        <v>0.69199999999999995</v>
      </c>
      <c r="E5" s="17">
        <v>46.66</v>
      </c>
      <c r="F5" s="17">
        <v>2.1</v>
      </c>
      <c r="G5" s="17">
        <v>0.51600000000000001</v>
      </c>
      <c r="H5" s="14">
        <v>1</v>
      </c>
      <c r="I5" s="17">
        <f t="shared" si="0"/>
        <v>2.1</v>
      </c>
      <c r="J5" s="17">
        <f t="shared" si="0"/>
        <v>0.51600000000000001</v>
      </c>
      <c r="K5" s="14">
        <v>5174</v>
      </c>
      <c r="L5" s="14">
        <f t="shared" si="1"/>
        <v>636</v>
      </c>
      <c r="M5" s="14">
        <f t="shared" si="2"/>
        <v>3</v>
      </c>
      <c r="N5" s="19">
        <f t="shared" si="3"/>
        <v>0.7</v>
      </c>
    </row>
    <row r="6" spans="1:14">
      <c r="A6" s="14" t="s">
        <v>68</v>
      </c>
      <c r="B6" s="14">
        <v>1400</v>
      </c>
      <c r="C6" s="16">
        <v>4.2919436300000002E-2</v>
      </c>
      <c r="D6" s="17">
        <v>0.88800000000000001</v>
      </c>
      <c r="E6" s="17">
        <v>46.66</v>
      </c>
      <c r="F6" s="17">
        <v>1.93</v>
      </c>
      <c r="G6" s="17">
        <v>0.497</v>
      </c>
      <c r="H6" s="14">
        <v>1</v>
      </c>
      <c r="I6" s="17">
        <f t="shared" si="0"/>
        <v>1.93</v>
      </c>
      <c r="J6" s="17">
        <f t="shared" si="0"/>
        <v>0.497</v>
      </c>
      <c r="K6" s="14">
        <v>1503</v>
      </c>
      <c r="L6" s="14">
        <f t="shared" si="1"/>
        <v>183</v>
      </c>
      <c r="M6" s="14">
        <f t="shared" si="2"/>
        <v>1</v>
      </c>
      <c r="N6" s="19">
        <f t="shared" si="3"/>
        <v>0.2</v>
      </c>
    </row>
    <row r="7" spans="1:14">
      <c r="A7" s="14" t="s">
        <v>68</v>
      </c>
      <c r="B7" s="14">
        <v>1400</v>
      </c>
      <c r="C7" s="16">
        <v>1.99129935E-2</v>
      </c>
      <c r="D7" s="17">
        <v>0.88800000000000001</v>
      </c>
      <c r="E7" s="17">
        <v>46.66</v>
      </c>
      <c r="F7" s="17">
        <v>1.93</v>
      </c>
      <c r="G7" s="17">
        <v>0.497</v>
      </c>
      <c r="H7" s="14">
        <v>0</v>
      </c>
      <c r="I7" s="17">
        <f>0.7*F7</f>
        <v>1.351</v>
      </c>
      <c r="J7" s="17">
        <f>0.5*G7</f>
        <v>0.2485</v>
      </c>
      <c r="K7" s="14">
        <v>2274</v>
      </c>
      <c r="L7" s="14">
        <f t="shared" si="1"/>
        <v>85</v>
      </c>
      <c r="M7" s="14">
        <f t="shared" si="2"/>
        <v>0</v>
      </c>
      <c r="N7" s="19">
        <f t="shared" si="3"/>
        <v>0</v>
      </c>
    </row>
    <row r="8" spans="1:14">
      <c r="A8" s="14" t="s">
        <v>68</v>
      </c>
      <c r="B8" s="14">
        <v>1400</v>
      </c>
      <c r="C8" s="16">
        <v>4.4385565570000001</v>
      </c>
      <c r="D8" s="17">
        <v>0.88800000000000001</v>
      </c>
      <c r="E8" s="17">
        <v>46.66</v>
      </c>
      <c r="F8" s="17">
        <v>1.93</v>
      </c>
      <c r="G8" s="17">
        <v>0.497</v>
      </c>
      <c r="H8" s="14">
        <v>1</v>
      </c>
      <c r="I8" s="17">
        <f t="shared" ref="I8:J12" si="4">F8</f>
        <v>1.93</v>
      </c>
      <c r="J8" s="17">
        <f t="shared" si="4"/>
        <v>0.497</v>
      </c>
      <c r="K8" s="14">
        <v>10169</v>
      </c>
      <c r="L8" s="14">
        <f t="shared" si="1"/>
        <v>18904</v>
      </c>
      <c r="M8" s="14">
        <f t="shared" si="2"/>
        <v>80</v>
      </c>
      <c r="N8" s="19">
        <f t="shared" si="3"/>
        <v>20.7</v>
      </c>
    </row>
    <row r="9" spans="1:14">
      <c r="A9" s="14" t="s">
        <v>68</v>
      </c>
      <c r="B9" s="14">
        <v>1200</v>
      </c>
      <c r="C9" s="16">
        <v>2.7063194066</v>
      </c>
      <c r="D9" s="17">
        <v>0.22</v>
      </c>
      <c r="E9" s="17">
        <v>46.66</v>
      </c>
      <c r="F9" s="17">
        <v>2.23</v>
      </c>
      <c r="G9" s="17">
        <v>0.316</v>
      </c>
      <c r="H9" s="14">
        <v>1</v>
      </c>
      <c r="I9" s="17">
        <f t="shared" si="4"/>
        <v>2.23</v>
      </c>
      <c r="J9" s="17">
        <f t="shared" si="4"/>
        <v>0.316</v>
      </c>
      <c r="K9" s="14">
        <v>21084</v>
      </c>
      <c r="L9" s="14">
        <f t="shared" si="1"/>
        <v>2856</v>
      </c>
      <c r="M9" s="14">
        <f t="shared" si="2"/>
        <v>14</v>
      </c>
      <c r="N9" s="19">
        <f t="shared" si="3"/>
        <v>2</v>
      </c>
    </row>
    <row r="10" spans="1:14">
      <c r="A10" s="14" t="s">
        <v>68</v>
      </c>
      <c r="B10" s="14">
        <v>1400</v>
      </c>
      <c r="C10" s="16">
        <v>2.0038044999999998E-3</v>
      </c>
      <c r="D10" s="17">
        <v>0.88600000000000001</v>
      </c>
      <c r="E10" s="17">
        <v>46.66</v>
      </c>
      <c r="F10" s="17">
        <v>1.93</v>
      </c>
      <c r="G10" s="17">
        <v>0.497</v>
      </c>
      <c r="H10" s="14">
        <v>1</v>
      </c>
      <c r="I10" s="17">
        <f t="shared" si="4"/>
        <v>1.93</v>
      </c>
      <c r="J10" s="17">
        <f t="shared" si="4"/>
        <v>0.497</v>
      </c>
      <c r="K10" s="14">
        <v>3</v>
      </c>
      <c r="L10" s="14">
        <f t="shared" si="1"/>
        <v>9</v>
      </c>
      <c r="M10" s="14">
        <f t="shared" si="2"/>
        <v>0</v>
      </c>
      <c r="N10" s="19">
        <f t="shared" si="3"/>
        <v>0</v>
      </c>
    </row>
    <row r="11" spans="1:14">
      <c r="A11" s="14" t="s">
        <v>68</v>
      </c>
      <c r="B11" s="14">
        <v>3100</v>
      </c>
      <c r="C11" s="16">
        <v>2.1821434999999998E-3</v>
      </c>
      <c r="D11" s="17">
        <v>0.1</v>
      </c>
      <c r="E11" s="17">
        <v>46.66</v>
      </c>
      <c r="F11" s="17">
        <v>1.2</v>
      </c>
      <c r="G11" s="17">
        <v>6.4000000000000001E-2</v>
      </c>
      <c r="H11" s="14">
        <v>1</v>
      </c>
      <c r="I11" s="17">
        <f t="shared" si="4"/>
        <v>1.2</v>
      </c>
      <c r="J11" s="17">
        <f t="shared" si="4"/>
        <v>6.4000000000000001E-2</v>
      </c>
      <c r="K11" s="14">
        <v>0</v>
      </c>
      <c r="L11" s="14">
        <f t="shared" si="1"/>
        <v>1</v>
      </c>
      <c r="M11" s="14">
        <f t="shared" si="2"/>
        <v>0</v>
      </c>
      <c r="N11" s="19">
        <f t="shared" si="3"/>
        <v>0</v>
      </c>
    </row>
    <row r="12" spans="1:14">
      <c r="A12" s="14" t="s">
        <v>68</v>
      </c>
      <c r="B12" s="14">
        <v>3100</v>
      </c>
      <c r="C12" s="16">
        <v>0.15958650220000001</v>
      </c>
      <c r="D12" s="17">
        <v>0.3</v>
      </c>
      <c r="E12" s="17">
        <v>46.66</v>
      </c>
      <c r="F12" s="17">
        <v>1.2</v>
      </c>
      <c r="G12" s="17">
        <v>6.4000000000000001E-2</v>
      </c>
      <c r="H12" s="14">
        <v>1</v>
      </c>
      <c r="I12" s="17">
        <f t="shared" si="4"/>
        <v>1.2</v>
      </c>
      <c r="J12" s="17">
        <f t="shared" si="4"/>
        <v>6.4000000000000001E-2</v>
      </c>
      <c r="K12" s="14">
        <v>310</v>
      </c>
      <c r="L12" s="14">
        <f t="shared" si="1"/>
        <v>230</v>
      </c>
      <c r="M12" s="14">
        <f t="shared" si="2"/>
        <v>1</v>
      </c>
      <c r="N12" s="19">
        <f t="shared" si="3"/>
        <v>0</v>
      </c>
    </row>
    <row r="13" spans="1:14">
      <c r="A13" s="14" t="s">
        <v>68</v>
      </c>
      <c r="B13" s="14">
        <v>1200</v>
      </c>
      <c r="C13" s="16">
        <v>3.49313417E-2</v>
      </c>
      <c r="D13" s="17">
        <v>0.22</v>
      </c>
      <c r="E13" s="17">
        <v>46.66</v>
      </c>
      <c r="F13" s="17">
        <v>2.23</v>
      </c>
      <c r="G13" s="17">
        <v>0.316</v>
      </c>
      <c r="H13" s="14">
        <v>0</v>
      </c>
      <c r="I13" s="17">
        <f>0.7*F13</f>
        <v>1.5609999999999999</v>
      </c>
      <c r="J13" s="17">
        <f>0.5*G13</f>
        <v>0.158</v>
      </c>
      <c r="K13" s="14">
        <v>178</v>
      </c>
      <c r="L13" s="14">
        <f t="shared" si="1"/>
        <v>37</v>
      </c>
      <c r="M13" s="14">
        <f t="shared" si="2"/>
        <v>0</v>
      </c>
      <c r="N13" s="19">
        <f t="shared" si="3"/>
        <v>0</v>
      </c>
    </row>
    <row r="14" spans="1:14">
      <c r="A14" s="14" t="s">
        <v>68</v>
      </c>
      <c r="B14" s="14">
        <v>3100</v>
      </c>
      <c r="C14" s="16">
        <v>3.1983632000000001E-3</v>
      </c>
      <c r="D14" s="17">
        <v>0.1</v>
      </c>
      <c r="E14" s="17">
        <v>46.66</v>
      </c>
      <c r="F14" s="17">
        <v>1.2</v>
      </c>
      <c r="G14" s="17">
        <v>6.4000000000000001E-2</v>
      </c>
      <c r="H14" s="14">
        <v>1</v>
      </c>
      <c r="I14" s="17">
        <f t="shared" ref="I14:J16" si="5">F14</f>
        <v>1.2</v>
      </c>
      <c r="J14" s="17">
        <f t="shared" si="5"/>
        <v>6.4000000000000001E-2</v>
      </c>
      <c r="K14" s="14">
        <v>24</v>
      </c>
      <c r="L14" s="14">
        <f t="shared" si="1"/>
        <v>2</v>
      </c>
      <c r="M14" s="14">
        <f t="shared" si="2"/>
        <v>0</v>
      </c>
      <c r="N14" s="19">
        <f t="shared" si="3"/>
        <v>0</v>
      </c>
    </row>
    <row r="15" spans="1:14">
      <c r="A15" s="14" t="s">
        <v>68</v>
      </c>
      <c r="B15" s="14">
        <v>3100</v>
      </c>
      <c r="C15" s="16">
        <v>1.7912422300000001E-2</v>
      </c>
      <c r="D15" s="17">
        <v>0.3</v>
      </c>
      <c r="E15" s="17">
        <v>46.66</v>
      </c>
      <c r="F15" s="17">
        <v>1.2</v>
      </c>
      <c r="G15" s="17">
        <v>6.4000000000000001E-2</v>
      </c>
      <c r="H15" s="14">
        <v>1</v>
      </c>
      <c r="I15" s="17">
        <f t="shared" si="5"/>
        <v>1.2</v>
      </c>
      <c r="J15" s="17">
        <f t="shared" si="5"/>
        <v>6.4000000000000001E-2</v>
      </c>
      <c r="K15" s="14">
        <v>27</v>
      </c>
      <c r="L15" s="14">
        <f t="shared" si="1"/>
        <v>26</v>
      </c>
      <c r="M15" s="14">
        <f t="shared" si="2"/>
        <v>0</v>
      </c>
      <c r="N15" s="19">
        <f t="shared" si="3"/>
        <v>0</v>
      </c>
    </row>
    <row r="16" spans="1:14">
      <c r="A16" s="14" t="s">
        <v>68</v>
      </c>
      <c r="B16" s="14">
        <v>3100</v>
      </c>
      <c r="C16" s="16">
        <v>7.1681527499999995E-2</v>
      </c>
      <c r="D16" s="17">
        <v>0.3</v>
      </c>
      <c r="E16" s="17">
        <v>46.66</v>
      </c>
      <c r="F16" s="17">
        <v>1.2</v>
      </c>
      <c r="G16" s="17">
        <v>6.4000000000000001E-2</v>
      </c>
      <c r="H16" s="14">
        <v>1</v>
      </c>
      <c r="I16" s="17">
        <f t="shared" si="5"/>
        <v>1.2</v>
      </c>
      <c r="J16" s="17">
        <f t="shared" si="5"/>
        <v>6.4000000000000001E-2</v>
      </c>
      <c r="K16" s="14">
        <v>88</v>
      </c>
      <c r="L16" s="14">
        <f t="shared" si="1"/>
        <v>103</v>
      </c>
      <c r="M16" s="14">
        <f t="shared" si="2"/>
        <v>0</v>
      </c>
      <c r="N16" s="19">
        <f t="shared" si="3"/>
        <v>0</v>
      </c>
    </row>
    <row r="17" spans="1:14">
      <c r="A17" s="14" t="s">
        <v>68</v>
      </c>
      <c r="B17" s="14">
        <v>1400</v>
      </c>
      <c r="C17" s="16">
        <v>4.6750685E-2</v>
      </c>
      <c r="D17" s="17">
        <v>0.88800000000000001</v>
      </c>
      <c r="E17" s="17">
        <v>46.66</v>
      </c>
      <c r="F17" s="17">
        <v>1.93</v>
      </c>
      <c r="G17" s="17">
        <v>0.497</v>
      </c>
      <c r="H17" s="14">
        <v>0</v>
      </c>
      <c r="I17" s="17">
        <f>0.7*F17</f>
        <v>1.351</v>
      </c>
      <c r="J17" s="17">
        <f>0.5*G17</f>
        <v>0.2485</v>
      </c>
      <c r="K17" s="14">
        <v>112</v>
      </c>
      <c r="L17" s="14">
        <f t="shared" si="1"/>
        <v>199</v>
      </c>
      <c r="M17" s="14">
        <f t="shared" si="2"/>
        <v>1</v>
      </c>
      <c r="N17" s="19">
        <f t="shared" si="3"/>
        <v>0.1</v>
      </c>
    </row>
    <row r="18" spans="1:14">
      <c r="A18" s="14" t="s">
        <v>68</v>
      </c>
      <c r="B18" s="14">
        <v>1400</v>
      </c>
      <c r="C18" s="16">
        <v>0.18688208589999999</v>
      </c>
      <c r="D18" s="17">
        <v>0.88800000000000001</v>
      </c>
      <c r="E18" s="17">
        <v>46.66</v>
      </c>
      <c r="F18" s="17">
        <v>1.93</v>
      </c>
      <c r="G18" s="17">
        <v>0.497</v>
      </c>
      <c r="H18" s="14">
        <v>1</v>
      </c>
      <c r="I18" s="17">
        <f t="shared" ref="I18:J20" si="6">F18</f>
        <v>1.93</v>
      </c>
      <c r="J18" s="17">
        <f t="shared" si="6"/>
        <v>0.497</v>
      </c>
      <c r="K18" s="14">
        <v>16467</v>
      </c>
      <c r="L18" s="14">
        <f t="shared" si="1"/>
        <v>796</v>
      </c>
      <c r="M18" s="14">
        <f t="shared" si="2"/>
        <v>3</v>
      </c>
      <c r="N18" s="19">
        <f t="shared" si="3"/>
        <v>0.9</v>
      </c>
    </row>
    <row r="19" spans="1:14">
      <c r="A19" s="14" t="s">
        <v>68</v>
      </c>
      <c r="B19" s="14">
        <v>3300</v>
      </c>
      <c r="C19" s="16">
        <v>0.96929374989999995</v>
      </c>
      <c r="D19" s="17">
        <v>0.28699999999999998</v>
      </c>
      <c r="E19" s="17">
        <v>46.66</v>
      </c>
      <c r="F19" s="17">
        <v>1.2</v>
      </c>
      <c r="G19" s="17">
        <v>6.4000000000000001E-2</v>
      </c>
      <c r="H19" s="14">
        <v>1</v>
      </c>
      <c r="I19" s="17">
        <f t="shared" si="6"/>
        <v>1.2</v>
      </c>
      <c r="J19" s="17">
        <f t="shared" si="6"/>
        <v>6.4000000000000001E-2</v>
      </c>
      <c r="K19" s="14">
        <v>470</v>
      </c>
      <c r="L19" s="14">
        <f t="shared" si="1"/>
        <v>1334</v>
      </c>
      <c r="M19" s="14">
        <f t="shared" si="2"/>
        <v>4</v>
      </c>
      <c r="N19" s="19">
        <f t="shared" si="3"/>
        <v>0.2</v>
      </c>
    </row>
    <row r="20" spans="1:14">
      <c r="A20" s="14" t="s">
        <v>68</v>
      </c>
      <c r="B20" s="14">
        <v>3300</v>
      </c>
      <c r="C20" s="16">
        <v>3.3462440918</v>
      </c>
      <c r="D20" s="17">
        <v>0.28699999999999998</v>
      </c>
      <c r="E20" s="17">
        <v>46.66</v>
      </c>
      <c r="F20" s="17">
        <v>1.2</v>
      </c>
      <c r="G20" s="17">
        <v>6.4000000000000001E-2</v>
      </c>
      <c r="H20" s="14">
        <v>1</v>
      </c>
      <c r="I20" s="17">
        <f t="shared" si="6"/>
        <v>1.2</v>
      </c>
      <c r="J20" s="17">
        <f t="shared" si="6"/>
        <v>6.4000000000000001E-2</v>
      </c>
      <c r="K20" s="14">
        <v>2397</v>
      </c>
      <c r="L20" s="14">
        <f t="shared" si="1"/>
        <v>4606</v>
      </c>
      <c r="M20" s="14">
        <f t="shared" si="2"/>
        <v>12</v>
      </c>
      <c r="N20" s="19">
        <f t="shared" si="3"/>
        <v>0.6</v>
      </c>
    </row>
    <row r="21" spans="1:14">
      <c r="A21" s="14" t="s">
        <v>68</v>
      </c>
      <c r="B21" s="14">
        <v>1200</v>
      </c>
      <c r="C21" s="16">
        <v>1.42118138E-2</v>
      </c>
      <c r="D21" s="17">
        <v>0.38900000000000001</v>
      </c>
      <c r="E21" s="17">
        <v>46.66</v>
      </c>
      <c r="F21" s="17">
        <v>2.23</v>
      </c>
      <c r="G21" s="17">
        <v>0.316</v>
      </c>
      <c r="H21" s="14">
        <v>0</v>
      </c>
      <c r="I21" s="17">
        <f>0.7*F21</f>
        <v>1.5609999999999999</v>
      </c>
      <c r="J21" s="17">
        <f>0.5*G21</f>
        <v>0.158</v>
      </c>
      <c r="K21" s="14">
        <v>131</v>
      </c>
      <c r="L21" s="14">
        <f t="shared" si="1"/>
        <v>27</v>
      </c>
      <c r="M21" s="14">
        <f t="shared" si="2"/>
        <v>0</v>
      </c>
      <c r="N21" s="19">
        <f t="shared" si="3"/>
        <v>0</v>
      </c>
    </row>
    <row r="22" spans="1:14">
      <c r="A22" s="14" t="s">
        <v>68</v>
      </c>
      <c r="B22" s="14">
        <v>3300</v>
      </c>
      <c r="C22" s="16">
        <v>2.8392467420999998</v>
      </c>
      <c r="D22" s="17">
        <v>0.28699999999999998</v>
      </c>
      <c r="E22" s="17">
        <v>46.66</v>
      </c>
      <c r="F22" s="17">
        <v>1.2</v>
      </c>
      <c r="G22" s="17">
        <v>6.4000000000000001E-2</v>
      </c>
      <c r="H22" s="14">
        <v>1</v>
      </c>
      <c r="I22" s="17">
        <f t="shared" ref="I22:J25" si="7">F22</f>
        <v>1.2</v>
      </c>
      <c r="J22" s="17">
        <f t="shared" si="7"/>
        <v>6.4000000000000001E-2</v>
      </c>
      <c r="K22" s="14">
        <v>1889</v>
      </c>
      <c r="L22" s="14">
        <f t="shared" si="1"/>
        <v>3908</v>
      </c>
      <c r="M22" s="14">
        <f t="shared" si="2"/>
        <v>10</v>
      </c>
      <c r="N22" s="19">
        <f t="shared" si="3"/>
        <v>0.6</v>
      </c>
    </row>
    <row r="23" spans="1:14">
      <c r="A23" s="14" t="s">
        <v>68</v>
      </c>
      <c r="B23" s="14">
        <v>1700</v>
      </c>
      <c r="C23" s="16">
        <v>0.287864815</v>
      </c>
      <c r="D23" s="17">
        <v>0.78600000000000003</v>
      </c>
      <c r="E23" s="17">
        <v>46.66</v>
      </c>
      <c r="F23" s="17">
        <v>1.8</v>
      </c>
      <c r="G23" s="17">
        <v>0.47799999999999998</v>
      </c>
      <c r="H23" s="14">
        <v>1</v>
      </c>
      <c r="I23" s="17">
        <f t="shared" si="7"/>
        <v>1.8</v>
      </c>
      <c r="J23" s="17">
        <f t="shared" si="7"/>
        <v>0.47799999999999998</v>
      </c>
      <c r="K23" s="14">
        <v>4457</v>
      </c>
      <c r="L23" s="14">
        <f t="shared" si="1"/>
        <v>1085</v>
      </c>
      <c r="M23" s="14">
        <f t="shared" si="2"/>
        <v>4</v>
      </c>
      <c r="N23" s="19">
        <f t="shared" si="3"/>
        <v>1.1000000000000001</v>
      </c>
    </row>
    <row r="24" spans="1:14">
      <c r="A24" s="14" t="s">
        <v>68</v>
      </c>
      <c r="B24" s="14">
        <v>7400</v>
      </c>
      <c r="C24" s="16">
        <v>1.6904756616000001</v>
      </c>
      <c r="D24" s="17">
        <v>0.20200000000000001</v>
      </c>
      <c r="E24" s="17">
        <v>46.66</v>
      </c>
      <c r="F24" s="17">
        <v>1.38</v>
      </c>
      <c r="G24" s="17">
        <v>0.109</v>
      </c>
      <c r="H24" s="14">
        <v>1</v>
      </c>
      <c r="I24" s="17">
        <f t="shared" si="7"/>
        <v>1.38</v>
      </c>
      <c r="J24" s="17">
        <f t="shared" si="7"/>
        <v>0.109</v>
      </c>
      <c r="K24" s="14">
        <v>677</v>
      </c>
      <c r="L24" s="14">
        <f t="shared" si="1"/>
        <v>1638</v>
      </c>
      <c r="M24" s="14">
        <f t="shared" si="2"/>
        <v>5</v>
      </c>
      <c r="N24" s="19">
        <f t="shared" si="3"/>
        <v>0.4</v>
      </c>
    </row>
    <row r="25" spans="1:14">
      <c r="A25" s="14" t="s">
        <v>68</v>
      </c>
      <c r="B25" s="14">
        <v>7400</v>
      </c>
      <c r="C25" s="16">
        <v>9.8402297799999996E-2</v>
      </c>
      <c r="D25" s="17">
        <v>0.20200000000000001</v>
      </c>
      <c r="E25" s="17">
        <v>46.66</v>
      </c>
      <c r="F25" s="17">
        <v>1.38</v>
      </c>
      <c r="G25" s="17">
        <v>0.109</v>
      </c>
      <c r="H25" s="14">
        <v>1</v>
      </c>
      <c r="I25" s="17">
        <f t="shared" si="7"/>
        <v>1.38</v>
      </c>
      <c r="J25" s="17">
        <f t="shared" si="7"/>
        <v>0.109</v>
      </c>
      <c r="K25" s="14">
        <v>33</v>
      </c>
      <c r="L25" s="14">
        <f t="shared" si="1"/>
        <v>95</v>
      </c>
      <c r="M25" s="14">
        <f t="shared" si="2"/>
        <v>0</v>
      </c>
      <c r="N25" s="19">
        <f t="shared" si="3"/>
        <v>0</v>
      </c>
    </row>
    <row r="26" spans="1:14">
      <c r="A26" s="14" t="s">
        <v>68</v>
      </c>
      <c r="B26" s="14">
        <v>1700</v>
      </c>
      <c r="C26" s="16">
        <v>0.15157108650000001</v>
      </c>
      <c r="D26" s="17">
        <v>0.78600000000000003</v>
      </c>
      <c r="E26" s="17">
        <v>46.66</v>
      </c>
      <c r="F26" s="17">
        <v>1.8</v>
      </c>
      <c r="G26" s="17">
        <v>0.47799999999999998</v>
      </c>
      <c r="H26" s="14">
        <v>0</v>
      </c>
      <c r="I26" s="17">
        <f>0.7*F26</f>
        <v>1.26</v>
      </c>
      <c r="J26" s="17">
        <f>0.5*G26</f>
        <v>0.23899999999999999</v>
      </c>
      <c r="K26" s="14">
        <v>196</v>
      </c>
      <c r="L26" s="14">
        <f t="shared" si="1"/>
        <v>571</v>
      </c>
      <c r="M26" s="14">
        <f t="shared" si="2"/>
        <v>2</v>
      </c>
      <c r="N26" s="19">
        <f t="shared" si="3"/>
        <v>0.3</v>
      </c>
    </row>
    <row r="27" spans="1:14">
      <c r="A27" s="14" t="s">
        <v>68</v>
      </c>
      <c r="B27" s="14">
        <v>7400</v>
      </c>
      <c r="C27" s="16">
        <v>0.12313279019999999</v>
      </c>
      <c r="D27" s="17">
        <v>0.191</v>
      </c>
      <c r="E27" s="17">
        <v>46.66</v>
      </c>
      <c r="F27" s="17">
        <v>1.38</v>
      </c>
      <c r="G27" s="17">
        <v>0.109</v>
      </c>
      <c r="H27" s="14">
        <v>1</v>
      </c>
      <c r="I27" s="17">
        <f t="shared" ref="I27:J30" si="8">F27</f>
        <v>1.38</v>
      </c>
      <c r="J27" s="17">
        <f t="shared" si="8"/>
        <v>0.109</v>
      </c>
      <c r="K27" s="14">
        <v>46</v>
      </c>
      <c r="L27" s="14">
        <f t="shared" si="1"/>
        <v>113</v>
      </c>
      <c r="M27" s="14">
        <f t="shared" si="2"/>
        <v>0</v>
      </c>
      <c r="N27" s="19">
        <f t="shared" si="3"/>
        <v>0</v>
      </c>
    </row>
    <row r="28" spans="1:14">
      <c r="A28" s="14" t="s">
        <v>68</v>
      </c>
      <c r="B28" s="14">
        <v>7400</v>
      </c>
      <c r="C28" s="16">
        <v>0.29275030950000003</v>
      </c>
      <c r="D28" s="17">
        <v>0.20200000000000001</v>
      </c>
      <c r="E28" s="17">
        <v>46.66</v>
      </c>
      <c r="F28" s="17">
        <v>1.38</v>
      </c>
      <c r="G28" s="17">
        <v>0.109</v>
      </c>
      <c r="H28" s="14">
        <v>1</v>
      </c>
      <c r="I28" s="17">
        <f t="shared" si="8"/>
        <v>1.38</v>
      </c>
      <c r="J28" s="17">
        <f t="shared" si="8"/>
        <v>0.109</v>
      </c>
      <c r="K28" s="14">
        <v>4404</v>
      </c>
      <c r="L28" s="14">
        <f t="shared" si="1"/>
        <v>284</v>
      </c>
      <c r="M28" s="14">
        <f t="shared" si="2"/>
        <v>1</v>
      </c>
      <c r="N28" s="19">
        <f t="shared" si="3"/>
        <v>0.1</v>
      </c>
    </row>
    <row r="29" spans="1:14">
      <c r="A29" s="14" t="s">
        <v>68</v>
      </c>
      <c r="B29" s="14">
        <v>7400</v>
      </c>
      <c r="C29" s="16">
        <v>1.6330681229999999</v>
      </c>
      <c r="D29" s="17">
        <v>0.191</v>
      </c>
      <c r="E29" s="17">
        <v>46.66</v>
      </c>
      <c r="F29" s="17">
        <v>1.38</v>
      </c>
      <c r="G29" s="17">
        <v>0.109</v>
      </c>
      <c r="H29" s="14">
        <v>1</v>
      </c>
      <c r="I29" s="17">
        <f t="shared" si="8"/>
        <v>1.38</v>
      </c>
      <c r="J29" s="17">
        <f t="shared" si="8"/>
        <v>0.109</v>
      </c>
      <c r="K29" s="14">
        <v>789</v>
      </c>
      <c r="L29" s="14">
        <f t="shared" si="1"/>
        <v>1496</v>
      </c>
      <c r="M29" s="14">
        <f t="shared" si="2"/>
        <v>5</v>
      </c>
      <c r="N29" s="19">
        <f t="shared" si="3"/>
        <v>0.4</v>
      </c>
    </row>
    <row r="30" spans="1:14">
      <c r="A30" s="14" t="s">
        <v>68</v>
      </c>
      <c r="B30" s="14">
        <v>7400</v>
      </c>
      <c r="C30" s="16">
        <v>0.11313098069999999</v>
      </c>
      <c r="D30" s="17">
        <v>0.20200000000000001</v>
      </c>
      <c r="E30" s="17">
        <v>46.66</v>
      </c>
      <c r="F30" s="17">
        <v>1.38</v>
      </c>
      <c r="G30" s="17">
        <v>0.109</v>
      </c>
      <c r="H30" s="14">
        <v>1</v>
      </c>
      <c r="I30" s="17">
        <f t="shared" si="8"/>
        <v>1.38</v>
      </c>
      <c r="J30" s="17">
        <f t="shared" si="8"/>
        <v>0.109</v>
      </c>
      <c r="K30" s="14">
        <v>94</v>
      </c>
      <c r="L30" s="14">
        <f t="shared" si="1"/>
        <v>110</v>
      </c>
      <c r="M30" s="14">
        <f t="shared" si="2"/>
        <v>0</v>
      </c>
      <c r="N30" s="19">
        <f t="shared" si="3"/>
        <v>0</v>
      </c>
    </row>
    <row r="31" spans="1:14">
      <c r="C31" s="16">
        <f>SUM(C2:C30)</f>
        <v>216.21714410609994</v>
      </c>
      <c r="M31" s="14">
        <f>SUM(M2:M30)</f>
        <v>1918</v>
      </c>
      <c r="N31" s="19">
        <f>SUM(N2:N30)</f>
        <v>279.30000000000007</v>
      </c>
    </row>
  </sheetData>
  <pageMargins left="0.7" right="0.7" top="0.75" bottom="0.75" header="0.3" footer="0.3"/>
  <pageSetup scale="8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N4"/>
  <sheetViews>
    <sheetView zoomScaleNormal="100" workbookViewId="0">
      <selection activeCell="N2" sqref="N2"/>
    </sheetView>
  </sheetViews>
  <sheetFormatPr defaultRowHeight="15"/>
  <cols>
    <col min="1" max="1" width="14.28515625" style="14" bestFit="1" customWidth="1"/>
    <col min="2" max="2" width="9.7109375" style="14" customWidth="1"/>
    <col min="3" max="3" width="14.7109375" style="14" bestFit="1" customWidth="1"/>
    <col min="4" max="4" width="6.85546875" style="15" bestFit="1" customWidth="1"/>
    <col min="5" max="5" width="13.7109375" style="15" bestFit="1" customWidth="1"/>
    <col min="6" max="6" width="9.42578125" style="15" bestFit="1" customWidth="1"/>
    <col min="7" max="7" width="9.140625" style="14" bestFit="1" customWidth="1"/>
    <col min="8" max="8" width="11.28515625" style="14" bestFit="1" customWidth="1"/>
    <col min="9" max="10" width="9" style="14" customWidth="1"/>
    <col min="11" max="11" width="12.42578125" style="14" bestFit="1" customWidth="1"/>
    <col min="12" max="12" width="14.85546875" style="15" customWidth="1"/>
    <col min="13" max="13" width="10.140625" style="16" customWidth="1"/>
    <col min="14" max="14" width="8.85546875" customWidth="1"/>
  </cols>
  <sheetData>
    <row r="1" spans="1:14" ht="30">
      <c r="A1" s="14" t="s">
        <v>67</v>
      </c>
      <c r="B1" s="14" t="s">
        <v>46</v>
      </c>
      <c r="C1" s="16" t="s">
        <v>53</v>
      </c>
      <c r="D1" s="15" t="s">
        <v>47</v>
      </c>
      <c r="E1" s="15" t="s">
        <v>52</v>
      </c>
      <c r="F1" s="15" t="s">
        <v>48</v>
      </c>
      <c r="G1" s="15" t="s">
        <v>49</v>
      </c>
      <c r="H1" s="14" t="s">
        <v>51</v>
      </c>
      <c r="I1" s="15" t="s">
        <v>55</v>
      </c>
      <c r="J1" s="15" t="s">
        <v>56</v>
      </c>
      <c r="K1" s="14" t="s">
        <v>50</v>
      </c>
      <c r="L1" s="18" t="s">
        <v>57</v>
      </c>
      <c r="M1" s="18" t="s">
        <v>58</v>
      </c>
      <c r="N1" s="18" t="s">
        <v>59</v>
      </c>
    </row>
    <row r="2" spans="1:14">
      <c r="A2" s="14" t="s">
        <v>68</v>
      </c>
      <c r="B2" s="14">
        <v>1200</v>
      </c>
      <c r="C2" s="16">
        <v>3.4672923313999999</v>
      </c>
      <c r="D2" s="17">
        <v>0.38900000000000001</v>
      </c>
      <c r="E2" s="17">
        <v>46.66</v>
      </c>
      <c r="F2" s="17">
        <v>2.23</v>
      </c>
      <c r="G2" s="17">
        <v>0.316</v>
      </c>
      <c r="H2" s="14">
        <v>1</v>
      </c>
      <c r="I2" s="17">
        <f>F2</f>
        <v>2.23</v>
      </c>
      <c r="J2" s="17">
        <f>G2</f>
        <v>0.316</v>
      </c>
      <c r="K2" s="14">
        <v>447612</v>
      </c>
      <c r="L2" s="14">
        <f>ROUND(E2*D2*C2*102.79,0)</f>
        <v>6469</v>
      </c>
      <c r="M2" s="14">
        <f>ROUND(I2*L2*0.002205,0)</f>
        <v>32</v>
      </c>
      <c r="N2" s="19">
        <f>ROUND(J2*L2*0.002205,1)</f>
        <v>4.5</v>
      </c>
    </row>
    <row r="3" spans="1:14">
      <c r="A3" s="14" t="s">
        <v>68</v>
      </c>
      <c r="B3" s="14">
        <v>1200</v>
      </c>
      <c r="C3" s="16">
        <v>7.1439906299999995E-2</v>
      </c>
      <c r="D3" s="17">
        <v>0.22</v>
      </c>
      <c r="E3" s="17">
        <v>46.66</v>
      </c>
      <c r="F3" s="17">
        <v>2.23</v>
      </c>
      <c r="G3" s="17">
        <v>0.316</v>
      </c>
      <c r="H3" s="14">
        <v>1</v>
      </c>
      <c r="I3" s="17">
        <f>F3</f>
        <v>2.23</v>
      </c>
      <c r="J3" s="17">
        <f>G3</f>
        <v>0.316</v>
      </c>
      <c r="K3" s="14">
        <v>10613</v>
      </c>
      <c r="L3" s="14">
        <f>ROUND(E3*D3*C3*102.79,0)</f>
        <v>75</v>
      </c>
      <c r="M3" s="14">
        <f>ROUND(I3*L3*0.002205,0)</f>
        <v>0</v>
      </c>
      <c r="N3" s="19">
        <f>ROUND(J3*L3*0.002205,1)</f>
        <v>0.1</v>
      </c>
    </row>
    <row r="4" spans="1:14">
      <c r="C4" s="14">
        <f>SUM(C2:C3)</f>
        <v>3.5387322377000001</v>
      </c>
      <c r="M4" s="14">
        <f>SUM(M2:M3)</f>
        <v>32</v>
      </c>
      <c r="N4" s="19">
        <f>SUM(N2:N3)</f>
        <v>4.5999999999999996</v>
      </c>
    </row>
  </sheetData>
  <pageMargins left="0.7" right="0.7" top="0.75" bottom="0.75" header="0.3" footer="0.3"/>
  <pageSetup scale="7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N9"/>
  <sheetViews>
    <sheetView zoomScaleNormal="100" workbookViewId="0">
      <selection activeCell="L1" sqref="L1:N2"/>
    </sheetView>
  </sheetViews>
  <sheetFormatPr defaultRowHeight="15"/>
  <cols>
    <col min="1" max="1" width="14.28515625" style="14" bestFit="1" customWidth="1"/>
    <col min="2" max="2" width="9.7109375" style="14" customWidth="1"/>
    <col min="3" max="3" width="16.140625" style="14" bestFit="1" customWidth="1"/>
    <col min="4" max="4" width="6.85546875" style="15" bestFit="1" customWidth="1"/>
    <col min="5" max="5" width="13.7109375" style="15" bestFit="1" customWidth="1"/>
    <col min="6" max="6" width="9.42578125" style="15" bestFit="1" customWidth="1"/>
    <col min="7" max="7" width="9.140625" style="15" bestFit="1" customWidth="1"/>
    <col min="8" max="8" width="11.28515625" style="14" bestFit="1" customWidth="1"/>
    <col min="9" max="10" width="9" style="15" customWidth="1"/>
    <col min="11" max="11" width="12.42578125" style="14" bestFit="1" customWidth="1"/>
    <col min="12" max="12" width="15.42578125" customWidth="1"/>
    <col min="13" max="13" width="8.7109375" style="15" customWidth="1"/>
    <col min="14" max="14" width="10.5703125" style="16" customWidth="1"/>
  </cols>
  <sheetData>
    <row r="1" spans="1:14" ht="30">
      <c r="A1" s="14" t="s">
        <v>67</v>
      </c>
      <c r="B1" s="14" t="s">
        <v>46</v>
      </c>
      <c r="C1" s="16" t="s">
        <v>53</v>
      </c>
      <c r="D1" s="15" t="s">
        <v>47</v>
      </c>
      <c r="E1" s="15" t="s">
        <v>52</v>
      </c>
      <c r="F1" s="15" t="s">
        <v>48</v>
      </c>
      <c r="G1" s="15" t="s">
        <v>49</v>
      </c>
      <c r="H1" s="14" t="s">
        <v>51</v>
      </c>
      <c r="I1" s="15" t="s">
        <v>69</v>
      </c>
      <c r="J1" s="15" t="s">
        <v>56</v>
      </c>
      <c r="K1" s="14" t="s">
        <v>50</v>
      </c>
      <c r="L1" s="18" t="s">
        <v>57</v>
      </c>
      <c r="M1" s="18" t="s">
        <v>58</v>
      </c>
      <c r="N1" s="18" t="s">
        <v>59</v>
      </c>
    </row>
    <row r="2" spans="1:14">
      <c r="A2" s="14" t="s">
        <v>68</v>
      </c>
      <c r="B2" s="14">
        <v>1200</v>
      </c>
      <c r="C2" s="16">
        <v>37.371857024000001</v>
      </c>
      <c r="D2" s="17">
        <v>0.38900000000000001</v>
      </c>
      <c r="E2" s="17">
        <v>46.66</v>
      </c>
      <c r="F2" s="17">
        <v>2.23</v>
      </c>
      <c r="G2" s="17">
        <v>0.316</v>
      </c>
      <c r="H2" s="14">
        <v>1</v>
      </c>
      <c r="I2" s="17">
        <f>F2</f>
        <v>2.23</v>
      </c>
      <c r="J2" s="17">
        <f>G2</f>
        <v>0.316</v>
      </c>
      <c r="K2" s="14">
        <v>447612</v>
      </c>
      <c r="L2" s="14">
        <f>ROUND(E2*D2*C2*102.79,0)</f>
        <v>69725</v>
      </c>
      <c r="M2" s="14">
        <f>ROUND(I2*L2*0.002205,0)</f>
        <v>343</v>
      </c>
      <c r="N2" s="19">
        <f>ROUND(J2*L2*0.002205,1)</f>
        <v>48.6</v>
      </c>
    </row>
    <row r="3" spans="1:14">
      <c r="A3" s="14" t="s">
        <v>68</v>
      </c>
      <c r="B3" s="14">
        <v>1200</v>
      </c>
      <c r="C3" s="16">
        <v>16.8541861014</v>
      </c>
      <c r="D3" s="17">
        <v>0.22</v>
      </c>
      <c r="E3" s="17">
        <v>46.66</v>
      </c>
      <c r="F3" s="17">
        <v>2.23</v>
      </c>
      <c r="G3" s="17">
        <v>0.316</v>
      </c>
      <c r="H3" s="14">
        <v>1</v>
      </c>
      <c r="I3" s="17">
        <f t="shared" ref="I3:I8" si="0">F3</f>
        <v>2.23</v>
      </c>
      <c r="J3" s="17">
        <f t="shared" ref="J3:J8" si="1">G3</f>
        <v>0.316</v>
      </c>
      <c r="K3" s="14">
        <v>10613</v>
      </c>
      <c r="L3" s="14">
        <f t="shared" ref="L3:L8" si="2">ROUND(E3*D3*C3*102.79,0)</f>
        <v>17784</v>
      </c>
      <c r="M3" s="14">
        <f t="shared" ref="M3:M8" si="3">ROUND(I3*L3*0.002205,0)</f>
        <v>87</v>
      </c>
      <c r="N3" s="19">
        <f t="shared" ref="N3:N8" si="4">ROUND(J3*L3*0.002205,1)</f>
        <v>12.4</v>
      </c>
    </row>
    <row r="4" spans="1:14">
      <c r="A4" s="14" t="s">
        <v>68</v>
      </c>
      <c r="B4" s="14">
        <v>1200</v>
      </c>
      <c r="C4" s="16">
        <v>2.1035618305999999</v>
      </c>
      <c r="D4" s="17">
        <v>0.30399999999999999</v>
      </c>
      <c r="E4" s="17">
        <v>46.66</v>
      </c>
      <c r="F4" s="17">
        <v>2.23</v>
      </c>
      <c r="G4" s="17">
        <v>0.316</v>
      </c>
      <c r="H4" s="14">
        <v>1</v>
      </c>
      <c r="I4" s="17">
        <f t="shared" si="0"/>
        <v>2.23</v>
      </c>
      <c r="J4" s="17">
        <f t="shared" si="1"/>
        <v>0.316</v>
      </c>
      <c r="K4" s="14">
        <v>4042</v>
      </c>
      <c r="L4" s="14">
        <f t="shared" si="2"/>
        <v>3067</v>
      </c>
      <c r="M4" s="14">
        <f t="shared" si="3"/>
        <v>15</v>
      </c>
      <c r="N4" s="19">
        <f t="shared" si="4"/>
        <v>2.1</v>
      </c>
    </row>
    <row r="5" spans="1:14">
      <c r="A5" s="14" t="s">
        <v>68</v>
      </c>
      <c r="B5" s="14">
        <v>1300</v>
      </c>
      <c r="C5" s="16">
        <v>2.2738120000000001E-4</v>
      </c>
      <c r="D5" s="17">
        <v>0.69199999999999995</v>
      </c>
      <c r="E5" s="17">
        <v>46.66</v>
      </c>
      <c r="F5" s="17">
        <v>2.1</v>
      </c>
      <c r="G5" s="17">
        <v>0.51600000000000001</v>
      </c>
      <c r="H5" s="14">
        <v>1</v>
      </c>
      <c r="I5" s="17">
        <f t="shared" si="0"/>
        <v>2.1</v>
      </c>
      <c r="J5" s="17">
        <f t="shared" si="1"/>
        <v>0.51600000000000001</v>
      </c>
      <c r="K5" s="14">
        <v>248</v>
      </c>
      <c r="L5" s="14">
        <f t="shared" si="2"/>
        <v>1</v>
      </c>
      <c r="M5" s="14">
        <f t="shared" si="3"/>
        <v>0</v>
      </c>
      <c r="N5" s="19">
        <f t="shared" si="4"/>
        <v>0</v>
      </c>
    </row>
    <row r="6" spans="1:14">
      <c r="A6" s="14" t="s">
        <v>68</v>
      </c>
      <c r="B6" s="14">
        <v>1200</v>
      </c>
      <c r="C6" s="16">
        <v>2.3472308099999999E-2</v>
      </c>
      <c r="D6" s="17">
        <v>0.38900000000000001</v>
      </c>
      <c r="E6" s="17">
        <v>46.66</v>
      </c>
      <c r="F6" s="17">
        <v>2.23</v>
      </c>
      <c r="G6" s="17">
        <v>0.316</v>
      </c>
      <c r="H6" s="14">
        <v>1</v>
      </c>
      <c r="I6" s="17">
        <f t="shared" si="0"/>
        <v>2.23</v>
      </c>
      <c r="J6" s="17">
        <f t="shared" si="1"/>
        <v>0.316</v>
      </c>
      <c r="K6" s="14">
        <v>30</v>
      </c>
      <c r="L6" s="14">
        <f t="shared" si="2"/>
        <v>44</v>
      </c>
      <c r="M6" s="14">
        <f t="shared" si="3"/>
        <v>0</v>
      </c>
      <c r="N6" s="19">
        <f t="shared" si="4"/>
        <v>0</v>
      </c>
    </row>
    <row r="7" spans="1:14">
      <c r="A7" s="14" t="s">
        <v>68</v>
      </c>
      <c r="B7" s="14">
        <v>1860</v>
      </c>
      <c r="C7" s="16">
        <v>1.4890214765000001</v>
      </c>
      <c r="D7" s="17">
        <v>0.182</v>
      </c>
      <c r="E7" s="17">
        <v>46.66</v>
      </c>
      <c r="F7" s="17">
        <v>1.58</v>
      </c>
      <c r="G7" s="17">
        <v>0.1</v>
      </c>
      <c r="H7" s="14">
        <v>1</v>
      </c>
      <c r="I7" s="17">
        <f t="shared" si="0"/>
        <v>1.58</v>
      </c>
      <c r="J7" s="17">
        <f t="shared" si="1"/>
        <v>0.1</v>
      </c>
      <c r="K7" s="14">
        <v>5059</v>
      </c>
      <c r="L7" s="14">
        <f t="shared" si="2"/>
        <v>1300</v>
      </c>
      <c r="M7" s="14">
        <f t="shared" si="3"/>
        <v>5</v>
      </c>
      <c r="N7" s="19">
        <f t="shared" si="4"/>
        <v>0.3</v>
      </c>
    </row>
    <row r="8" spans="1:14">
      <c r="A8" s="14" t="s">
        <v>68</v>
      </c>
      <c r="B8" s="14">
        <v>1860</v>
      </c>
      <c r="C8" s="16">
        <v>2.1852655999999998E-3</v>
      </c>
      <c r="D8" s="17">
        <v>0.183</v>
      </c>
      <c r="E8" s="17">
        <v>46.66</v>
      </c>
      <c r="F8" s="17">
        <v>1.58</v>
      </c>
      <c r="G8" s="17">
        <v>0.1</v>
      </c>
      <c r="H8" s="14">
        <v>1</v>
      </c>
      <c r="I8" s="17">
        <f t="shared" si="0"/>
        <v>1.58</v>
      </c>
      <c r="J8" s="17">
        <f t="shared" si="1"/>
        <v>0.1</v>
      </c>
      <c r="K8" s="14">
        <v>1</v>
      </c>
      <c r="L8" s="14">
        <f t="shared" si="2"/>
        <v>2</v>
      </c>
      <c r="M8" s="14">
        <f t="shared" si="3"/>
        <v>0</v>
      </c>
      <c r="N8" s="19">
        <f t="shared" si="4"/>
        <v>0</v>
      </c>
    </row>
    <row r="9" spans="1:14">
      <c r="C9" s="16">
        <f>SUM(C2:C8)</f>
        <v>57.84451138739999</v>
      </c>
      <c r="M9" s="14">
        <f>SUM(M2:M8)</f>
        <v>450</v>
      </c>
      <c r="N9" s="19">
        <f>SUM(N2:N8)</f>
        <v>63.4</v>
      </c>
    </row>
  </sheetData>
  <pageMargins left="0.7" right="0.7" top="0.75" bottom="0.75" header="0.3" footer="0.3"/>
  <pageSetup scale="77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N11"/>
  <sheetViews>
    <sheetView workbookViewId="0">
      <selection activeCell="L1" sqref="L1:N2"/>
    </sheetView>
  </sheetViews>
  <sheetFormatPr defaultRowHeight="15"/>
  <cols>
    <col min="1" max="1" width="14.28515625" style="14" bestFit="1" customWidth="1"/>
    <col min="2" max="2" width="7.85546875" style="14" bestFit="1" customWidth="1"/>
    <col min="3" max="3" width="13.7109375" style="16" bestFit="1" customWidth="1"/>
    <col min="4" max="4" width="13.7109375" style="15" customWidth="1"/>
    <col min="5" max="5" width="14.7109375" style="15" bestFit="1" customWidth="1"/>
    <col min="6" max="7" width="13.7109375" style="15" customWidth="1"/>
    <col min="8" max="8" width="11.140625" style="14" bestFit="1" customWidth="1"/>
    <col min="9" max="10" width="13.7109375" style="15" customWidth="1"/>
    <col min="11" max="11" width="12.28515625" style="14" bestFit="1" customWidth="1"/>
    <col min="12" max="12" width="13.85546875" customWidth="1"/>
  </cols>
  <sheetData>
    <row r="1" spans="1:14" ht="30">
      <c r="A1" s="14" t="s">
        <v>67</v>
      </c>
      <c r="B1" s="14" t="s">
        <v>46</v>
      </c>
      <c r="C1" s="16" t="s">
        <v>53</v>
      </c>
      <c r="D1" s="15" t="s">
        <v>47</v>
      </c>
      <c r="E1" s="15" t="s">
        <v>52</v>
      </c>
      <c r="F1" s="15" t="s">
        <v>48</v>
      </c>
      <c r="G1" s="15" t="s">
        <v>49</v>
      </c>
      <c r="H1" s="14" t="s">
        <v>51</v>
      </c>
      <c r="I1" s="15" t="s">
        <v>55</v>
      </c>
      <c r="J1" s="15" t="s">
        <v>56</v>
      </c>
      <c r="K1" s="14" t="s">
        <v>50</v>
      </c>
      <c r="L1" s="18" t="s">
        <v>57</v>
      </c>
      <c r="M1" s="18" t="s">
        <v>58</v>
      </c>
      <c r="N1" s="18" t="s">
        <v>59</v>
      </c>
    </row>
    <row r="2" spans="1:14">
      <c r="A2" s="14" t="s">
        <v>68</v>
      </c>
      <c r="B2" s="14">
        <v>1200</v>
      </c>
      <c r="C2" s="16">
        <v>19.305770008</v>
      </c>
      <c r="D2" s="15">
        <v>0.38900000000000001</v>
      </c>
      <c r="E2" s="15">
        <v>46.66</v>
      </c>
      <c r="F2" s="15">
        <v>2.23</v>
      </c>
      <c r="G2" s="15">
        <v>0.316</v>
      </c>
      <c r="H2" s="14">
        <v>1</v>
      </c>
      <c r="I2" s="15">
        <f>F2</f>
        <v>2.23</v>
      </c>
      <c r="J2" s="15">
        <f>G2</f>
        <v>0.316</v>
      </c>
      <c r="K2" s="14">
        <v>447612</v>
      </c>
      <c r="L2" s="14">
        <f>ROUND(E2*D2*C2*102.79,0)</f>
        <v>36019</v>
      </c>
      <c r="M2" s="14">
        <f>ROUND(I2*L2*0.002205,0)</f>
        <v>177</v>
      </c>
      <c r="N2" s="19">
        <f>ROUND(J2*L2*0.002205,1)</f>
        <v>25.1</v>
      </c>
    </row>
    <row r="3" spans="1:14">
      <c r="A3" s="14" t="s">
        <v>68</v>
      </c>
      <c r="B3" s="14">
        <v>1300</v>
      </c>
      <c r="C3" s="16">
        <v>0.2032684183</v>
      </c>
      <c r="D3" s="15">
        <v>0.63100000000000001</v>
      </c>
      <c r="E3" s="15">
        <v>46.66</v>
      </c>
      <c r="F3" s="15">
        <v>2.1</v>
      </c>
      <c r="G3" s="15">
        <v>0.51600000000000001</v>
      </c>
      <c r="H3" s="14">
        <v>1</v>
      </c>
      <c r="I3" s="15">
        <f t="shared" ref="I3:I10" si="0">F3</f>
        <v>2.1</v>
      </c>
      <c r="J3" s="15">
        <f t="shared" ref="J3:J10" si="1">G3</f>
        <v>0.51600000000000001</v>
      </c>
      <c r="K3" s="14">
        <v>12240</v>
      </c>
      <c r="L3" s="14">
        <f t="shared" ref="L3:L10" si="2">ROUND(E3*D3*C3*102.79,0)</f>
        <v>615</v>
      </c>
      <c r="M3" s="14">
        <f t="shared" ref="M3:M10" si="3">ROUND(I3*L3*0.002205,0)</f>
        <v>3</v>
      </c>
      <c r="N3" s="19">
        <f t="shared" ref="N3:N10" si="4">ROUND(J3*L3*0.002205,1)</f>
        <v>0.7</v>
      </c>
    </row>
    <row r="4" spans="1:14">
      <c r="A4" s="14" t="s">
        <v>68</v>
      </c>
      <c r="B4" s="14">
        <v>1300</v>
      </c>
      <c r="C4" s="16">
        <v>2.55231026E-2</v>
      </c>
      <c r="D4" s="15">
        <v>0.69199999999999995</v>
      </c>
      <c r="E4" s="15">
        <v>46.66</v>
      </c>
      <c r="F4" s="15">
        <v>2.1</v>
      </c>
      <c r="G4" s="15">
        <v>0.51600000000000001</v>
      </c>
      <c r="H4" s="14">
        <v>1</v>
      </c>
      <c r="I4" s="15">
        <f t="shared" si="0"/>
        <v>2.1</v>
      </c>
      <c r="J4" s="15">
        <f t="shared" si="1"/>
        <v>0.51600000000000001</v>
      </c>
      <c r="K4" s="14">
        <v>686</v>
      </c>
      <c r="L4" s="14">
        <f t="shared" si="2"/>
        <v>85</v>
      </c>
      <c r="M4" s="14">
        <f t="shared" si="3"/>
        <v>0</v>
      </c>
      <c r="N4" s="19">
        <f t="shared" si="4"/>
        <v>0.1</v>
      </c>
    </row>
    <row r="5" spans="1:14">
      <c r="A5" s="14" t="s">
        <v>68</v>
      </c>
      <c r="B5" s="14">
        <v>1200</v>
      </c>
      <c r="C5" s="16">
        <v>0.21434071169999999</v>
      </c>
      <c r="D5" s="15">
        <v>0.22</v>
      </c>
      <c r="E5" s="15">
        <v>46.66</v>
      </c>
      <c r="F5" s="15">
        <v>2.23</v>
      </c>
      <c r="G5" s="15">
        <v>0.316</v>
      </c>
      <c r="H5" s="14">
        <v>1</v>
      </c>
      <c r="I5" s="15">
        <f t="shared" si="0"/>
        <v>2.23</v>
      </c>
      <c r="J5" s="15">
        <f t="shared" si="1"/>
        <v>0.316</v>
      </c>
      <c r="K5" s="14">
        <v>314</v>
      </c>
      <c r="L5" s="14">
        <f t="shared" si="2"/>
        <v>226</v>
      </c>
      <c r="M5" s="14">
        <f t="shared" si="3"/>
        <v>1</v>
      </c>
      <c r="N5" s="19">
        <f t="shared" si="4"/>
        <v>0.2</v>
      </c>
    </row>
    <row r="6" spans="1:14">
      <c r="A6" s="14" t="s">
        <v>68</v>
      </c>
      <c r="B6" s="14">
        <v>1200</v>
      </c>
      <c r="C6" s="16">
        <v>7.7483691818000002</v>
      </c>
      <c r="D6" s="15">
        <v>0.38900000000000001</v>
      </c>
      <c r="E6" s="15">
        <v>46.66</v>
      </c>
      <c r="F6" s="15">
        <v>2.23</v>
      </c>
      <c r="G6" s="15">
        <v>0.316</v>
      </c>
      <c r="H6" s="14">
        <v>1</v>
      </c>
      <c r="I6" s="15">
        <f t="shared" si="0"/>
        <v>2.23</v>
      </c>
      <c r="J6" s="15">
        <f t="shared" si="1"/>
        <v>0.316</v>
      </c>
      <c r="K6" s="14">
        <v>447612</v>
      </c>
      <c r="L6" s="14">
        <f t="shared" si="2"/>
        <v>14456</v>
      </c>
      <c r="M6" s="14">
        <f t="shared" si="3"/>
        <v>71</v>
      </c>
      <c r="N6" s="19">
        <f t="shared" si="4"/>
        <v>10.1</v>
      </c>
    </row>
    <row r="7" spans="1:14">
      <c r="A7" s="14" t="s">
        <v>68</v>
      </c>
      <c r="B7" s="14">
        <v>1200</v>
      </c>
      <c r="C7" s="16">
        <v>0.32999979730000001</v>
      </c>
      <c r="D7" s="15">
        <v>0.22</v>
      </c>
      <c r="E7" s="15">
        <v>46.66</v>
      </c>
      <c r="F7" s="15">
        <v>2.23</v>
      </c>
      <c r="G7" s="15">
        <v>0.316</v>
      </c>
      <c r="H7" s="14">
        <v>1</v>
      </c>
      <c r="I7" s="15">
        <f t="shared" si="0"/>
        <v>2.23</v>
      </c>
      <c r="J7" s="15">
        <f t="shared" si="1"/>
        <v>0.316</v>
      </c>
      <c r="K7" s="14">
        <v>347</v>
      </c>
      <c r="L7" s="14">
        <f t="shared" si="2"/>
        <v>348</v>
      </c>
      <c r="M7" s="14">
        <f t="shared" si="3"/>
        <v>2</v>
      </c>
      <c r="N7" s="19">
        <f t="shared" si="4"/>
        <v>0.2</v>
      </c>
    </row>
    <row r="8" spans="1:14">
      <c r="A8" s="14" t="s">
        <v>68</v>
      </c>
      <c r="B8" s="14">
        <v>1300</v>
      </c>
      <c r="C8" s="16">
        <v>3.1151270993</v>
      </c>
      <c r="D8" s="15">
        <v>0.63100000000000001</v>
      </c>
      <c r="E8" s="15">
        <v>46.66</v>
      </c>
      <c r="F8" s="15">
        <v>2.1</v>
      </c>
      <c r="G8" s="15">
        <v>0.51600000000000001</v>
      </c>
      <c r="H8" s="14">
        <v>1</v>
      </c>
      <c r="I8" s="15">
        <f t="shared" si="0"/>
        <v>2.1</v>
      </c>
      <c r="J8" s="15">
        <f t="shared" si="1"/>
        <v>0.51600000000000001</v>
      </c>
      <c r="K8" s="14">
        <v>11866</v>
      </c>
      <c r="L8" s="14">
        <f t="shared" si="2"/>
        <v>9428</v>
      </c>
      <c r="M8" s="14">
        <f t="shared" si="3"/>
        <v>44</v>
      </c>
      <c r="N8" s="19">
        <f t="shared" si="4"/>
        <v>10.7</v>
      </c>
    </row>
    <row r="9" spans="1:14">
      <c r="A9" s="14" t="s">
        <v>68</v>
      </c>
      <c r="B9" s="14">
        <v>1300</v>
      </c>
      <c r="C9" s="16">
        <v>0.1159637063</v>
      </c>
      <c r="D9" s="15">
        <v>0.69199999999999995</v>
      </c>
      <c r="E9" s="15">
        <v>46.66</v>
      </c>
      <c r="F9" s="15">
        <v>2.1</v>
      </c>
      <c r="G9" s="15">
        <v>0.51600000000000001</v>
      </c>
      <c r="H9" s="14">
        <v>1</v>
      </c>
      <c r="I9" s="15">
        <f t="shared" si="0"/>
        <v>2.1</v>
      </c>
      <c r="J9" s="15">
        <f t="shared" si="1"/>
        <v>0.51600000000000001</v>
      </c>
      <c r="K9" s="14">
        <v>192</v>
      </c>
      <c r="L9" s="14">
        <f t="shared" si="2"/>
        <v>385</v>
      </c>
      <c r="M9" s="14">
        <f t="shared" si="3"/>
        <v>2</v>
      </c>
      <c r="N9" s="19">
        <f t="shared" si="4"/>
        <v>0.4</v>
      </c>
    </row>
    <row r="10" spans="1:14">
      <c r="A10" s="14" t="s">
        <v>68</v>
      </c>
      <c r="B10" s="14">
        <v>1700</v>
      </c>
      <c r="C10" s="16">
        <v>1.4424151209</v>
      </c>
      <c r="D10" s="15">
        <v>0.78600000000000003</v>
      </c>
      <c r="E10" s="15">
        <v>46.66</v>
      </c>
      <c r="F10" s="15">
        <v>1.8</v>
      </c>
      <c r="G10" s="15">
        <v>0.47799999999999998</v>
      </c>
      <c r="H10" s="14">
        <v>1</v>
      </c>
      <c r="I10" s="15">
        <f t="shared" si="0"/>
        <v>1.8</v>
      </c>
      <c r="J10" s="15">
        <f t="shared" si="1"/>
        <v>0.47799999999999998</v>
      </c>
      <c r="K10" s="14">
        <v>3638</v>
      </c>
      <c r="L10" s="14">
        <f t="shared" si="2"/>
        <v>5438</v>
      </c>
      <c r="M10" s="14">
        <f t="shared" si="3"/>
        <v>22</v>
      </c>
      <c r="N10" s="19">
        <f t="shared" si="4"/>
        <v>5.7</v>
      </c>
    </row>
    <row r="11" spans="1:14">
      <c r="C11" s="16">
        <f>SUM(C2:C10)</f>
        <v>32.500777146200001</v>
      </c>
      <c r="M11" s="14">
        <f>SUM(M2:M10)</f>
        <v>322</v>
      </c>
      <c r="N11" s="19">
        <f>SUM(N2:N10)</f>
        <v>53.20000000000001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27"/>
  <sheetViews>
    <sheetView topLeftCell="A109" workbookViewId="0">
      <selection activeCell="B127" sqref="B127"/>
    </sheetView>
  </sheetViews>
  <sheetFormatPr defaultRowHeight="15"/>
  <cols>
    <col min="1" max="1" width="19.5703125" bestFit="1" customWidth="1"/>
    <col min="3" max="3" width="18.28515625" bestFit="1" customWidth="1"/>
  </cols>
  <sheetData>
    <row r="1" spans="1:3">
      <c r="A1" s="30" t="s">
        <v>170</v>
      </c>
    </row>
    <row r="2" spans="1:3">
      <c r="A2" t="s">
        <v>71</v>
      </c>
      <c r="B2">
        <v>0.06</v>
      </c>
      <c r="C2" t="s">
        <v>70</v>
      </c>
    </row>
    <row r="3" spans="1:3">
      <c r="A3" t="s">
        <v>72</v>
      </c>
      <c r="B3" s="14">
        <f>ROUND((0.8656*B2^0.5403)*100,0)</f>
        <v>19</v>
      </c>
      <c r="C3" t="s">
        <v>84</v>
      </c>
    </row>
    <row r="5" spans="1:3">
      <c r="A5" s="30" t="s">
        <v>171</v>
      </c>
    </row>
    <row r="6" spans="1:3">
      <c r="A6" t="s">
        <v>71</v>
      </c>
      <c r="B6">
        <v>0.15</v>
      </c>
      <c r="C6" t="s">
        <v>70</v>
      </c>
    </row>
    <row r="7" spans="1:3">
      <c r="A7" t="s">
        <v>72</v>
      </c>
      <c r="B7" s="14">
        <f>ROUND((0.8656*B6^0.5403)*100,0)</f>
        <v>31</v>
      </c>
      <c r="C7" t="s">
        <v>84</v>
      </c>
    </row>
    <row r="9" spans="1:3">
      <c r="A9" s="30" t="s">
        <v>172</v>
      </c>
    </row>
    <row r="10" spans="1:3">
      <c r="A10" t="s">
        <v>71</v>
      </c>
      <c r="B10">
        <v>0.1</v>
      </c>
      <c r="C10" t="s">
        <v>70</v>
      </c>
    </row>
    <row r="11" spans="1:3">
      <c r="A11" t="s">
        <v>72</v>
      </c>
      <c r="B11" s="14">
        <f>ROUND((0.8656*B10^0.5403)*100,0)</f>
        <v>25</v>
      </c>
      <c r="C11" t="s">
        <v>84</v>
      </c>
    </row>
    <row r="13" spans="1:3">
      <c r="A13" s="30" t="s">
        <v>173</v>
      </c>
    </row>
    <row r="14" spans="1:3">
      <c r="A14" t="s">
        <v>71</v>
      </c>
      <c r="B14">
        <v>7.0000000000000007E-2</v>
      </c>
      <c r="C14" t="s">
        <v>70</v>
      </c>
    </row>
    <row r="15" spans="1:3">
      <c r="A15" t="s">
        <v>72</v>
      </c>
      <c r="B15" s="14">
        <f>ROUND((0.8656*B14^0.5403)*100,0)</f>
        <v>21</v>
      </c>
      <c r="C15" t="s">
        <v>84</v>
      </c>
    </row>
    <row r="17" spans="1:3">
      <c r="A17" s="30" t="s">
        <v>174</v>
      </c>
    </row>
    <row r="18" spans="1:3">
      <c r="A18" t="s">
        <v>71</v>
      </c>
      <c r="B18">
        <v>0.01</v>
      </c>
      <c r="C18" t="s">
        <v>70</v>
      </c>
    </row>
    <row r="19" spans="1:3">
      <c r="A19" t="s">
        <v>72</v>
      </c>
      <c r="B19" s="14">
        <f>ROUND((0.8656*B18^0.5403)*100,0)</f>
        <v>7</v>
      </c>
      <c r="C19" t="s">
        <v>84</v>
      </c>
    </row>
    <row r="21" spans="1:3">
      <c r="A21" s="30" t="s">
        <v>175</v>
      </c>
    </row>
    <row r="22" spans="1:3">
      <c r="A22" t="s">
        <v>71</v>
      </c>
      <c r="B22">
        <v>0.02</v>
      </c>
      <c r="C22" t="s">
        <v>70</v>
      </c>
    </row>
    <row r="23" spans="1:3">
      <c r="A23" t="s">
        <v>72</v>
      </c>
      <c r="B23" s="14">
        <f>ROUND((0.8656*B22^0.5403)*100,0)</f>
        <v>10</v>
      </c>
      <c r="C23" t="s">
        <v>84</v>
      </c>
    </row>
    <row r="25" spans="1:3">
      <c r="A25" s="30" t="s">
        <v>176</v>
      </c>
    </row>
    <row r="26" spans="1:3">
      <c r="A26" t="s">
        <v>71</v>
      </c>
      <c r="B26">
        <v>0.23</v>
      </c>
      <c r="C26" t="s">
        <v>70</v>
      </c>
    </row>
    <row r="27" spans="1:3">
      <c r="A27" t="s">
        <v>72</v>
      </c>
      <c r="B27" s="14">
        <f>ROUND((0.8656*B26^0.5403)*100,0)</f>
        <v>39</v>
      </c>
      <c r="C27" t="s">
        <v>84</v>
      </c>
    </row>
    <row r="29" spans="1:3">
      <c r="A29" s="30" t="s">
        <v>177</v>
      </c>
    </row>
    <row r="30" spans="1:3">
      <c r="A30" t="s">
        <v>71</v>
      </c>
      <c r="B30">
        <v>0.4</v>
      </c>
      <c r="C30" t="s">
        <v>70</v>
      </c>
    </row>
    <row r="31" spans="1:3">
      <c r="A31" t="s">
        <v>72</v>
      </c>
      <c r="B31" s="14">
        <f>ROUND((0.8656*B30^0.5403)*100,0)</f>
        <v>53</v>
      </c>
      <c r="C31" t="s">
        <v>84</v>
      </c>
    </row>
    <row r="33" spans="1:3">
      <c r="A33" s="30" t="s">
        <v>178</v>
      </c>
    </row>
    <row r="34" spans="1:3">
      <c r="A34" t="s">
        <v>71</v>
      </c>
      <c r="B34">
        <v>0.03</v>
      </c>
      <c r="C34" t="s">
        <v>70</v>
      </c>
    </row>
    <row r="35" spans="1:3">
      <c r="A35" t="s">
        <v>72</v>
      </c>
      <c r="B35" s="14">
        <f>ROUND((0.8656*B34^0.5403)*100,0)</f>
        <v>13</v>
      </c>
      <c r="C35" t="s">
        <v>84</v>
      </c>
    </row>
    <row r="37" spans="1:3">
      <c r="A37" s="30" t="s">
        <v>179</v>
      </c>
    </row>
    <row r="38" spans="1:3">
      <c r="A38" t="s">
        <v>71</v>
      </c>
      <c r="B38">
        <v>0.01</v>
      </c>
      <c r="C38" t="s">
        <v>70</v>
      </c>
    </row>
    <row r="39" spans="1:3">
      <c r="A39" t="s">
        <v>72</v>
      </c>
      <c r="B39" s="14">
        <f>ROUND((0.8656*B38^0.5403)*100,0)</f>
        <v>7</v>
      </c>
      <c r="C39" t="s">
        <v>84</v>
      </c>
    </row>
    <row r="41" spans="1:3">
      <c r="A41" s="30" t="s">
        <v>180</v>
      </c>
    </row>
    <row r="42" spans="1:3">
      <c r="A42" t="s">
        <v>71</v>
      </c>
      <c r="B42">
        <v>0.01</v>
      </c>
      <c r="C42" t="s">
        <v>70</v>
      </c>
    </row>
    <row r="43" spans="1:3">
      <c r="A43" t="s">
        <v>72</v>
      </c>
      <c r="B43" s="14">
        <f>ROUND((0.8656*B42^0.5403)*100,0)</f>
        <v>7</v>
      </c>
      <c r="C43" t="s">
        <v>84</v>
      </c>
    </row>
    <row r="45" spans="1:3">
      <c r="A45" s="91" t="s">
        <v>181</v>
      </c>
      <c r="B45" s="92"/>
      <c r="C45" s="92"/>
    </row>
    <row r="46" spans="1:3">
      <c r="A46" s="92" t="s">
        <v>71</v>
      </c>
      <c r="B46" s="92">
        <v>0.08</v>
      </c>
      <c r="C46" s="92" t="s">
        <v>70</v>
      </c>
    </row>
    <row r="47" spans="1:3">
      <c r="A47" s="92" t="s">
        <v>72</v>
      </c>
      <c r="B47" s="93">
        <f>ROUND((0.8656*B46^0.5403)*100,0)</f>
        <v>22</v>
      </c>
      <c r="C47" s="92" t="s">
        <v>84</v>
      </c>
    </row>
    <row r="49" spans="1:3">
      <c r="A49" s="30" t="s">
        <v>182</v>
      </c>
    </row>
    <row r="50" spans="1:3">
      <c r="A50" t="s">
        <v>71</v>
      </c>
      <c r="B50">
        <v>1.1200000000000001</v>
      </c>
      <c r="C50" t="s">
        <v>70</v>
      </c>
    </row>
    <row r="51" spans="1:3">
      <c r="A51" t="s">
        <v>72</v>
      </c>
      <c r="B51" s="14">
        <f>ROUND((0.8656*B50^0.5403)*100,0)</f>
        <v>92</v>
      </c>
      <c r="C51" t="s">
        <v>84</v>
      </c>
    </row>
    <row r="53" spans="1:3">
      <c r="A53" s="30" t="s">
        <v>183</v>
      </c>
    </row>
    <row r="54" spans="1:3">
      <c r="A54" t="s">
        <v>71</v>
      </c>
      <c r="B54">
        <v>1.6</v>
      </c>
      <c r="C54" t="s">
        <v>70</v>
      </c>
    </row>
    <row r="55" spans="1:3">
      <c r="A55" t="s">
        <v>72</v>
      </c>
      <c r="B55" s="14">
        <v>100</v>
      </c>
      <c r="C55" t="s">
        <v>84</v>
      </c>
    </row>
    <row r="57" spans="1:3">
      <c r="A57" s="30" t="s">
        <v>184</v>
      </c>
    </row>
    <row r="58" spans="1:3">
      <c r="A58" t="s">
        <v>71</v>
      </c>
      <c r="B58">
        <v>1.5</v>
      </c>
      <c r="C58" t="s">
        <v>70</v>
      </c>
    </row>
    <row r="59" spans="1:3">
      <c r="A59" t="s">
        <v>72</v>
      </c>
      <c r="B59" s="14">
        <v>100</v>
      </c>
      <c r="C59" t="s">
        <v>84</v>
      </c>
    </row>
    <row r="61" spans="1:3">
      <c r="A61" s="30" t="s">
        <v>185</v>
      </c>
    </row>
    <row r="62" spans="1:3">
      <c r="A62" t="s">
        <v>71</v>
      </c>
      <c r="B62">
        <v>1.26</v>
      </c>
      <c r="C62" t="s">
        <v>70</v>
      </c>
    </row>
    <row r="63" spans="1:3">
      <c r="A63" t="s">
        <v>72</v>
      </c>
      <c r="B63" s="14">
        <f>ROUND((0.8656*B62^0.5403)*100,0)</f>
        <v>98</v>
      </c>
      <c r="C63" t="s">
        <v>84</v>
      </c>
    </row>
    <row r="65" spans="1:3">
      <c r="A65" s="30" t="s">
        <v>186</v>
      </c>
    </row>
    <row r="66" spans="1:3">
      <c r="A66" t="s">
        <v>71</v>
      </c>
      <c r="B66">
        <v>2.4</v>
      </c>
      <c r="C66" t="s">
        <v>70</v>
      </c>
    </row>
    <row r="67" spans="1:3">
      <c r="A67" t="s">
        <v>72</v>
      </c>
      <c r="B67" s="14">
        <v>100</v>
      </c>
      <c r="C67" t="s">
        <v>84</v>
      </c>
    </row>
    <row r="69" spans="1:3">
      <c r="A69" s="30" t="s">
        <v>187</v>
      </c>
    </row>
    <row r="70" spans="1:3">
      <c r="A70" t="s">
        <v>71</v>
      </c>
      <c r="B70">
        <v>0.21</v>
      </c>
      <c r="C70" t="s">
        <v>70</v>
      </c>
    </row>
    <row r="71" spans="1:3">
      <c r="A71" t="s">
        <v>72</v>
      </c>
      <c r="B71" s="14">
        <f>ROUND((0.8656*B70^0.5403)*100,0)</f>
        <v>37</v>
      </c>
      <c r="C71" t="s">
        <v>84</v>
      </c>
    </row>
    <row r="73" spans="1:3">
      <c r="A73" s="30" t="s">
        <v>188</v>
      </c>
    </row>
    <row r="74" spans="1:3">
      <c r="A74" t="s">
        <v>71</v>
      </c>
      <c r="B74">
        <v>0.28999999999999998</v>
      </c>
      <c r="C74" t="s">
        <v>70</v>
      </c>
    </row>
    <row r="75" spans="1:3">
      <c r="A75" t="s">
        <v>72</v>
      </c>
      <c r="B75" s="14">
        <f>ROUND((0.8656*B74^0.5403)*100,0)</f>
        <v>44</v>
      </c>
      <c r="C75" t="s">
        <v>84</v>
      </c>
    </row>
    <row r="77" spans="1:3">
      <c r="A77" s="30" t="s">
        <v>189</v>
      </c>
    </row>
    <row r="78" spans="1:3">
      <c r="A78" t="s">
        <v>71</v>
      </c>
      <c r="B78">
        <v>1.17</v>
      </c>
      <c r="C78" t="s">
        <v>70</v>
      </c>
    </row>
    <row r="79" spans="1:3">
      <c r="A79" t="s">
        <v>72</v>
      </c>
      <c r="B79" s="14">
        <f>ROUND((0.8656*B78^0.5403)*100,0)</f>
        <v>94</v>
      </c>
      <c r="C79" t="s">
        <v>84</v>
      </c>
    </row>
    <row r="81" spans="1:3">
      <c r="A81" s="30" t="s">
        <v>190</v>
      </c>
    </row>
    <row r="82" spans="1:3">
      <c r="A82" t="s">
        <v>71</v>
      </c>
      <c r="B82">
        <v>0.18</v>
      </c>
      <c r="C82" t="s">
        <v>70</v>
      </c>
    </row>
    <row r="83" spans="1:3">
      <c r="A83" t="s">
        <v>72</v>
      </c>
      <c r="B83" s="14">
        <f>ROUND((0.8656*B82^0.5403)*100,0)</f>
        <v>34</v>
      </c>
      <c r="C83" t="s">
        <v>84</v>
      </c>
    </row>
    <row r="85" spans="1:3">
      <c r="A85" s="30" t="s">
        <v>191</v>
      </c>
    </row>
    <row r="86" spans="1:3">
      <c r="A86" t="s">
        <v>71</v>
      </c>
      <c r="B86">
        <v>0.72</v>
      </c>
      <c r="C86" t="s">
        <v>70</v>
      </c>
    </row>
    <row r="87" spans="1:3">
      <c r="A87" t="s">
        <v>72</v>
      </c>
      <c r="B87" s="14">
        <f>ROUND((0.8656*B86^0.5403)*100,0)</f>
        <v>72</v>
      </c>
      <c r="C87" t="s">
        <v>84</v>
      </c>
    </row>
    <row r="89" spans="1:3">
      <c r="A89" s="30" t="s">
        <v>192</v>
      </c>
    </row>
    <row r="90" spans="1:3">
      <c r="A90" t="s">
        <v>71</v>
      </c>
      <c r="B90">
        <v>0.62</v>
      </c>
      <c r="C90" t="s">
        <v>70</v>
      </c>
    </row>
    <row r="91" spans="1:3">
      <c r="A91" t="s">
        <v>72</v>
      </c>
      <c r="B91" s="14">
        <f>ROUND((0.8656*B90^0.5403)*100,0)</f>
        <v>67</v>
      </c>
      <c r="C91" t="s">
        <v>84</v>
      </c>
    </row>
    <row r="93" spans="1:3">
      <c r="A93" s="30" t="s">
        <v>193</v>
      </c>
    </row>
    <row r="94" spans="1:3">
      <c r="A94" t="s">
        <v>71</v>
      </c>
      <c r="B94">
        <v>2.48</v>
      </c>
      <c r="C94" t="s">
        <v>70</v>
      </c>
    </row>
    <row r="95" spans="1:3">
      <c r="A95" t="s">
        <v>72</v>
      </c>
      <c r="B95" s="14">
        <v>100</v>
      </c>
      <c r="C95" t="s">
        <v>84</v>
      </c>
    </row>
    <row r="97" spans="1:3">
      <c r="A97" s="30" t="s">
        <v>194</v>
      </c>
    </row>
    <row r="98" spans="1:3">
      <c r="A98" t="s">
        <v>71</v>
      </c>
      <c r="B98">
        <v>1.64</v>
      </c>
      <c r="C98" t="s">
        <v>70</v>
      </c>
    </row>
    <row r="99" spans="1:3">
      <c r="A99" t="s">
        <v>72</v>
      </c>
      <c r="B99" s="14">
        <v>100</v>
      </c>
      <c r="C99" t="s">
        <v>84</v>
      </c>
    </row>
    <row r="101" spans="1:3">
      <c r="A101" s="30" t="s">
        <v>195</v>
      </c>
    </row>
    <row r="102" spans="1:3">
      <c r="A102" t="s">
        <v>71</v>
      </c>
      <c r="B102">
        <v>0.26</v>
      </c>
      <c r="C102" t="s">
        <v>70</v>
      </c>
    </row>
    <row r="103" spans="1:3">
      <c r="A103" t="s">
        <v>72</v>
      </c>
      <c r="B103" s="14">
        <f>ROUND((0.8656*B102^0.5403)*100,0)</f>
        <v>42</v>
      </c>
      <c r="C103" t="s">
        <v>84</v>
      </c>
    </row>
    <row r="105" spans="1:3">
      <c r="A105" s="30" t="s">
        <v>196</v>
      </c>
    </row>
    <row r="106" spans="1:3">
      <c r="A106" t="s">
        <v>71</v>
      </c>
      <c r="B106">
        <v>1.8</v>
      </c>
      <c r="C106" t="s">
        <v>70</v>
      </c>
    </row>
    <row r="107" spans="1:3">
      <c r="A107" t="s">
        <v>72</v>
      </c>
      <c r="B107" s="14">
        <v>100</v>
      </c>
      <c r="C107" t="s">
        <v>84</v>
      </c>
    </row>
    <row r="109" spans="1:3">
      <c r="A109" s="30" t="s">
        <v>197</v>
      </c>
    </row>
    <row r="110" spans="1:3">
      <c r="A110" t="s">
        <v>71</v>
      </c>
      <c r="B110">
        <v>0.17</v>
      </c>
      <c r="C110" t="s">
        <v>70</v>
      </c>
    </row>
    <row r="111" spans="1:3">
      <c r="A111" t="s">
        <v>72</v>
      </c>
      <c r="B111" s="14">
        <f>ROUND((0.8656*B110^0.5403)*100,0)</f>
        <v>33</v>
      </c>
      <c r="C111" t="s">
        <v>84</v>
      </c>
    </row>
    <row r="113" spans="1:3">
      <c r="A113" s="30" t="s">
        <v>198</v>
      </c>
    </row>
    <row r="114" spans="1:3">
      <c r="A114" t="s">
        <v>71</v>
      </c>
      <c r="B114">
        <v>0.94</v>
      </c>
      <c r="C114" t="s">
        <v>70</v>
      </c>
    </row>
    <row r="115" spans="1:3">
      <c r="A115" t="s">
        <v>72</v>
      </c>
      <c r="B115" s="14">
        <f>ROUND((0.8656*B114^0.5403)*100,0)</f>
        <v>84</v>
      </c>
      <c r="C115" t="s">
        <v>84</v>
      </c>
    </row>
    <row r="117" spans="1:3">
      <c r="A117" s="30" t="s">
        <v>199</v>
      </c>
    </row>
    <row r="118" spans="1:3">
      <c r="A118" t="s">
        <v>71</v>
      </c>
      <c r="B118">
        <v>0.64</v>
      </c>
      <c r="C118" t="s">
        <v>70</v>
      </c>
    </row>
    <row r="119" spans="1:3">
      <c r="A119" t="s">
        <v>72</v>
      </c>
      <c r="B119" s="14">
        <f>ROUND((0.8656*B118^0.5403)*100,0)</f>
        <v>68</v>
      </c>
      <c r="C119" t="s">
        <v>84</v>
      </c>
    </row>
    <row r="121" spans="1:3">
      <c r="A121" s="30" t="s">
        <v>200</v>
      </c>
    </row>
    <row r="122" spans="1:3">
      <c r="A122" t="s">
        <v>71</v>
      </c>
      <c r="B122">
        <v>0.33</v>
      </c>
      <c r="C122" t="s">
        <v>70</v>
      </c>
    </row>
    <row r="123" spans="1:3">
      <c r="A123" t="s">
        <v>72</v>
      </c>
      <c r="B123" s="14">
        <f>ROUND((0.8656*B122^0.5403)*100,0)</f>
        <v>48</v>
      </c>
      <c r="C123" t="s">
        <v>84</v>
      </c>
    </row>
    <row r="125" spans="1:3">
      <c r="A125" s="30" t="s">
        <v>201</v>
      </c>
    </row>
    <row r="126" spans="1:3">
      <c r="A126" t="s">
        <v>71</v>
      </c>
      <c r="B126">
        <v>0.16</v>
      </c>
      <c r="C126" t="s">
        <v>70</v>
      </c>
    </row>
    <row r="127" spans="1:3">
      <c r="A127" t="s">
        <v>72</v>
      </c>
      <c r="B127" s="14">
        <f>ROUND((0.8656*B126^0.5403)*100,0)</f>
        <v>32</v>
      </c>
      <c r="C127" t="s">
        <v>84</v>
      </c>
    </row>
  </sheetData>
  <pageMargins left="0.7" right="0.7" top="0.75" bottom="0.75" header="0.3" footer="0.3"/>
  <pageSetup orientation="portrait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N9"/>
  <sheetViews>
    <sheetView workbookViewId="0">
      <selection activeCell="L1" sqref="L1:N2"/>
    </sheetView>
  </sheetViews>
  <sheetFormatPr defaultRowHeight="15"/>
  <cols>
    <col min="1" max="1" width="14.28515625" style="14" bestFit="1" customWidth="1"/>
    <col min="2" max="2" width="7.85546875" style="14" bestFit="1" customWidth="1"/>
    <col min="3" max="3" width="13.7109375" style="16" bestFit="1" customWidth="1"/>
    <col min="4" max="4" width="13.7109375" style="15" customWidth="1"/>
    <col min="5" max="5" width="14.7109375" style="15" bestFit="1" customWidth="1"/>
    <col min="6" max="7" width="13.7109375" style="15" customWidth="1"/>
    <col min="8" max="8" width="11.140625" style="14" bestFit="1" customWidth="1"/>
    <col min="9" max="10" width="13.7109375" style="15" customWidth="1"/>
    <col min="11" max="11" width="12.28515625" style="14" bestFit="1" customWidth="1"/>
    <col min="12" max="12" width="13.85546875" bestFit="1" customWidth="1"/>
  </cols>
  <sheetData>
    <row r="1" spans="1:14" ht="30">
      <c r="A1" s="14" t="s">
        <v>67</v>
      </c>
      <c r="B1" s="14" t="s">
        <v>46</v>
      </c>
      <c r="C1" s="16" t="s">
        <v>53</v>
      </c>
      <c r="D1" s="15" t="s">
        <v>47</v>
      </c>
      <c r="E1" s="15" t="s">
        <v>52</v>
      </c>
      <c r="F1" s="15" t="s">
        <v>48</v>
      </c>
      <c r="G1" s="15" t="s">
        <v>49</v>
      </c>
      <c r="H1" s="14" t="s">
        <v>51</v>
      </c>
      <c r="I1" s="15" t="s">
        <v>55</v>
      </c>
      <c r="J1" s="15" t="s">
        <v>56</v>
      </c>
      <c r="K1" s="14" t="s">
        <v>50</v>
      </c>
      <c r="L1" s="18" t="s">
        <v>57</v>
      </c>
      <c r="M1" s="18" t="s">
        <v>58</v>
      </c>
      <c r="N1" s="18" t="s">
        <v>59</v>
      </c>
    </row>
    <row r="2" spans="1:14">
      <c r="A2" s="14" t="s">
        <v>68</v>
      </c>
      <c r="B2" s="14">
        <v>1200</v>
      </c>
      <c r="C2" s="16">
        <v>2.5849349244000002</v>
      </c>
      <c r="D2" s="15">
        <v>0.38900000000000001</v>
      </c>
      <c r="E2" s="15">
        <v>46.66</v>
      </c>
      <c r="F2" s="15">
        <v>2.23</v>
      </c>
      <c r="G2" s="15">
        <v>0.316</v>
      </c>
      <c r="H2" s="14">
        <v>1</v>
      </c>
      <c r="I2" s="15">
        <f>F2</f>
        <v>2.23</v>
      </c>
      <c r="J2" s="15">
        <f>G2</f>
        <v>0.316</v>
      </c>
      <c r="K2" s="14">
        <v>447612</v>
      </c>
      <c r="L2" s="14">
        <f>ROUND(E2*D2*C2*102.79,0)</f>
        <v>4823</v>
      </c>
      <c r="M2" s="14">
        <f>ROUND(I2*L2*0.002205,0)</f>
        <v>24</v>
      </c>
      <c r="N2" s="19">
        <f>ROUND(J2*L2*0.002205,1)</f>
        <v>3.4</v>
      </c>
    </row>
    <row r="3" spans="1:14">
      <c r="A3" s="14" t="s">
        <v>68</v>
      </c>
      <c r="B3" s="14">
        <v>1400</v>
      </c>
      <c r="C3" s="16">
        <v>0.17399212950000001</v>
      </c>
      <c r="D3" s="15">
        <v>0.88800000000000001</v>
      </c>
      <c r="E3" s="15">
        <v>46.66</v>
      </c>
      <c r="F3" s="15">
        <v>1.93</v>
      </c>
      <c r="G3" s="15">
        <v>0.497</v>
      </c>
      <c r="H3" s="14">
        <v>1</v>
      </c>
      <c r="I3" s="15">
        <f t="shared" ref="I3:I8" si="0">F3</f>
        <v>1.93</v>
      </c>
      <c r="J3" s="15">
        <f t="shared" ref="J3:J8" si="1">G3</f>
        <v>0.497</v>
      </c>
      <c r="K3" s="14">
        <v>6933</v>
      </c>
      <c r="L3" s="14">
        <f t="shared" ref="L3:L8" si="2">ROUND(E3*D3*C3*102.79,0)</f>
        <v>741</v>
      </c>
      <c r="M3" s="14">
        <f t="shared" ref="M3:M8" si="3">ROUND(I3*L3*0.002205,0)</f>
        <v>3</v>
      </c>
      <c r="N3" s="19">
        <f t="shared" ref="N3:N8" si="4">ROUND(J3*L3*0.002205,1)</f>
        <v>0.8</v>
      </c>
    </row>
    <row r="4" spans="1:14">
      <c r="A4" s="14" t="s">
        <v>68</v>
      </c>
      <c r="B4" s="14">
        <v>1200</v>
      </c>
      <c r="C4" s="16">
        <v>1.8902854839000001</v>
      </c>
      <c r="D4" s="15">
        <v>0.22</v>
      </c>
      <c r="E4" s="15">
        <v>46.66</v>
      </c>
      <c r="F4" s="15">
        <v>2.23</v>
      </c>
      <c r="G4" s="15">
        <v>0.316</v>
      </c>
      <c r="H4" s="14">
        <v>1</v>
      </c>
      <c r="I4" s="15">
        <f t="shared" si="0"/>
        <v>2.23</v>
      </c>
      <c r="J4" s="15">
        <f t="shared" si="1"/>
        <v>0.316</v>
      </c>
      <c r="K4" s="14">
        <v>699</v>
      </c>
      <c r="L4" s="14">
        <f t="shared" si="2"/>
        <v>1995</v>
      </c>
      <c r="M4" s="14">
        <f t="shared" si="3"/>
        <v>10</v>
      </c>
      <c r="N4" s="19">
        <f t="shared" si="4"/>
        <v>1.4</v>
      </c>
    </row>
    <row r="5" spans="1:14">
      <c r="A5" s="14" t="s">
        <v>68</v>
      </c>
      <c r="B5" s="14">
        <v>1400</v>
      </c>
      <c r="C5" s="16">
        <v>0.87051480079999999</v>
      </c>
      <c r="D5" s="15">
        <v>0.88600000000000001</v>
      </c>
      <c r="E5" s="15">
        <v>46.66</v>
      </c>
      <c r="F5" s="15">
        <v>1.93</v>
      </c>
      <c r="G5" s="15">
        <v>0.497</v>
      </c>
      <c r="H5" s="14">
        <v>1</v>
      </c>
      <c r="I5" s="15">
        <f t="shared" si="0"/>
        <v>1.93</v>
      </c>
      <c r="J5" s="15">
        <f t="shared" si="1"/>
        <v>0.497</v>
      </c>
      <c r="K5" s="14">
        <v>2495</v>
      </c>
      <c r="L5" s="14">
        <f t="shared" si="2"/>
        <v>3699</v>
      </c>
      <c r="M5" s="14">
        <f t="shared" si="3"/>
        <v>16</v>
      </c>
      <c r="N5" s="19">
        <f t="shared" si="4"/>
        <v>4.0999999999999996</v>
      </c>
    </row>
    <row r="6" spans="1:14">
      <c r="A6" s="14" t="s">
        <v>68</v>
      </c>
      <c r="B6" s="14">
        <v>1300</v>
      </c>
      <c r="C6" s="16">
        <v>5.9441525766999996</v>
      </c>
      <c r="D6" s="15">
        <v>0.63100000000000001</v>
      </c>
      <c r="E6" s="15">
        <v>46.66</v>
      </c>
      <c r="F6" s="15">
        <v>2.1</v>
      </c>
      <c r="G6" s="15">
        <v>0.51600000000000001</v>
      </c>
      <c r="H6" s="14">
        <v>1</v>
      </c>
      <c r="I6" s="15">
        <f t="shared" si="0"/>
        <v>2.1</v>
      </c>
      <c r="J6" s="15">
        <f t="shared" si="1"/>
        <v>0.51600000000000001</v>
      </c>
      <c r="K6" s="14">
        <v>11866</v>
      </c>
      <c r="L6" s="14">
        <f t="shared" si="2"/>
        <v>17989</v>
      </c>
      <c r="M6" s="14">
        <f t="shared" si="3"/>
        <v>83</v>
      </c>
      <c r="N6" s="19">
        <f t="shared" si="4"/>
        <v>20.5</v>
      </c>
    </row>
    <row r="7" spans="1:14">
      <c r="A7" s="14" t="s">
        <v>68</v>
      </c>
      <c r="B7" s="14">
        <v>1300</v>
      </c>
      <c r="C7" s="16">
        <v>4.8831727200000001E-2</v>
      </c>
      <c r="D7" s="15">
        <v>0.69199999999999995</v>
      </c>
      <c r="E7" s="15">
        <v>46.66</v>
      </c>
      <c r="F7" s="15">
        <v>2.1</v>
      </c>
      <c r="G7" s="15">
        <v>0.51600000000000001</v>
      </c>
      <c r="H7" s="14">
        <v>1</v>
      </c>
      <c r="I7" s="15">
        <f t="shared" si="0"/>
        <v>2.1</v>
      </c>
      <c r="J7" s="15">
        <f t="shared" si="1"/>
        <v>0.51600000000000001</v>
      </c>
      <c r="K7" s="14">
        <v>192</v>
      </c>
      <c r="L7" s="14">
        <f t="shared" si="2"/>
        <v>162</v>
      </c>
      <c r="M7" s="14">
        <f t="shared" si="3"/>
        <v>1</v>
      </c>
      <c r="N7" s="19">
        <f t="shared" si="4"/>
        <v>0.2</v>
      </c>
    </row>
    <row r="8" spans="1:14">
      <c r="A8" s="14" t="s">
        <v>68</v>
      </c>
      <c r="B8" s="14">
        <v>1700</v>
      </c>
      <c r="C8" s="16">
        <v>1.376250878</v>
      </c>
      <c r="D8" s="15">
        <v>0.78600000000000003</v>
      </c>
      <c r="E8" s="15">
        <v>46.66</v>
      </c>
      <c r="F8" s="15">
        <v>1.8</v>
      </c>
      <c r="G8" s="15">
        <v>0.47799999999999998</v>
      </c>
      <c r="H8" s="14">
        <v>1</v>
      </c>
      <c r="I8" s="15">
        <f t="shared" si="0"/>
        <v>1.8</v>
      </c>
      <c r="J8" s="15">
        <f t="shared" si="1"/>
        <v>0.47799999999999998</v>
      </c>
      <c r="K8" s="14">
        <v>3638</v>
      </c>
      <c r="L8" s="14">
        <f t="shared" si="2"/>
        <v>5188</v>
      </c>
      <c r="M8" s="14">
        <f t="shared" si="3"/>
        <v>21</v>
      </c>
      <c r="N8" s="19">
        <f t="shared" si="4"/>
        <v>5.5</v>
      </c>
    </row>
    <row r="9" spans="1:14">
      <c r="C9" s="16">
        <f>SUM(C2:C8)</f>
        <v>12.8889625205</v>
      </c>
      <c r="M9" s="14">
        <f>SUM(M2:M8)</f>
        <v>158</v>
      </c>
      <c r="N9" s="19">
        <f>SUM(N2:N8)</f>
        <v>35.9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N7"/>
  <sheetViews>
    <sheetView workbookViewId="0">
      <selection activeCell="L1" sqref="L1:N2"/>
    </sheetView>
  </sheetViews>
  <sheetFormatPr defaultRowHeight="15"/>
  <cols>
    <col min="1" max="1" width="14.28515625" style="14" bestFit="1" customWidth="1"/>
    <col min="2" max="2" width="7.85546875" style="14" bestFit="1" customWidth="1"/>
    <col min="3" max="3" width="13.7109375" style="16" bestFit="1" customWidth="1"/>
    <col min="4" max="4" width="13.7109375" style="15" customWidth="1"/>
    <col min="5" max="5" width="14.7109375" style="15" bestFit="1" customWidth="1"/>
    <col min="6" max="7" width="13.7109375" style="15" customWidth="1"/>
    <col min="8" max="8" width="11.140625" style="14" bestFit="1" customWidth="1"/>
    <col min="9" max="10" width="13.7109375" style="15" customWidth="1"/>
    <col min="11" max="11" width="12.28515625" style="14" bestFit="1" customWidth="1"/>
    <col min="12" max="12" width="14.42578125" customWidth="1"/>
  </cols>
  <sheetData>
    <row r="1" spans="1:14" ht="30">
      <c r="A1" s="14" t="s">
        <v>67</v>
      </c>
      <c r="B1" s="14" t="s">
        <v>46</v>
      </c>
      <c r="C1" s="16" t="s">
        <v>53</v>
      </c>
      <c r="D1" s="15" t="s">
        <v>47</v>
      </c>
      <c r="E1" s="15" t="s">
        <v>52</v>
      </c>
      <c r="F1" s="15" t="s">
        <v>48</v>
      </c>
      <c r="G1" s="15" t="s">
        <v>49</v>
      </c>
      <c r="H1" s="14" t="s">
        <v>51</v>
      </c>
      <c r="I1" s="15" t="s">
        <v>55</v>
      </c>
      <c r="J1" s="15" t="s">
        <v>56</v>
      </c>
      <c r="K1" s="14" t="s">
        <v>50</v>
      </c>
      <c r="L1" s="18" t="s">
        <v>57</v>
      </c>
      <c r="M1" s="18" t="s">
        <v>58</v>
      </c>
      <c r="N1" s="18" t="s">
        <v>59</v>
      </c>
    </row>
    <row r="2" spans="1:14">
      <c r="A2" s="14" t="s">
        <v>68</v>
      </c>
      <c r="B2" s="14">
        <v>1200</v>
      </c>
      <c r="C2" s="16">
        <v>7.7483691818000002</v>
      </c>
      <c r="D2" s="15">
        <v>0.38900000000000001</v>
      </c>
      <c r="E2" s="15">
        <v>46.66</v>
      </c>
      <c r="F2" s="15">
        <v>2.23</v>
      </c>
      <c r="G2" s="15">
        <v>0.316</v>
      </c>
      <c r="H2" s="14">
        <v>1</v>
      </c>
      <c r="I2" s="15">
        <f>F2</f>
        <v>2.23</v>
      </c>
      <c r="J2" s="15">
        <f>G2</f>
        <v>0.316</v>
      </c>
      <c r="K2" s="14">
        <v>447612</v>
      </c>
      <c r="L2" s="14">
        <f>ROUND(E2*D2*C2*102.79,0)</f>
        <v>14456</v>
      </c>
      <c r="M2" s="14">
        <f>ROUND(I2*L2*0.002205,0)</f>
        <v>71</v>
      </c>
      <c r="N2" s="19">
        <f>ROUND(J2*L2*0.002205,1)</f>
        <v>10.1</v>
      </c>
    </row>
    <row r="3" spans="1:14">
      <c r="A3" s="14" t="s">
        <v>68</v>
      </c>
      <c r="B3" s="14">
        <v>1200</v>
      </c>
      <c r="C3" s="16">
        <v>0.32999979730000001</v>
      </c>
      <c r="D3" s="15">
        <v>0.22</v>
      </c>
      <c r="E3" s="15">
        <v>46.66</v>
      </c>
      <c r="F3" s="15">
        <v>2.23</v>
      </c>
      <c r="G3" s="15">
        <v>0.316</v>
      </c>
      <c r="H3" s="14">
        <v>1</v>
      </c>
      <c r="I3" s="15">
        <f t="shared" ref="I3:I6" si="0">F3</f>
        <v>2.23</v>
      </c>
      <c r="J3" s="15">
        <f t="shared" ref="J3:J6" si="1">G3</f>
        <v>0.316</v>
      </c>
      <c r="K3" s="14">
        <v>347</v>
      </c>
      <c r="L3" s="14">
        <f t="shared" ref="L3:L6" si="2">ROUND(E3*D3*C3*102.79,0)</f>
        <v>348</v>
      </c>
      <c r="M3" s="14">
        <f t="shared" ref="M3:M6" si="3">ROUND(I3*L3*0.002205,0)</f>
        <v>2</v>
      </c>
      <c r="N3" s="19">
        <f t="shared" ref="N3:N6" si="4">ROUND(J3*L3*0.002205,1)</f>
        <v>0.2</v>
      </c>
    </row>
    <row r="4" spans="1:14">
      <c r="A4" s="14" t="s">
        <v>68</v>
      </c>
      <c r="B4" s="14">
        <v>1300</v>
      </c>
      <c r="C4" s="16">
        <v>3.1151270993</v>
      </c>
      <c r="D4" s="15">
        <v>0.63100000000000001</v>
      </c>
      <c r="E4" s="15">
        <v>46.66</v>
      </c>
      <c r="F4" s="15">
        <v>2.1</v>
      </c>
      <c r="G4" s="15">
        <v>0.51600000000000001</v>
      </c>
      <c r="H4" s="14">
        <v>1</v>
      </c>
      <c r="I4" s="15">
        <f t="shared" si="0"/>
        <v>2.1</v>
      </c>
      <c r="J4" s="15">
        <f t="shared" si="1"/>
        <v>0.51600000000000001</v>
      </c>
      <c r="K4" s="14">
        <v>11866</v>
      </c>
      <c r="L4" s="14">
        <f t="shared" si="2"/>
        <v>9428</v>
      </c>
      <c r="M4" s="14">
        <f t="shared" si="3"/>
        <v>44</v>
      </c>
      <c r="N4" s="19">
        <f t="shared" si="4"/>
        <v>10.7</v>
      </c>
    </row>
    <row r="5" spans="1:14">
      <c r="A5" s="14" t="s">
        <v>68</v>
      </c>
      <c r="B5" s="14">
        <v>1300</v>
      </c>
      <c r="C5" s="16">
        <v>0.1159637063</v>
      </c>
      <c r="D5" s="15">
        <v>0.69199999999999995</v>
      </c>
      <c r="E5" s="15">
        <v>46.66</v>
      </c>
      <c r="F5" s="15">
        <v>2.1</v>
      </c>
      <c r="G5" s="15">
        <v>0.51600000000000001</v>
      </c>
      <c r="H5" s="14">
        <v>1</v>
      </c>
      <c r="I5" s="15">
        <f t="shared" si="0"/>
        <v>2.1</v>
      </c>
      <c r="J5" s="15">
        <f t="shared" si="1"/>
        <v>0.51600000000000001</v>
      </c>
      <c r="K5" s="14">
        <v>192</v>
      </c>
      <c r="L5" s="14">
        <f t="shared" si="2"/>
        <v>385</v>
      </c>
      <c r="M5" s="14">
        <f t="shared" si="3"/>
        <v>2</v>
      </c>
      <c r="N5" s="19">
        <f t="shared" si="4"/>
        <v>0.4</v>
      </c>
    </row>
    <row r="6" spans="1:14">
      <c r="A6" s="14" t="s">
        <v>68</v>
      </c>
      <c r="B6" s="14">
        <v>1700</v>
      </c>
      <c r="C6" s="16">
        <v>1.4424151209</v>
      </c>
      <c r="D6" s="15">
        <v>0.78600000000000003</v>
      </c>
      <c r="E6" s="15">
        <v>46.66</v>
      </c>
      <c r="F6" s="15">
        <v>1.8</v>
      </c>
      <c r="G6" s="15">
        <v>0.47799999999999998</v>
      </c>
      <c r="H6" s="14">
        <v>1</v>
      </c>
      <c r="I6" s="15">
        <f t="shared" si="0"/>
        <v>1.8</v>
      </c>
      <c r="J6" s="15">
        <f t="shared" si="1"/>
        <v>0.47799999999999998</v>
      </c>
      <c r="K6" s="14">
        <v>3638</v>
      </c>
      <c r="L6" s="14">
        <f t="shared" si="2"/>
        <v>5438</v>
      </c>
      <c r="M6" s="14">
        <f t="shared" si="3"/>
        <v>22</v>
      </c>
      <c r="N6" s="19">
        <f t="shared" si="4"/>
        <v>5.7</v>
      </c>
    </row>
    <row r="7" spans="1:14">
      <c r="C7" s="16">
        <f>SUM(C2:C6)</f>
        <v>12.751874905600001</v>
      </c>
      <c r="M7" s="14">
        <f>SUM(M2:M6)</f>
        <v>141</v>
      </c>
      <c r="N7" s="19">
        <f>SUM(N2:N6)</f>
        <v>27.099999999999998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N6"/>
  <sheetViews>
    <sheetView workbookViewId="0">
      <selection activeCell="L1" sqref="L1:N2"/>
    </sheetView>
  </sheetViews>
  <sheetFormatPr defaultRowHeight="15"/>
  <cols>
    <col min="1" max="1" width="14.28515625" style="14" bestFit="1" customWidth="1"/>
    <col min="2" max="2" width="7.85546875" style="14" bestFit="1" customWidth="1"/>
    <col min="3" max="3" width="13.7109375" style="16" bestFit="1" customWidth="1"/>
    <col min="4" max="4" width="13.7109375" style="15" customWidth="1"/>
    <col min="5" max="5" width="14.7109375" style="15" bestFit="1" customWidth="1"/>
    <col min="6" max="7" width="13.7109375" style="15" customWidth="1"/>
    <col min="8" max="8" width="11.140625" style="14" bestFit="1" customWidth="1"/>
    <col min="9" max="10" width="13.7109375" style="15" customWidth="1"/>
    <col min="11" max="11" width="12.28515625" style="14" bestFit="1" customWidth="1"/>
    <col min="12" max="12" width="14" customWidth="1"/>
  </cols>
  <sheetData>
    <row r="1" spans="1:14" ht="30">
      <c r="A1" s="14" t="s">
        <v>67</v>
      </c>
      <c r="B1" s="14" t="s">
        <v>46</v>
      </c>
      <c r="C1" s="16" t="s">
        <v>53</v>
      </c>
      <c r="D1" s="15" t="s">
        <v>47</v>
      </c>
      <c r="E1" s="15" t="s">
        <v>52</v>
      </c>
      <c r="F1" s="15" t="s">
        <v>48</v>
      </c>
      <c r="G1" s="15" t="s">
        <v>49</v>
      </c>
      <c r="H1" s="14" t="s">
        <v>51</v>
      </c>
      <c r="I1" s="15" t="s">
        <v>55</v>
      </c>
      <c r="J1" s="15" t="s">
        <v>56</v>
      </c>
      <c r="K1" s="14" t="s">
        <v>50</v>
      </c>
      <c r="L1" s="18" t="s">
        <v>57</v>
      </c>
      <c r="M1" s="18" t="s">
        <v>58</v>
      </c>
      <c r="N1" s="18" t="s">
        <v>59</v>
      </c>
    </row>
    <row r="2" spans="1:14">
      <c r="A2" s="14" t="s">
        <v>68</v>
      </c>
      <c r="B2" s="14">
        <v>1200</v>
      </c>
      <c r="C2" s="16">
        <v>19.305770008</v>
      </c>
      <c r="D2" s="15">
        <v>0.38900000000000001</v>
      </c>
      <c r="E2" s="15">
        <v>46.66</v>
      </c>
      <c r="F2" s="15">
        <v>2.23</v>
      </c>
      <c r="G2" s="15">
        <v>0.316</v>
      </c>
      <c r="H2" s="14">
        <v>1</v>
      </c>
      <c r="I2" s="15">
        <f>F2</f>
        <v>2.23</v>
      </c>
      <c r="J2" s="15">
        <f>G2</f>
        <v>0.316</v>
      </c>
      <c r="K2" s="14">
        <v>447612</v>
      </c>
      <c r="L2" s="14">
        <f>ROUND(E2*D2*C2*102.79,0)</f>
        <v>36019</v>
      </c>
      <c r="M2" s="14">
        <f>ROUND(I2*L2*0.002205,0)</f>
        <v>177</v>
      </c>
      <c r="N2" s="19">
        <f>ROUND(J2*L2*0.002205,1)</f>
        <v>25.1</v>
      </c>
    </row>
    <row r="3" spans="1:14">
      <c r="A3" s="14" t="s">
        <v>68</v>
      </c>
      <c r="B3" s="14">
        <v>1300</v>
      </c>
      <c r="C3" s="16">
        <v>0.2032684183</v>
      </c>
      <c r="D3" s="15">
        <v>0.63100000000000001</v>
      </c>
      <c r="E3" s="15">
        <v>46.66</v>
      </c>
      <c r="F3" s="15">
        <v>2.1</v>
      </c>
      <c r="G3" s="15">
        <v>0.51600000000000001</v>
      </c>
      <c r="H3" s="14">
        <v>1</v>
      </c>
      <c r="I3" s="15">
        <f t="shared" ref="I3:I5" si="0">F3</f>
        <v>2.1</v>
      </c>
      <c r="J3" s="15">
        <f t="shared" ref="J3:J5" si="1">G3</f>
        <v>0.51600000000000001</v>
      </c>
      <c r="K3" s="14">
        <v>12240</v>
      </c>
      <c r="L3" s="14">
        <f t="shared" ref="L3:L5" si="2">ROUND(E3*D3*C3*102.79,0)</f>
        <v>615</v>
      </c>
      <c r="M3" s="14">
        <f t="shared" ref="M3:M5" si="3">ROUND(I3*L3*0.002205,0)</f>
        <v>3</v>
      </c>
      <c r="N3" s="19">
        <f t="shared" ref="N3:N5" si="4">ROUND(J3*L3*0.002205,1)</f>
        <v>0.7</v>
      </c>
    </row>
    <row r="4" spans="1:14">
      <c r="A4" s="14" t="s">
        <v>68</v>
      </c>
      <c r="B4" s="14">
        <v>1300</v>
      </c>
      <c r="C4" s="16">
        <v>2.55231026E-2</v>
      </c>
      <c r="D4" s="15">
        <v>0.69199999999999995</v>
      </c>
      <c r="E4" s="15">
        <v>46.66</v>
      </c>
      <c r="F4" s="15">
        <v>2.1</v>
      </c>
      <c r="G4" s="15">
        <v>0.51600000000000001</v>
      </c>
      <c r="H4" s="14">
        <v>1</v>
      </c>
      <c r="I4" s="15">
        <f t="shared" si="0"/>
        <v>2.1</v>
      </c>
      <c r="J4" s="15">
        <f t="shared" si="1"/>
        <v>0.51600000000000001</v>
      </c>
      <c r="K4" s="14">
        <v>686</v>
      </c>
      <c r="L4" s="14">
        <f t="shared" si="2"/>
        <v>85</v>
      </c>
      <c r="M4" s="14">
        <f t="shared" si="3"/>
        <v>0</v>
      </c>
      <c r="N4" s="19">
        <f t="shared" si="4"/>
        <v>0.1</v>
      </c>
    </row>
    <row r="5" spans="1:14">
      <c r="A5" s="14" t="s">
        <v>68</v>
      </c>
      <c r="B5" s="14">
        <v>1200</v>
      </c>
      <c r="C5" s="16">
        <v>0.21434071169999999</v>
      </c>
      <c r="D5" s="15">
        <v>0.22</v>
      </c>
      <c r="E5" s="15">
        <v>46.66</v>
      </c>
      <c r="F5" s="15">
        <v>2.23</v>
      </c>
      <c r="G5" s="15">
        <v>0.316</v>
      </c>
      <c r="H5" s="14">
        <v>1</v>
      </c>
      <c r="I5" s="15">
        <f t="shared" si="0"/>
        <v>2.23</v>
      </c>
      <c r="J5" s="15">
        <f t="shared" si="1"/>
        <v>0.316</v>
      </c>
      <c r="K5" s="14">
        <v>314</v>
      </c>
      <c r="L5" s="14">
        <f t="shared" si="2"/>
        <v>226</v>
      </c>
      <c r="M5" s="14">
        <f t="shared" si="3"/>
        <v>1</v>
      </c>
      <c r="N5" s="19">
        <f t="shared" si="4"/>
        <v>0.2</v>
      </c>
    </row>
    <row r="6" spans="1:14">
      <c r="C6" s="16">
        <f>SUM(C2:C5)</f>
        <v>19.7489022406</v>
      </c>
      <c r="M6" s="14">
        <f>SUM(M2:M5)</f>
        <v>181</v>
      </c>
      <c r="N6" s="19">
        <f>SUM(N2:N5)</f>
        <v>26.1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N16"/>
  <sheetViews>
    <sheetView workbookViewId="0">
      <selection activeCell="L1" sqref="L1:N2"/>
    </sheetView>
  </sheetViews>
  <sheetFormatPr defaultRowHeight="15"/>
  <cols>
    <col min="1" max="1" width="14.28515625" style="14" bestFit="1" customWidth="1"/>
    <col min="2" max="2" width="7.85546875" style="14" bestFit="1" customWidth="1"/>
    <col min="3" max="3" width="13.7109375" style="16" bestFit="1" customWidth="1"/>
    <col min="4" max="4" width="13.7109375" style="15" customWidth="1"/>
    <col min="5" max="5" width="14.7109375" style="15" bestFit="1" customWidth="1"/>
    <col min="6" max="7" width="13.7109375" style="15" customWidth="1"/>
    <col min="8" max="8" width="11.140625" style="14" bestFit="1" customWidth="1"/>
    <col min="9" max="10" width="13.7109375" style="15" customWidth="1"/>
    <col min="11" max="11" width="12.28515625" style="14" bestFit="1" customWidth="1"/>
    <col min="12" max="12" width="14" customWidth="1"/>
  </cols>
  <sheetData>
    <row r="1" spans="1:14" ht="30">
      <c r="A1" s="14" t="s">
        <v>67</v>
      </c>
      <c r="B1" s="14" t="s">
        <v>46</v>
      </c>
      <c r="C1" s="16" t="s">
        <v>53</v>
      </c>
      <c r="D1" s="15" t="s">
        <v>47</v>
      </c>
      <c r="E1" s="15" t="s">
        <v>52</v>
      </c>
      <c r="F1" s="15" t="s">
        <v>48</v>
      </c>
      <c r="G1" s="15" t="s">
        <v>49</v>
      </c>
      <c r="H1" s="14" t="s">
        <v>51</v>
      </c>
      <c r="I1" s="15" t="s">
        <v>55</v>
      </c>
      <c r="J1" s="15" t="s">
        <v>56</v>
      </c>
      <c r="K1" s="14" t="s">
        <v>50</v>
      </c>
      <c r="L1" s="18" t="s">
        <v>57</v>
      </c>
      <c r="M1" s="18" t="s">
        <v>58</v>
      </c>
      <c r="N1" s="18" t="s">
        <v>59</v>
      </c>
    </row>
    <row r="2" spans="1:14">
      <c r="A2" s="14" t="s">
        <v>68</v>
      </c>
      <c r="B2" s="14">
        <v>1200</v>
      </c>
      <c r="C2" s="16">
        <v>4.9731092149</v>
      </c>
      <c r="D2" s="15">
        <v>0.38900000000000001</v>
      </c>
      <c r="E2" s="15">
        <v>46.66</v>
      </c>
      <c r="F2" s="15">
        <v>2.23</v>
      </c>
      <c r="G2" s="15">
        <v>0.316</v>
      </c>
      <c r="H2" s="14">
        <v>1</v>
      </c>
      <c r="I2" s="15">
        <f>F2</f>
        <v>2.23</v>
      </c>
      <c r="J2" s="15">
        <f>G2</f>
        <v>0.316</v>
      </c>
      <c r="K2" s="14">
        <v>447612</v>
      </c>
      <c r="L2" s="14">
        <f>ROUND(E2*D2*C2*102.79,0)</f>
        <v>9278</v>
      </c>
      <c r="M2" s="14">
        <f>ROUND(I2*L2*0.002205,0)</f>
        <v>46</v>
      </c>
      <c r="N2" s="19">
        <f>ROUND(J2*L2*0.002205,1)</f>
        <v>6.5</v>
      </c>
    </row>
    <row r="3" spans="1:14">
      <c r="A3" s="14" t="s">
        <v>68</v>
      </c>
      <c r="B3" s="14">
        <v>1400</v>
      </c>
      <c r="C3" s="16">
        <v>9.9873185E-3</v>
      </c>
      <c r="D3" s="15">
        <v>0.88600000000000001</v>
      </c>
      <c r="E3" s="15">
        <v>46.66</v>
      </c>
      <c r="F3" s="15">
        <v>1.93</v>
      </c>
      <c r="G3" s="15">
        <v>0.497</v>
      </c>
      <c r="H3" s="14">
        <v>1</v>
      </c>
      <c r="I3" s="15">
        <f t="shared" ref="I3:I11" si="0">F3</f>
        <v>1.93</v>
      </c>
      <c r="J3" s="15">
        <f t="shared" ref="J3:J11" si="1">G3</f>
        <v>0.497</v>
      </c>
      <c r="K3" s="14">
        <v>2495</v>
      </c>
      <c r="L3" s="14">
        <f t="shared" ref="L3:L15" si="2">ROUND(E3*D3*C3*102.79,0)</f>
        <v>42</v>
      </c>
      <c r="M3" s="14">
        <f t="shared" ref="M3:M15" si="3">ROUND(I3*L3*0.002205,0)</f>
        <v>0</v>
      </c>
      <c r="N3" s="19">
        <f t="shared" ref="N3:N15" si="4">ROUND(J3*L3*0.002205,1)</f>
        <v>0</v>
      </c>
    </row>
    <row r="4" spans="1:14">
      <c r="A4" s="14" t="s">
        <v>68</v>
      </c>
      <c r="B4" s="14">
        <v>1400</v>
      </c>
      <c r="C4" s="16">
        <v>0.4601098709</v>
      </c>
      <c r="D4" s="15">
        <v>0.88800000000000001</v>
      </c>
      <c r="E4" s="15">
        <v>46.66</v>
      </c>
      <c r="F4" s="15">
        <v>1.93</v>
      </c>
      <c r="G4" s="15">
        <v>0.497</v>
      </c>
      <c r="H4" s="14">
        <v>1</v>
      </c>
      <c r="I4" s="15">
        <f t="shared" si="0"/>
        <v>1.93</v>
      </c>
      <c r="J4" s="15">
        <f t="shared" si="1"/>
        <v>0.497</v>
      </c>
      <c r="K4" s="14">
        <v>856</v>
      </c>
      <c r="L4" s="14">
        <f t="shared" si="2"/>
        <v>1960</v>
      </c>
      <c r="M4" s="14">
        <f t="shared" si="3"/>
        <v>8</v>
      </c>
      <c r="N4" s="19">
        <f t="shared" si="4"/>
        <v>2.1</v>
      </c>
    </row>
    <row r="5" spans="1:14">
      <c r="A5" s="14" t="s">
        <v>68</v>
      </c>
      <c r="B5" s="14">
        <v>1200</v>
      </c>
      <c r="C5" s="16">
        <v>0.6072685605</v>
      </c>
      <c r="D5" s="15">
        <v>0.22</v>
      </c>
      <c r="E5" s="15">
        <v>46.66</v>
      </c>
      <c r="F5" s="15">
        <v>2.23</v>
      </c>
      <c r="G5" s="15">
        <v>0.316</v>
      </c>
      <c r="H5" s="14">
        <v>1</v>
      </c>
      <c r="I5" s="15">
        <f t="shared" si="0"/>
        <v>2.23</v>
      </c>
      <c r="J5" s="15">
        <f t="shared" si="1"/>
        <v>0.316</v>
      </c>
      <c r="K5" s="14">
        <v>347</v>
      </c>
      <c r="L5" s="14">
        <f t="shared" si="2"/>
        <v>641</v>
      </c>
      <c r="M5" s="14">
        <f t="shared" si="3"/>
        <v>3</v>
      </c>
      <c r="N5" s="19">
        <f t="shared" si="4"/>
        <v>0.4</v>
      </c>
    </row>
    <row r="6" spans="1:14">
      <c r="A6" s="14" t="s">
        <v>68</v>
      </c>
      <c r="B6" s="14">
        <v>1400</v>
      </c>
      <c r="C6" s="16">
        <v>1.4666429011</v>
      </c>
      <c r="D6" s="15">
        <v>0.88600000000000001</v>
      </c>
      <c r="E6" s="15">
        <v>46.66</v>
      </c>
      <c r="F6" s="15">
        <v>1.93</v>
      </c>
      <c r="G6" s="15">
        <v>0.497</v>
      </c>
      <c r="H6" s="14">
        <v>1</v>
      </c>
      <c r="I6" s="15">
        <f t="shared" si="0"/>
        <v>1.93</v>
      </c>
      <c r="J6" s="15">
        <f t="shared" si="1"/>
        <v>0.497</v>
      </c>
      <c r="K6" s="14">
        <v>2868</v>
      </c>
      <c r="L6" s="14">
        <f t="shared" si="2"/>
        <v>6232</v>
      </c>
      <c r="M6" s="14">
        <f t="shared" si="3"/>
        <v>27</v>
      </c>
      <c r="N6" s="19">
        <f t="shared" si="4"/>
        <v>6.8</v>
      </c>
    </row>
    <row r="7" spans="1:14">
      <c r="A7" s="14" t="s">
        <v>68</v>
      </c>
      <c r="B7" s="14">
        <v>1200</v>
      </c>
      <c r="C7" s="16">
        <v>0.19321053299999999</v>
      </c>
      <c r="D7" s="15">
        <v>0.22</v>
      </c>
      <c r="E7" s="15">
        <v>46.66</v>
      </c>
      <c r="F7" s="15">
        <v>2.23</v>
      </c>
      <c r="G7" s="15">
        <v>0.316</v>
      </c>
      <c r="H7" s="14">
        <v>1</v>
      </c>
      <c r="I7" s="15">
        <f t="shared" si="0"/>
        <v>2.23</v>
      </c>
      <c r="J7" s="15">
        <f t="shared" si="1"/>
        <v>0.316</v>
      </c>
      <c r="K7" s="14">
        <v>71</v>
      </c>
      <c r="L7" s="14">
        <f t="shared" si="2"/>
        <v>204</v>
      </c>
      <c r="M7" s="14">
        <f t="shared" si="3"/>
        <v>1</v>
      </c>
      <c r="N7" s="19">
        <f t="shared" si="4"/>
        <v>0.1</v>
      </c>
    </row>
    <row r="8" spans="1:14">
      <c r="A8" s="14" t="s">
        <v>68</v>
      </c>
      <c r="B8" s="14">
        <v>1300</v>
      </c>
      <c r="C8" s="16">
        <v>2.9020688380999999</v>
      </c>
      <c r="D8" s="15">
        <v>0.63100000000000001</v>
      </c>
      <c r="E8" s="15">
        <v>46.66</v>
      </c>
      <c r="F8" s="15">
        <v>2.1</v>
      </c>
      <c r="G8" s="15">
        <v>0.51600000000000001</v>
      </c>
      <c r="H8" s="14">
        <v>1</v>
      </c>
      <c r="I8" s="15">
        <f t="shared" si="0"/>
        <v>2.1</v>
      </c>
      <c r="J8" s="15">
        <f t="shared" si="1"/>
        <v>0.51600000000000001</v>
      </c>
      <c r="K8" s="14">
        <v>12240</v>
      </c>
      <c r="L8" s="14">
        <f t="shared" si="2"/>
        <v>8783</v>
      </c>
      <c r="M8" s="14">
        <f t="shared" si="3"/>
        <v>41</v>
      </c>
      <c r="N8" s="19">
        <f t="shared" si="4"/>
        <v>10</v>
      </c>
    </row>
    <row r="9" spans="1:14">
      <c r="A9" s="14" t="s">
        <v>68</v>
      </c>
      <c r="B9" s="14">
        <v>1300</v>
      </c>
      <c r="C9" s="16">
        <v>0.56398474809999999</v>
      </c>
      <c r="D9" s="15">
        <v>0.69199999999999995</v>
      </c>
      <c r="E9" s="15">
        <v>46.66</v>
      </c>
      <c r="F9" s="15">
        <v>2.1</v>
      </c>
      <c r="G9" s="15">
        <v>0.51600000000000001</v>
      </c>
      <c r="H9" s="14">
        <v>1</v>
      </c>
      <c r="I9" s="15">
        <f t="shared" si="0"/>
        <v>2.1</v>
      </c>
      <c r="J9" s="15">
        <f t="shared" si="1"/>
        <v>0.51600000000000001</v>
      </c>
      <c r="K9" s="14">
        <v>686</v>
      </c>
      <c r="L9" s="14">
        <f t="shared" si="2"/>
        <v>1872</v>
      </c>
      <c r="M9" s="14">
        <f t="shared" si="3"/>
        <v>9</v>
      </c>
      <c r="N9" s="19">
        <f t="shared" si="4"/>
        <v>2.1</v>
      </c>
    </row>
    <row r="10" spans="1:14">
      <c r="A10" s="14" t="s">
        <v>68</v>
      </c>
      <c r="B10" s="14">
        <v>1200</v>
      </c>
      <c r="C10" s="16">
        <v>2.79709273E-2</v>
      </c>
      <c r="D10" s="15">
        <v>0.22</v>
      </c>
      <c r="E10" s="15">
        <v>46.66</v>
      </c>
      <c r="F10" s="15">
        <v>2.23</v>
      </c>
      <c r="G10" s="15">
        <v>0.316</v>
      </c>
      <c r="H10" s="14">
        <v>1</v>
      </c>
      <c r="I10" s="15">
        <f t="shared" si="0"/>
        <v>2.23</v>
      </c>
      <c r="J10" s="15">
        <f t="shared" si="1"/>
        <v>0.316</v>
      </c>
      <c r="K10" s="14">
        <v>314</v>
      </c>
      <c r="L10" s="14">
        <f t="shared" si="2"/>
        <v>30</v>
      </c>
      <c r="M10" s="14">
        <f t="shared" si="3"/>
        <v>0</v>
      </c>
      <c r="N10" s="19">
        <f t="shared" si="4"/>
        <v>0</v>
      </c>
    </row>
    <row r="11" spans="1:14">
      <c r="A11" s="14" t="s">
        <v>68</v>
      </c>
      <c r="B11" s="14">
        <v>1300</v>
      </c>
      <c r="C11" s="16">
        <v>2.1301305527999999</v>
      </c>
      <c r="D11" s="15">
        <v>0.63100000000000001</v>
      </c>
      <c r="E11" s="15">
        <v>46.66</v>
      </c>
      <c r="F11" s="15">
        <v>2.1</v>
      </c>
      <c r="G11" s="15">
        <v>0.51600000000000001</v>
      </c>
      <c r="H11" s="14">
        <v>1</v>
      </c>
      <c r="I11" s="15">
        <f t="shared" si="0"/>
        <v>2.1</v>
      </c>
      <c r="J11" s="15">
        <f t="shared" si="1"/>
        <v>0.51600000000000001</v>
      </c>
      <c r="K11" s="14">
        <v>11866</v>
      </c>
      <c r="L11" s="14">
        <f t="shared" si="2"/>
        <v>6447</v>
      </c>
      <c r="M11" s="14">
        <f t="shared" si="3"/>
        <v>30</v>
      </c>
      <c r="N11" s="19">
        <f t="shared" si="4"/>
        <v>7.3</v>
      </c>
    </row>
    <row r="12" spans="1:14">
      <c r="A12" s="14" t="s">
        <v>68</v>
      </c>
      <c r="B12" s="14">
        <v>1400</v>
      </c>
      <c r="C12" s="16">
        <v>0.49703575830000002</v>
      </c>
      <c r="D12" s="15">
        <v>0.88600000000000001</v>
      </c>
      <c r="E12" s="15">
        <v>46.66</v>
      </c>
      <c r="F12" s="15">
        <v>1.93</v>
      </c>
      <c r="G12" s="15">
        <v>0.497</v>
      </c>
      <c r="H12" s="14">
        <v>0</v>
      </c>
      <c r="I12" s="15">
        <f>F12*0.7</f>
        <v>1.351</v>
      </c>
      <c r="J12" s="15">
        <f>G12*0.5</f>
        <v>0.2485</v>
      </c>
      <c r="K12" s="14">
        <v>1105</v>
      </c>
      <c r="L12" s="14">
        <f t="shared" si="2"/>
        <v>2112</v>
      </c>
      <c r="M12" s="14">
        <f t="shared" si="3"/>
        <v>6</v>
      </c>
      <c r="N12" s="19">
        <f t="shared" si="4"/>
        <v>1.2</v>
      </c>
    </row>
    <row r="13" spans="1:14">
      <c r="A13" s="14" t="s">
        <v>68</v>
      </c>
      <c r="B13" s="14">
        <v>1400</v>
      </c>
      <c r="C13" s="16">
        <v>6.00422569E-2</v>
      </c>
      <c r="D13" s="15">
        <v>0.88800000000000001</v>
      </c>
      <c r="E13" s="15">
        <v>46.66</v>
      </c>
      <c r="F13" s="15">
        <v>1.93</v>
      </c>
      <c r="G13" s="15">
        <v>0.497</v>
      </c>
      <c r="H13" s="14">
        <v>0</v>
      </c>
      <c r="I13" s="15">
        <f t="shared" ref="I13:I15" si="5">F13*0.7</f>
        <v>1.351</v>
      </c>
      <c r="J13" s="15">
        <f t="shared" ref="J13:J15" si="6">G13*0.5</f>
        <v>0.2485</v>
      </c>
      <c r="K13" s="14">
        <v>416</v>
      </c>
      <c r="L13" s="14">
        <f t="shared" si="2"/>
        <v>256</v>
      </c>
      <c r="M13" s="14">
        <f t="shared" si="3"/>
        <v>1</v>
      </c>
      <c r="N13" s="19">
        <f t="shared" si="4"/>
        <v>0.1</v>
      </c>
    </row>
    <row r="14" spans="1:14">
      <c r="A14" s="14" t="s">
        <v>68</v>
      </c>
      <c r="B14" s="14">
        <v>1200</v>
      </c>
      <c r="C14" s="16">
        <v>2.6451174000000001E-2</v>
      </c>
      <c r="D14" s="15">
        <v>0.22</v>
      </c>
      <c r="E14" s="15">
        <v>46.66</v>
      </c>
      <c r="F14" s="15">
        <v>2.23</v>
      </c>
      <c r="G14" s="15">
        <v>0.316</v>
      </c>
      <c r="H14" s="14">
        <v>0</v>
      </c>
      <c r="I14" s="15">
        <f t="shared" si="5"/>
        <v>1.5609999999999999</v>
      </c>
      <c r="J14" s="15">
        <f t="shared" si="6"/>
        <v>0.158</v>
      </c>
      <c r="K14" s="14">
        <v>10</v>
      </c>
      <c r="L14" s="14">
        <f t="shared" si="2"/>
        <v>28</v>
      </c>
      <c r="M14" s="14">
        <f t="shared" si="3"/>
        <v>0</v>
      </c>
      <c r="N14" s="19">
        <f t="shared" si="4"/>
        <v>0</v>
      </c>
    </row>
    <row r="15" spans="1:14">
      <c r="A15" s="14" t="s">
        <v>68</v>
      </c>
      <c r="B15" s="14">
        <v>1200</v>
      </c>
      <c r="C15" s="16">
        <v>0.2155238796</v>
      </c>
      <c r="D15" s="15">
        <v>0.38900000000000001</v>
      </c>
      <c r="E15" s="15">
        <v>46.66</v>
      </c>
      <c r="F15" s="15">
        <v>2.23</v>
      </c>
      <c r="G15" s="15">
        <v>0.316</v>
      </c>
      <c r="H15" s="14">
        <v>0</v>
      </c>
      <c r="I15" s="15">
        <f t="shared" si="5"/>
        <v>1.5609999999999999</v>
      </c>
      <c r="J15" s="15">
        <f t="shared" si="6"/>
        <v>0.158</v>
      </c>
      <c r="K15" s="14">
        <v>141</v>
      </c>
      <c r="L15" s="14">
        <f t="shared" si="2"/>
        <v>402</v>
      </c>
      <c r="M15" s="14">
        <f t="shared" si="3"/>
        <v>1</v>
      </c>
      <c r="N15" s="19">
        <f t="shared" si="4"/>
        <v>0.1</v>
      </c>
    </row>
    <row r="16" spans="1:14">
      <c r="C16" s="16">
        <f>SUM(C2:C15)</f>
        <v>14.133536533999997</v>
      </c>
      <c r="M16" s="14">
        <f>SUM(M2:M15)</f>
        <v>173</v>
      </c>
      <c r="N16" s="19">
        <f>SUM(N2:N15)</f>
        <v>36.700000000000003</v>
      </c>
    </row>
  </sheetData>
  <sortState ref="A2:L16">
    <sortCondition descending="1" ref="L1"/>
  </sortState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N66"/>
  <sheetViews>
    <sheetView workbookViewId="0">
      <pane ySplit="1" topLeftCell="A56" activePane="bottomLeft" state="frozen"/>
      <selection pane="bottomLeft" activeCell="L1" sqref="L1:N2"/>
    </sheetView>
  </sheetViews>
  <sheetFormatPr defaultRowHeight="15"/>
  <cols>
    <col min="1" max="1" width="14.28515625" style="14" bestFit="1" customWidth="1"/>
    <col min="2" max="2" width="7.85546875" style="14" bestFit="1" customWidth="1"/>
    <col min="3" max="3" width="13.7109375" style="16" bestFit="1" customWidth="1"/>
    <col min="4" max="4" width="13.7109375" style="15" customWidth="1"/>
    <col min="5" max="5" width="14.7109375" style="15" bestFit="1" customWidth="1"/>
    <col min="6" max="7" width="13.7109375" style="15" customWidth="1"/>
    <col min="8" max="8" width="11.140625" style="14" bestFit="1" customWidth="1"/>
    <col min="9" max="10" width="13.7109375" style="15" customWidth="1"/>
    <col min="11" max="11" width="12.28515625" style="14" bestFit="1" customWidth="1"/>
    <col min="12" max="12" width="15.85546875" customWidth="1"/>
  </cols>
  <sheetData>
    <row r="1" spans="1:14" ht="30">
      <c r="A1" s="14" t="s">
        <v>67</v>
      </c>
      <c r="B1" s="14" t="s">
        <v>46</v>
      </c>
      <c r="C1" s="16" t="s">
        <v>53</v>
      </c>
      <c r="D1" s="15" t="s">
        <v>47</v>
      </c>
      <c r="E1" s="15" t="s">
        <v>52</v>
      </c>
      <c r="F1" s="15" t="s">
        <v>48</v>
      </c>
      <c r="G1" s="15" t="s">
        <v>49</v>
      </c>
      <c r="H1" s="14" t="s">
        <v>51</v>
      </c>
      <c r="I1" s="15" t="s">
        <v>55</v>
      </c>
      <c r="J1" s="15" t="s">
        <v>56</v>
      </c>
      <c r="K1" s="14" t="s">
        <v>50</v>
      </c>
      <c r="L1" s="18" t="s">
        <v>57</v>
      </c>
      <c r="M1" s="18" t="s">
        <v>58</v>
      </c>
      <c r="N1" s="18" t="s">
        <v>59</v>
      </c>
    </row>
    <row r="2" spans="1:14">
      <c r="A2" s="14" t="s">
        <v>68</v>
      </c>
      <c r="B2" s="14">
        <v>1300</v>
      </c>
      <c r="C2" s="16">
        <v>1.6171535469</v>
      </c>
      <c r="D2" s="15">
        <v>0.69199999999999995</v>
      </c>
      <c r="E2" s="15">
        <v>46.66</v>
      </c>
      <c r="F2" s="15">
        <v>2.1</v>
      </c>
      <c r="G2" s="15">
        <v>0.51600000000000001</v>
      </c>
      <c r="H2" s="14">
        <v>1</v>
      </c>
      <c r="I2" s="15">
        <f>F2</f>
        <v>2.1</v>
      </c>
      <c r="J2" s="15">
        <f>G2</f>
        <v>0.51600000000000001</v>
      </c>
      <c r="K2" s="14">
        <v>313358</v>
      </c>
      <c r="L2" s="14">
        <f>ROUND(E2*D2*C2*102.79,0)</f>
        <v>5367</v>
      </c>
      <c r="M2" s="14">
        <f>ROUND(I2*L2*0.002205,0)</f>
        <v>25</v>
      </c>
      <c r="N2" s="19">
        <f>ROUND(J2*L2*0.002205,1)</f>
        <v>6.1</v>
      </c>
    </row>
    <row r="3" spans="1:14">
      <c r="A3" s="14" t="s">
        <v>68</v>
      </c>
      <c r="B3" s="14">
        <v>1200</v>
      </c>
      <c r="C3" s="16">
        <v>0.59294125959999999</v>
      </c>
      <c r="D3" s="15">
        <v>0.38900000000000001</v>
      </c>
      <c r="E3" s="15">
        <v>46.66</v>
      </c>
      <c r="F3" s="15">
        <v>2.23</v>
      </c>
      <c r="G3" s="15">
        <v>0.316</v>
      </c>
      <c r="H3" s="14">
        <v>1</v>
      </c>
      <c r="I3" s="15">
        <f t="shared" ref="I3:I46" si="0">F3</f>
        <v>2.23</v>
      </c>
      <c r="J3" s="15">
        <f t="shared" ref="J3:J46" si="1">G3</f>
        <v>0.316</v>
      </c>
      <c r="K3" s="14">
        <v>70427</v>
      </c>
      <c r="L3" s="14">
        <f t="shared" ref="L3:L65" si="2">ROUND(E3*D3*C3*102.79,0)</f>
        <v>1106</v>
      </c>
      <c r="M3" s="14">
        <f t="shared" ref="M3:M65" si="3">ROUND(I3*L3*0.002205,0)</f>
        <v>5</v>
      </c>
      <c r="N3" s="19">
        <f t="shared" ref="N3:N65" si="4">ROUND(J3*L3*0.002205,1)</f>
        <v>0.8</v>
      </c>
    </row>
    <row r="4" spans="1:14">
      <c r="A4" s="14" t="s">
        <v>68</v>
      </c>
      <c r="B4" s="14">
        <v>8330</v>
      </c>
      <c r="C4" s="16">
        <v>1.296255E-4</v>
      </c>
      <c r="D4" s="15">
        <v>0.28599999999999998</v>
      </c>
      <c r="E4" s="15">
        <v>46.66</v>
      </c>
      <c r="F4" s="15">
        <v>1.77</v>
      </c>
      <c r="G4" s="15">
        <v>0.17699999999999999</v>
      </c>
      <c r="H4" s="14">
        <v>1</v>
      </c>
      <c r="I4" s="15">
        <f t="shared" si="0"/>
        <v>1.77</v>
      </c>
      <c r="J4" s="15">
        <f t="shared" si="1"/>
        <v>0.17699999999999999</v>
      </c>
      <c r="K4" s="14">
        <v>117</v>
      </c>
      <c r="L4" s="14">
        <f t="shared" si="2"/>
        <v>0</v>
      </c>
      <c r="M4" s="14">
        <f t="shared" si="3"/>
        <v>0</v>
      </c>
      <c r="N4" s="19">
        <f t="shared" si="4"/>
        <v>0</v>
      </c>
    </row>
    <row r="5" spans="1:14">
      <c r="A5" s="14" t="s">
        <v>68</v>
      </c>
      <c r="B5" s="14">
        <v>8330</v>
      </c>
      <c r="C5" s="16">
        <v>0.61004455580000005</v>
      </c>
      <c r="D5" s="15">
        <v>0.17399999999999999</v>
      </c>
      <c r="E5" s="15">
        <v>46.66</v>
      </c>
      <c r="F5" s="15">
        <v>1.77</v>
      </c>
      <c r="G5" s="15">
        <v>0.17699999999999999</v>
      </c>
      <c r="H5" s="14">
        <v>1</v>
      </c>
      <c r="I5" s="15">
        <f t="shared" si="0"/>
        <v>1.77</v>
      </c>
      <c r="J5" s="15">
        <f t="shared" si="1"/>
        <v>0.17699999999999999</v>
      </c>
      <c r="K5" s="14">
        <v>644</v>
      </c>
      <c r="L5" s="14">
        <f t="shared" si="2"/>
        <v>509</v>
      </c>
      <c r="M5" s="14">
        <f t="shared" si="3"/>
        <v>2</v>
      </c>
      <c r="N5" s="19">
        <f t="shared" si="4"/>
        <v>0.2</v>
      </c>
    </row>
    <row r="6" spans="1:14">
      <c r="A6" s="14" t="s">
        <v>68</v>
      </c>
      <c r="B6" s="14">
        <v>3100</v>
      </c>
      <c r="C6" s="16">
        <v>1.2342830869999999</v>
      </c>
      <c r="D6" s="15">
        <v>0.1</v>
      </c>
      <c r="E6" s="15">
        <v>46.66</v>
      </c>
      <c r="F6" s="15">
        <v>1.2</v>
      </c>
      <c r="G6" s="15">
        <v>6.4000000000000001E-2</v>
      </c>
      <c r="H6" s="14">
        <v>1</v>
      </c>
      <c r="I6" s="15">
        <f t="shared" si="0"/>
        <v>1.2</v>
      </c>
      <c r="J6" s="15">
        <f t="shared" si="1"/>
        <v>6.4000000000000001E-2</v>
      </c>
      <c r="K6" s="14">
        <v>740</v>
      </c>
      <c r="L6" s="14">
        <f t="shared" si="2"/>
        <v>592</v>
      </c>
      <c r="M6" s="14">
        <f t="shared" si="3"/>
        <v>2</v>
      </c>
      <c r="N6" s="19">
        <f t="shared" si="4"/>
        <v>0.1</v>
      </c>
    </row>
    <row r="7" spans="1:14">
      <c r="A7" s="14" t="s">
        <v>68</v>
      </c>
      <c r="B7" s="14">
        <v>3100</v>
      </c>
      <c r="C7" s="16">
        <v>8.3215585999999994E-2</v>
      </c>
      <c r="D7" s="15">
        <v>0.3</v>
      </c>
      <c r="E7" s="15">
        <v>46.66</v>
      </c>
      <c r="F7" s="15">
        <v>1.2</v>
      </c>
      <c r="G7" s="15">
        <v>6.4000000000000001E-2</v>
      </c>
      <c r="H7" s="14">
        <v>1</v>
      </c>
      <c r="I7" s="15">
        <f t="shared" si="0"/>
        <v>1.2</v>
      </c>
      <c r="J7" s="15">
        <f t="shared" si="1"/>
        <v>6.4000000000000001E-2</v>
      </c>
      <c r="K7" s="14">
        <v>398</v>
      </c>
      <c r="L7" s="14">
        <f t="shared" si="2"/>
        <v>120</v>
      </c>
      <c r="M7" s="14">
        <f t="shared" si="3"/>
        <v>0</v>
      </c>
      <c r="N7" s="19">
        <f t="shared" si="4"/>
        <v>0</v>
      </c>
    </row>
    <row r="8" spans="1:14">
      <c r="A8" s="14" t="s">
        <v>68</v>
      </c>
      <c r="B8" s="14">
        <v>3100</v>
      </c>
      <c r="C8" s="16">
        <v>4.862259E-4</v>
      </c>
      <c r="D8" s="15">
        <v>0.3</v>
      </c>
      <c r="E8" s="15">
        <v>46.66</v>
      </c>
      <c r="F8" s="15">
        <v>1.2</v>
      </c>
      <c r="G8" s="15">
        <v>6.4000000000000001E-2</v>
      </c>
      <c r="H8" s="14">
        <v>1</v>
      </c>
      <c r="I8" s="15">
        <f t="shared" si="0"/>
        <v>1.2</v>
      </c>
      <c r="J8" s="15">
        <f t="shared" si="1"/>
        <v>6.4000000000000001E-2</v>
      </c>
      <c r="K8" s="14">
        <v>100</v>
      </c>
      <c r="L8" s="14">
        <f t="shared" si="2"/>
        <v>1</v>
      </c>
      <c r="M8" s="14">
        <f t="shared" si="3"/>
        <v>0</v>
      </c>
      <c r="N8" s="19">
        <f t="shared" si="4"/>
        <v>0</v>
      </c>
    </row>
    <row r="9" spans="1:14">
      <c r="A9" s="14" t="s">
        <v>68</v>
      </c>
      <c r="B9" s="14">
        <v>1300</v>
      </c>
      <c r="C9" s="16">
        <v>2.84891577E-2</v>
      </c>
      <c r="D9" s="15">
        <v>0.63100000000000001</v>
      </c>
      <c r="E9" s="15">
        <v>46.66</v>
      </c>
      <c r="F9" s="15">
        <v>2.1</v>
      </c>
      <c r="G9" s="15">
        <v>0.51600000000000001</v>
      </c>
      <c r="H9" s="14">
        <v>1</v>
      </c>
      <c r="I9" s="15">
        <f t="shared" si="0"/>
        <v>2.1</v>
      </c>
      <c r="J9" s="15">
        <f t="shared" si="1"/>
        <v>0.51600000000000001</v>
      </c>
      <c r="K9" s="14">
        <v>30</v>
      </c>
      <c r="L9" s="14">
        <f t="shared" si="2"/>
        <v>86</v>
      </c>
      <c r="M9" s="14">
        <f t="shared" si="3"/>
        <v>0</v>
      </c>
      <c r="N9" s="19">
        <f t="shared" si="4"/>
        <v>0.1</v>
      </c>
    </row>
    <row r="10" spans="1:14">
      <c r="A10" s="14" t="s">
        <v>68</v>
      </c>
      <c r="B10" s="14">
        <v>1300</v>
      </c>
      <c r="C10" s="16">
        <v>3.6676140000000003E-2</v>
      </c>
      <c r="D10" s="15">
        <v>0.63100000000000001</v>
      </c>
      <c r="E10" s="15">
        <v>46.66</v>
      </c>
      <c r="F10" s="15">
        <v>2.1</v>
      </c>
      <c r="G10" s="15">
        <v>0.51600000000000001</v>
      </c>
      <c r="H10" s="14">
        <v>1</v>
      </c>
      <c r="I10" s="15">
        <f t="shared" si="0"/>
        <v>2.1</v>
      </c>
      <c r="J10" s="15">
        <f t="shared" si="1"/>
        <v>0.51600000000000001</v>
      </c>
      <c r="K10" s="14">
        <v>39</v>
      </c>
      <c r="L10" s="14">
        <f t="shared" si="2"/>
        <v>111</v>
      </c>
      <c r="M10" s="14">
        <f t="shared" si="3"/>
        <v>1</v>
      </c>
      <c r="N10" s="19">
        <f t="shared" si="4"/>
        <v>0.1</v>
      </c>
    </row>
    <row r="11" spans="1:14">
      <c r="A11" s="14" t="s">
        <v>68</v>
      </c>
      <c r="B11" s="14">
        <v>8140</v>
      </c>
      <c r="C11" s="16">
        <v>2.9427780000000001E-3</v>
      </c>
      <c r="D11" s="15">
        <v>0.77700000000000002</v>
      </c>
      <c r="E11" s="15">
        <v>46.66</v>
      </c>
      <c r="F11" s="15">
        <v>1.18</v>
      </c>
      <c r="G11" s="15">
        <v>0.48</v>
      </c>
      <c r="H11" s="14">
        <v>1</v>
      </c>
      <c r="I11" s="15">
        <f t="shared" si="0"/>
        <v>1.18</v>
      </c>
      <c r="J11" s="15">
        <f t="shared" si="1"/>
        <v>0.48</v>
      </c>
      <c r="K11" s="14">
        <v>959</v>
      </c>
      <c r="L11" s="14">
        <f t="shared" si="2"/>
        <v>11</v>
      </c>
      <c r="M11" s="14">
        <f t="shared" si="3"/>
        <v>0</v>
      </c>
      <c r="N11" s="19">
        <f t="shared" si="4"/>
        <v>0</v>
      </c>
    </row>
    <row r="12" spans="1:14">
      <c r="A12" s="14" t="s">
        <v>68</v>
      </c>
      <c r="B12" s="14">
        <v>3100</v>
      </c>
      <c r="C12" s="16">
        <v>6.5147180799999996E-2</v>
      </c>
      <c r="D12" s="15">
        <v>0.1</v>
      </c>
      <c r="E12" s="15">
        <v>46.66</v>
      </c>
      <c r="F12" s="15">
        <v>1.2</v>
      </c>
      <c r="G12" s="15">
        <v>6.4000000000000001E-2</v>
      </c>
      <c r="H12" s="14">
        <v>1</v>
      </c>
      <c r="I12" s="15">
        <f t="shared" si="0"/>
        <v>1.2</v>
      </c>
      <c r="J12" s="15">
        <f t="shared" si="1"/>
        <v>6.4000000000000001E-2</v>
      </c>
      <c r="K12" s="14">
        <v>11</v>
      </c>
      <c r="L12" s="14">
        <f t="shared" si="2"/>
        <v>31</v>
      </c>
      <c r="M12" s="14">
        <f t="shared" si="3"/>
        <v>0</v>
      </c>
      <c r="N12" s="19">
        <f t="shared" si="4"/>
        <v>0</v>
      </c>
    </row>
    <row r="13" spans="1:14">
      <c r="A13" s="14" t="s">
        <v>68</v>
      </c>
      <c r="B13" s="14">
        <v>3100</v>
      </c>
      <c r="C13" s="16">
        <v>0.13254518779999999</v>
      </c>
      <c r="D13" s="15">
        <v>0.1</v>
      </c>
      <c r="E13" s="15">
        <v>46.66</v>
      </c>
      <c r="F13" s="15">
        <v>1.2</v>
      </c>
      <c r="G13" s="15">
        <v>6.4000000000000001E-2</v>
      </c>
      <c r="H13" s="14">
        <v>1</v>
      </c>
      <c r="I13" s="15">
        <f t="shared" si="0"/>
        <v>1.2</v>
      </c>
      <c r="J13" s="15">
        <f t="shared" si="1"/>
        <v>6.4000000000000001E-2</v>
      </c>
      <c r="K13" s="14">
        <v>22</v>
      </c>
      <c r="L13" s="14">
        <f t="shared" si="2"/>
        <v>64</v>
      </c>
      <c r="M13" s="14">
        <f t="shared" si="3"/>
        <v>0</v>
      </c>
      <c r="N13" s="19">
        <f t="shared" si="4"/>
        <v>0</v>
      </c>
    </row>
    <row r="14" spans="1:14">
      <c r="A14" s="14" t="s">
        <v>68</v>
      </c>
      <c r="B14" s="14">
        <v>3100</v>
      </c>
      <c r="C14" s="16">
        <v>7.7914499999999994E-5</v>
      </c>
      <c r="D14" s="15">
        <v>0.1</v>
      </c>
      <c r="E14" s="15">
        <v>46.66</v>
      </c>
      <c r="F14" s="15">
        <v>1.2</v>
      </c>
      <c r="G14" s="15">
        <v>6.4000000000000001E-2</v>
      </c>
      <c r="H14" s="14">
        <v>1</v>
      </c>
      <c r="I14" s="15">
        <f t="shared" si="0"/>
        <v>1.2</v>
      </c>
      <c r="J14" s="15">
        <f t="shared" si="1"/>
        <v>6.4000000000000001E-2</v>
      </c>
      <c r="K14" s="14">
        <v>0</v>
      </c>
      <c r="L14" s="14">
        <f t="shared" si="2"/>
        <v>0</v>
      </c>
      <c r="M14" s="14">
        <f t="shared" si="3"/>
        <v>0</v>
      </c>
      <c r="N14" s="19">
        <f t="shared" si="4"/>
        <v>0</v>
      </c>
    </row>
    <row r="15" spans="1:14">
      <c r="A15" s="14" t="s">
        <v>68</v>
      </c>
      <c r="B15" s="14">
        <v>1400</v>
      </c>
      <c r="C15" s="16">
        <v>1.3807320521999999</v>
      </c>
      <c r="D15" s="15">
        <v>0.88600000000000001</v>
      </c>
      <c r="E15" s="15">
        <v>46.66</v>
      </c>
      <c r="F15" s="15">
        <v>1.93</v>
      </c>
      <c r="G15" s="15">
        <v>0.497</v>
      </c>
      <c r="H15" s="14">
        <v>1</v>
      </c>
      <c r="I15" s="15">
        <f t="shared" si="0"/>
        <v>1.93</v>
      </c>
      <c r="J15" s="15">
        <f t="shared" si="1"/>
        <v>0.497</v>
      </c>
      <c r="K15" s="14">
        <v>2056</v>
      </c>
      <c r="L15" s="14">
        <f t="shared" si="2"/>
        <v>5867</v>
      </c>
      <c r="M15" s="14">
        <f t="shared" si="3"/>
        <v>25</v>
      </c>
      <c r="N15" s="19">
        <f t="shared" si="4"/>
        <v>6.4</v>
      </c>
    </row>
    <row r="16" spans="1:14">
      <c r="A16" s="14" t="s">
        <v>68</v>
      </c>
      <c r="B16" s="14">
        <v>1700</v>
      </c>
      <c r="C16" s="16">
        <v>5.4785269099999999E-2</v>
      </c>
      <c r="D16" s="15">
        <v>0.69599999999999995</v>
      </c>
      <c r="E16" s="15">
        <v>46.66</v>
      </c>
      <c r="F16" s="15">
        <v>1.8</v>
      </c>
      <c r="G16" s="15">
        <v>0.47799999999999998</v>
      </c>
      <c r="H16" s="14">
        <v>1</v>
      </c>
      <c r="I16" s="15">
        <f t="shared" si="0"/>
        <v>1.8</v>
      </c>
      <c r="J16" s="15">
        <f t="shared" si="1"/>
        <v>0.47799999999999998</v>
      </c>
      <c r="K16" s="14">
        <v>63</v>
      </c>
      <c r="L16" s="14">
        <f t="shared" si="2"/>
        <v>183</v>
      </c>
      <c r="M16" s="14">
        <f t="shared" si="3"/>
        <v>1</v>
      </c>
      <c r="N16" s="19">
        <f t="shared" si="4"/>
        <v>0.2</v>
      </c>
    </row>
    <row r="17" spans="1:14">
      <c r="A17" s="14" t="s">
        <v>68</v>
      </c>
      <c r="B17" s="14">
        <v>1700</v>
      </c>
      <c r="C17" s="16">
        <v>49.847862925400001</v>
      </c>
      <c r="D17" s="15">
        <v>0.78600000000000003</v>
      </c>
      <c r="E17" s="15">
        <v>46.66</v>
      </c>
      <c r="F17" s="15">
        <v>1.8</v>
      </c>
      <c r="G17" s="15">
        <v>0.47799999999999998</v>
      </c>
      <c r="H17" s="14">
        <v>1</v>
      </c>
      <c r="I17" s="15">
        <f t="shared" si="0"/>
        <v>1.8</v>
      </c>
      <c r="J17" s="15">
        <f t="shared" si="1"/>
        <v>0.47799999999999998</v>
      </c>
      <c r="K17" s="14">
        <v>101789</v>
      </c>
      <c r="L17" s="14">
        <f t="shared" si="2"/>
        <v>187916</v>
      </c>
      <c r="M17" s="14">
        <f t="shared" si="3"/>
        <v>746</v>
      </c>
      <c r="N17" s="19">
        <f t="shared" si="4"/>
        <v>198.1</v>
      </c>
    </row>
    <row r="18" spans="1:14">
      <c r="A18" s="14" t="s">
        <v>68</v>
      </c>
      <c r="B18" s="14">
        <v>3100</v>
      </c>
      <c r="C18" s="16">
        <v>0.14426660929999999</v>
      </c>
      <c r="D18" s="15">
        <v>0.3</v>
      </c>
      <c r="E18" s="15">
        <v>46.66</v>
      </c>
      <c r="F18" s="15">
        <v>1.2</v>
      </c>
      <c r="G18" s="15">
        <v>6.4000000000000001E-2</v>
      </c>
      <c r="H18" s="14">
        <v>1</v>
      </c>
      <c r="I18" s="15">
        <f t="shared" si="0"/>
        <v>1.2</v>
      </c>
      <c r="J18" s="15">
        <f t="shared" si="1"/>
        <v>6.4000000000000001E-2</v>
      </c>
      <c r="K18" s="14">
        <v>73</v>
      </c>
      <c r="L18" s="14">
        <f t="shared" si="2"/>
        <v>208</v>
      </c>
      <c r="M18" s="14">
        <f t="shared" si="3"/>
        <v>1</v>
      </c>
      <c r="N18" s="19">
        <f t="shared" si="4"/>
        <v>0</v>
      </c>
    </row>
    <row r="19" spans="1:14">
      <c r="A19" s="14" t="s">
        <v>68</v>
      </c>
      <c r="B19" s="14">
        <v>3100</v>
      </c>
      <c r="C19" s="16">
        <v>2.7806442000000002E-3</v>
      </c>
      <c r="D19" s="15">
        <v>0.3</v>
      </c>
      <c r="E19" s="15">
        <v>46.66</v>
      </c>
      <c r="F19" s="15">
        <v>1.2</v>
      </c>
      <c r="G19" s="15">
        <v>6.4000000000000001E-2</v>
      </c>
      <c r="H19" s="14">
        <v>1</v>
      </c>
      <c r="I19" s="15">
        <f t="shared" si="0"/>
        <v>1.2</v>
      </c>
      <c r="J19" s="15">
        <f t="shared" si="1"/>
        <v>6.4000000000000001E-2</v>
      </c>
      <c r="K19" s="14">
        <v>1</v>
      </c>
      <c r="L19" s="14">
        <f t="shared" si="2"/>
        <v>4</v>
      </c>
      <c r="M19" s="14">
        <f t="shared" si="3"/>
        <v>0</v>
      </c>
      <c r="N19" s="19">
        <f t="shared" si="4"/>
        <v>0</v>
      </c>
    </row>
    <row r="20" spans="1:14">
      <c r="A20" s="14" t="s">
        <v>68</v>
      </c>
      <c r="B20" s="14">
        <v>3100</v>
      </c>
      <c r="C20" s="16">
        <v>0.17028425559999999</v>
      </c>
      <c r="D20" s="15">
        <v>0.3</v>
      </c>
      <c r="E20" s="15">
        <v>46.66</v>
      </c>
      <c r="F20" s="15">
        <v>1.2</v>
      </c>
      <c r="G20" s="15">
        <v>6.4000000000000001E-2</v>
      </c>
      <c r="H20" s="14">
        <v>1</v>
      </c>
      <c r="I20" s="15">
        <f t="shared" si="0"/>
        <v>1.2</v>
      </c>
      <c r="J20" s="15">
        <f t="shared" si="1"/>
        <v>6.4000000000000001E-2</v>
      </c>
      <c r="K20" s="14">
        <v>86</v>
      </c>
      <c r="L20" s="14">
        <f t="shared" si="2"/>
        <v>245</v>
      </c>
      <c r="M20" s="14">
        <f t="shared" si="3"/>
        <v>1</v>
      </c>
      <c r="N20" s="19">
        <f t="shared" si="4"/>
        <v>0</v>
      </c>
    </row>
    <row r="21" spans="1:14">
      <c r="A21" s="14" t="s">
        <v>68</v>
      </c>
      <c r="B21" s="14">
        <v>3100</v>
      </c>
      <c r="C21" s="16">
        <v>1.67657643E-2</v>
      </c>
      <c r="D21" s="15">
        <v>0.1</v>
      </c>
      <c r="E21" s="15">
        <v>46.66</v>
      </c>
      <c r="F21" s="15">
        <v>1.2</v>
      </c>
      <c r="G21" s="15">
        <v>6.4000000000000001E-2</v>
      </c>
      <c r="H21" s="14">
        <v>1</v>
      </c>
      <c r="I21" s="15">
        <f t="shared" si="0"/>
        <v>1.2</v>
      </c>
      <c r="J21" s="15">
        <f t="shared" si="1"/>
        <v>6.4000000000000001E-2</v>
      </c>
      <c r="K21" s="14">
        <v>3</v>
      </c>
      <c r="L21" s="14">
        <f t="shared" si="2"/>
        <v>8</v>
      </c>
      <c r="M21" s="14">
        <f t="shared" si="3"/>
        <v>0</v>
      </c>
      <c r="N21" s="19">
        <f t="shared" si="4"/>
        <v>0</v>
      </c>
    </row>
    <row r="22" spans="1:14">
      <c r="A22" s="14" t="s">
        <v>68</v>
      </c>
      <c r="B22" s="14">
        <v>3100</v>
      </c>
      <c r="C22" s="16">
        <v>0.1523677423</v>
      </c>
      <c r="D22" s="15">
        <v>0.1</v>
      </c>
      <c r="E22" s="15">
        <v>46.66</v>
      </c>
      <c r="F22" s="15">
        <v>1.2</v>
      </c>
      <c r="G22" s="15">
        <v>6.4000000000000001E-2</v>
      </c>
      <c r="H22" s="14">
        <v>1</v>
      </c>
      <c r="I22" s="15">
        <f t="shared" si="0"/>
        <v>1.2</v>
      </c>
      <c r="J22" s="15">
        <f t="shared" si="1"/>
        <v>6.4000000000000001E-2</v>
      </c>
      <c r="K22" s="14">
        <v>26</v>
      </c>
      <c r="L22" s="14">
        <f t="shared" si="2"/>
        <v>73</v>
      </c>
      <c r="M22" s="14">
        <f t="shared" si="3"/>
        <v>0</v>
      </c>
      <c r="N22" s="19">
        <f t="shared" si="4"/>
        <v>0</v>
      </c>
    </row>
    <row r="23" spans="1:14">
      <c r="A23" s="14" t="s">
        <v>68</v>
      </c>
      <c r="B23" s="14">
        <v>1400</v>
      </c>
      <c r="C23" s="16">
        <v>16.863512660000001</v>
      </c>
      <c r="D23" s="15">
        <v>0.88800000000000001</v>
      </c>
      <c r="E23" s="15">
        <v>46.66</v>
      </c>
      <c r="F23" s="15">
        <v>1.93</v>
      </c>
      <c r="G23" s="15">
        <v>0.497</v>
      </c>
      <c r="H23" s="14">
        <v>1</v>
      </c>
      <c r="I23" s="15">
        <f t="shared" si="0"/>
        <v>1.93</v>
      </c>
      <c r="J23" s="15">
        <f t="shared" si="1"/>
        <v>0.497</v>
      </c>
      <c r="K23" s="14">
        <v>53916</v>
      </c>
      <c r="L23" s="14">
        <f t="shared" si="2"/>
        <v>71822</v>
      </c>
      <c r="M23" s="14">
        <f t="shared" si="3"/>
        <v>306</v>
      </c>
      <c r="N23" s="19">
        <f t="shared" si="4"/>
        <v>78.7</v>
      </c>
    </row>
    <row r="24" spans="1:14">
      <c r="A24" s="14" t="s">
        <v>68</v>
      </c>
      <c r="B24" s="14">
        <v>1300</v>
      </c>
      <c r="C24" s="16">
        <v>5.5107646801000003</v>
      </c>
      <c r="D24" s="15">
        <v>0.69199999999999995</v>
      </c>
      <c r="E24" s="15">
        <v>46.66</v>
      </c>
      <c r="F24" s="15">
        <v>2.1</v>
      </c>
      <c r="G24" s="15">
        <v>0.51600000000000001</v>
      </c>
      <c r="H24" s="14">
        <v>1</v>
      </c>
      <c r="I24" s="15">
        <f t="shared" si="0"/>
        <v>2.1</v>
      </c>
      <c r="J24" s="15">
        <f t="shared" si="1"/>
        <v>0.51600000000000001</v>
      </c>
      <c r="K24" s="14">
        <v>10024</v>
      </c>
      <c r="L24" s="14">
        <f t="shared" si="2"/>
        <v>18290</v>
      </c>
      <c r="M24" s="14">
        <f t="shared" si="3"/>
        <v>85</v>
      </c>
      <c r="N24" s="19">
        <f t="shared" si="4"/>
        <v>20.8</v>
      </c>
    </row>
    <row r="25" spans="1:14">
      <c r="A25" s="14" t="s">
        <v>68</v>
      </c>
      <c r="B25" s="14">
        <v>3100</v>
      </c>
      <c r="C25" s="16">
        <v>9.6898883800000002E-2</v>
      </c>
      <c r="D25" s="15">
        <v>0.3</v>
      </c>
      <c r="E25" s="15">
        <v>46.66</v>
      </c>
      <c r="F25" s="15">
        <v>1.2</v>
      </c>
      <c r="G25" s="15">
        <v>6.4000000000000001E-2</v>
      </c>
      <c r="H25" s="14">
        <v>1</v>
      </c>
      <c r="I25" s="15">
        <f t="shared" si="0"/>
        <v>1.2</v>
      </c>
      <c r="J25" s="15">
        <f t="shared" si="1"/>
        <v>6.4000000000000001E-2</v>
      </c>
      <c r="K25" s="14">
        <v>49</v>
      </c>
      <c r="L25" s="14">
        <f t="shared" si="2"/>
        <v>139</v>
      </c>
      <c r="M25" s="14">
        <f t="shared" si="3"/>
        <v>0</v>
      </c>
      <c r="N25" s="19">
        <f t="shared" si="4"/>
        <v>0</v>
      </c>
    </row>
    <row r="26" spans="1:14">
      <c r="A26" s="14" t="s">
        <v>68</v>
      </c>
      <c r="B26" s="14">
        <v>3100</v>
      </c>
      <c r="C26" s="16">
        <v>0.21072803070000001</v>
      </c>
      <c r="D26" s="15">
        <v>0.3</v>
      </c>
      <c r="E26" s="15">
        <v>46.66</v>
      </c>
      <c r="F26" s="15">
        <v>1.2</v>
      </c>
      <c r="G26" s="15">
        <v>6.4000000000000001E-2</v>
      </c>
      <c r="H26" s="14">
        <v>1</v>
      </c>
      <c r="I26" s="15">
        <f t="shared" si="0"/>
        <v>1.2</v>
      </c>
      <c r="J26" s="15">
        <f t="shared" si="1"/>
        <v>6.4000000000000001E-2</v>
      </c>
      <c r="K26" s="14">
        <v>106</v>
      </c>
      <c r="L26" s="14">
        <f t="shared" si="2"/>
        <v>303</v>
      </c>
      <c r="M26" s="14">
        <f t="shared" si="3"/>
        <v>1</v>
      </c>
      <c r="N26" s="19">
        <f t="shared" si="4"/>
        <v>0</v>
      </c>
    </row>
    <row r="27" spans="1:14">
      <c r="A27" s="14" t="s">
        <v>68</v>
      </c>
      <c r="B27" s="14">
        <v>3100</v>
      </c>
      <c r="C27" s="16">
        <v>1.7857769949</v>
      </c>
      <c r="D27" s="15">
        <v>0.41099999999999998</v>
      </c>
      <c r="E27" s="15">
        <v>46.66</v>
      </c>
      <c r="F27" s="15">
        <v>1.2</v>
      </c>
      <c r="G27" s="15">
        <v>6.4000000000000001E-2</v>
      </c>
      <c r="H27" s="14">
        <v>1</v>
      </c>
      <c r="I27" s="15">
        <f t="shared" si="0"/>
        <v>1.2</v>
      </c>
      <c r="J27" s="15">
        <f t="shared" si="1"/>
        <v>6.4000000000000001E-2</v>
      </c>
      <c r="K27" s="14">
        <v>1233</v>
      </c>
      <c r="L27" s="14">
        <f t="shared" si="2"/>
        <v>3520</v>
      </c>
      <c r="M27" s="14">
        <f t="shared" si="3"/>
        <v>9</v>
      </c>
      <c r="N27" s="19">
        <f t="shared" si="4"/>
        <v>0.5</v>
      </c>
    </row>
    <row r="28" spans="1:14">
      <c r="A28" s="14" t="s">
        <v>68</v>
      </c>
      <c r="B28" s="14">
        <v>1200</v>
      </c>
      <c r="C28" s="16">
        <v>7.1569127999999999E-3</v>
      </c>
      <c r="D28" s="15">
        <v>0.30399999999999999</v>
      </c>
      <c r="E28" s="15">
        <v>46.66</v>
      </c>
      <c r="F28" s="15">
        <v>2.23</v>
      </c>
      <c r="G28" s="15">
        <v>0.316</v>
      </c>
      <c r="H28" s="14">
        <v>1</v>
      </c>
      <c r="I28" s="15">
        <f t="shared" si="0"/>
        <v>2.23</v>
      </c>
      <c r="J28" s="15">
        <f t="shared" si="1"/>
        <v>0.316</v>
      </c>
      <c r="K28" s="14">
        <v>4</v>
      </c>
      <c r="L28" s="14">
        <f t="shared" si="2"/>
        <v>10</v>
      </c>
      <c r="M28" s="14">
        <f t="shared" si="3"/>
        <v>0</v>
      </c>
      <c r="N28" s="19">
        <f t="shared" si="4"/>
        <v>0</v>
      </c>
    </row>
    <row r="29" spans="1:14">
      <c r="A29" s="14" t="s">
        <v>68</v>
      </c>
      <c r="B29" s="14">
        <v>3100</v>
      </c>
      <c r="C29" s="16">
        <v>0.114098352</v>
      </c>
      <c r="D29" s="15">
        <v>0.41099999999999998</v>
      </c>
      <c r="E29" s="15">
        <v>46.66</v>
      </c>
      <c r="F29" s="15">
        <v>1.2</v>
      </c>
      <c r="G29" s="15">
        <v>6.4000000000000001E-2</v>
      </c>
      <c r="H29" s="14">
        <v>1</v>
      </c>
      <c r="I29" s="15">
        <f t="shared" si="0"/>
        <v>1.2</v>
      </c>
      <c r="J29" s="15">
        <f t="shared" si="1"/>
        <v>6.4000000000000001E-2</v>
      </c>
      <c r="K29" s="14">
        <v>79</v>
      </c>
      <c r="L29" s="14">
        <f t="shared" si="2"/>
        <v>225</v>
      </c>
      <c r="M29" s="14">
        <f t="shared" si="3"/>
        <v>1</v>
      </c>
      <c r="N29" s="19">
        <f t="shared" si="4"/>
        <v>0</v>
      </c>
    </row>
    <row r="30" spans="1:14">
      <c r="A30" s="14" t="s">
        <v>68</v>
      </c>
      <c r="B30" s="14">
        <v>1400</v>
      </c>
      <c r="C30" s="16">
        <v>0.26115202539999999</v>
      </c>
      <c r="D30" s="15">
        <v>0.88700000000000001</v>
      </c>
      <c r="E30" s="15">
        <v>46.66</v>
      </c>
      <c r="F30" s="15">
        <v>1.93</v>
      </c>
      <c r="G30" s="15">
        <v>0.497</v>
      </c>
      <c r="H30" s="14">
        <v>1</v>
      </c>
      <c r="I30" s="15">
        <f t="shared" si="0"/>
        <v>1.93</v>
      </c>
      <c r="J30" s="15">
        <f t="shared" si="1"/>
        <v>0.497</v>
      </c>
      <c r="K30" s="14">
        <v>389</v>
      </c>
      <c r="L30" s="14">
        <f t="shared" si="2"/>
        <v>1111</v>
      </c>
      <c r="M30" s="14">
        <f t="shared" si="3"/>
        <v>5</v>
      </c>
      <c r="N30" s="19">
        <f t="shared" si="4"/>
        <v>1.2</v>
      </c>
    </row>
    <row r="31" spans="1:14">
      <c r="A31" s="14" t="s">
        <v>68</v>
      </c>
      <c r="B31" s="14">
        <v>1400</v>
      </c>
      <c r="C31" s="16">
        <v>1.8474347025</v>
      </c>
      <c r="D31" s="15">
        <v>0.88800000000000001</v>
      </c>
      <c r="E31" s="15">
        <v>46.66</v>
      </c>
      <c r="F31" s="15">
        <v>1.93</v>
      </c>
      <c r="G31" s="15">
        <v>0.497</v>
      </c>
      <c r="H31" s="14">
        <v>1</v>
      </c>
      <c r="I31" s="15">
        <f t="shared" si="0"/>
        <v>1.93</v>
      </c>
      <c r="J31" s="15">
        <f t="shared" si="1"/>
        <v>0.497</v>
      </c>
      <c r="K31" s="14">
        <v>3126</v>
      </c>
      <c r="L31" s="14">
        <f t="shared" si="2"/>
        <v>7868</v>
      </c>
      <c r="M31" s="14">
        <f t="shared" si="3"/>
        <v>33</v>
      </c>
      <c r="N31" s="19">
        <f t="shared" si="4"/>
        <v>8.6</v>
      </c>
    </row>
    <row r="32" spans="1:14">
      <c r="A32" s="14" t="s">
        <v>68</v>
      </c>
      <c r="B32" s="14">
        <v>3100</v>
      </c>
      <c r="C32" s="16">
        <v>3.23446919E-2</v>
      </c>
      <c r="D32" s="15">
        <v>0.3</v>
      </c>
      <c r="E32" s="15">
        <v>46.66</v>
      </c>
      <c r="F32" s="15">
        <v>1.2</v>
      </c>
      <c r="G32" s="15">
        <v>6.4000000000000001E-2</v>
      </c>
      <c r="H32" s="14">
        <v>1</v>
      </c>
      <c r="I32" s="15">
        <f t="shared" si="0"/>
        <v>1.2</v>
      </c>
      <c r="J32" s="15">
        <f t="shared" si="1"/>
        <v>6.4000000000000001E-2</v>
      </c>
      <c r="K32" s="14">
        <v>16</v>
      </c>
      <c r="L32" s="14">
        <f t="shared" si="2"/>
        <v>47</v>
      </c>
      <c r="M32" s="14">
        <f t="shared" si="3"/>
        <v>0</v>
      </c>
      <c r="N32" s="19">
        <f t="shared" si="4"/>
        <v>0</v>
      </c>
    </row>
    <row r="33" spans="1:14">
      <c r="A33" s="14" t="s">
        <v>68</v>
      </c>
      <c r="B33" s="14">
        <v>1400</v>
      </c>
      <c r="C33" s="16">
        <v>6.2712517818000002</v>
      </c>
      <c r="D33" s="15">
        <v>0.88700000000000001</v>
      </c>
      <c r="E33" s="15">
        <v>46.66</v>
      </c>
      <c r="F33" s="15">
        <v>1.93</v>
      </c>
      <c r="G33" s="15">
        <v>0.497</v>
      </c>
      <c r="H33" s="14">
        <v>1</v>
      </c>
      <c r="I33" s="15">
        <f t="shared" si="0"/>
        <v>1.93</v>
      </c>
      <c r="J33" s="15">
        <f t="shared" si="1"/>
        <v>0.497</v>
      </c>
      <c r="K33" s="14">
        <v>10301</v>
      </c>
      <c r="L33" s="14">
        <f t="shared" si="2"/>
        <v>26679</v>
      </c>
      <c r="M33" s="14">
        <f t="shared" si="3"/>
        <v>114</v>
      </c>
      <c r="N33" s="19">
        <f t="shared" si="4"/>
        <v>29.2</v>
      </c>
    </row>
    <row r="34" spans="1:14">
      <c r="A34" s="14" t="s">
        <v>68</v>
      </c>
      <c r="B34" s="14">
        <v>1300</v>
      </c>
      <c r="C34" s="16">
        <v>0.3376048116</v>
      </c>
      <c r="D34" s="15">
        <v>0.66200000000000003</v>
      </c>
      <c r="E34" s="15">
        <v>46.66</v>
      </c>
      <c r="F34" s="15">
        <v>2.1</v>
      </c>
      <c r="G34" s="15">
        <v>0.51600000000000001</v>
      </c>
      <c r="H34" s="14">
        <v>1</v>
      </c>
      <c r="I34" s="15">
        <f t="shared" si="0"/>
        <v>2.1</v>
      </c>
      <c r="J34" s="15">
        <f t="shared" si="1"/>
        <v>0.51600000000000001</v>
      </c>
      <c r="K34" s="14">
        <v>1289</v>
      </c>
      <c r="L34" s="14">
        <f t="shared" si="2"/>
        <v>1072</v>
      </c>
      <c r="M34" s="14">
        <f t="shared" si="3"/>
        <v>5</v>
      </c>
      <c r="N34" s="19">
        <f t="shared" si="4"/>
        <v>1.2</v>
      </c>
    </row>
    <row r="35" spans="1:14">
      <c r="A35" s="14" t="s">
        <v>68</v>
      </c>
      <c r="B35" s="14">
        <v>6410</v>
      </c>
      <c r="C35" s="16">
        <v>0.21144900019999999</v>
      </c>
      <c r="D35" s="15">
        <v>0.30299999999999999</v>
      </c>
      <c r="E35" s="15">
        <v>46.66</v>
      </c>
      <c r="F35" s="15">
        <v>0</v>
      </c>
      <c r="G35" s="15">
        <v>0</v>
      </c>
      <c r="H35" s="14">
        <v>1</v>
      </c>
      <c r="I35" s="15">
        <f t="shared" si="0"/>
        <v>0</v>
      </c>
      <c r="J35" s="15">
        <f t="shared" si="1"/>
        <v>0</v>
      </c>
      <c r="K35" s="14">
        <v>108</v>
      </c>
      <c r="L35" s="14">
        <f t="shared" si="2"/>
        <v>307</v>
      </c>
      <c r="M35" s="14">
        <f t="shared" si="3"/>
        <v>0</v>
      </c>
      <c r="N35" s="19">
        <f t="shared" si="4"/>
        <v>0</v>
      </c>
    </row>
    <row r="36" spans="1:14">
      <c r="A36" s="14" t="s">
        <v>68</v>
      </c>
      <c r="B36" s="14">
        <v>6410</v>
      </c>
      <c r="C36" s="16">
        <v>7.2740074399999993E-2</v>
      </c>
      <c r="D36" s="15">
        <v>0.30299999999999999</v>
      </c>
      <c r="E36" s="15">
        <v>46.66</v>
      </c>
      <c r="F36" s="15">
        <v>0</v>
      </c>
      <c r="G36" s="15">
        <v>0</v>
      </c>
      <c r="H36" s="14">
        <v>1</v>
      </c>
      <c r="I36" s="15">
        <f t="shared" si="0"/>
        <v>0</v>
      </c>
      <c r="J36" s="15">
        <f t="shared" si="1"/>
        <v>0</v>
      </c>
      <c r="K36" s="14">
        <v>37</v>
      </c>
      <c r="L36" s="14">
        <f t="shared" si="2"/>
        <v>106</v>
      </c>
      <c r="M36" s="14">
        <f t="shared" si="3"/>
        <v>0</v>
      </c>
      <c r="N36" s="19">
        <f t="shared" si="4"/>
        <v>0</v>
      </c>
    </row>
    <row r="37" spans="1:14">
      <c r="A37" s="14" t="s">
        <v>68</v>
      </c>
      <c r="B37" s="14">
        <v>5100</v>
      </c>
      <c r="C37" s="16">
        <v>2.0740520000000001E-4</v>
      </c>
      <c r="D37" s="15">
        <v>1</v>
      </c>
      <c r="E37" s="15">
        <v>46.66</v>
      </c>
      <c r="F37" s="15">
        <v>0.6</v>
      </c>
      <c r="G37" s="15">
        <v>0.05</v>
      </c>
      <c r="H37" s="14">
        <v>1</v>
      </c>
      <c r="I37" s="15">
        <f t="shared" si="0"/>
        <v>0.6</v>
      </c>
      <c r="J37" s="15">
        <f t="shared" si="1"/>
        <v>0.05</v>
      </c>
      <c r="K37" s="14">
        <v>127</v>
      </c>
      <c r="L37" s="14">
        <f t="shared" si="2"/>
        <v>1</v>
      </c>
      <c r="M37" s="14">
        <f t="shared" si="3"/>
        <v>0</v>
      </c>
      <c r="N37" s="19">
        <f t="shared" si="4"/>
        <v>0</v>
      </c>
    </row>
    <row r="38" spans="1:14">
      <c r="A38" s="14" t="s">
        <v>68</v>
      </c>
      <c r="B38" s="14">
        <v>1200</v>
      </c>
      <c r="C38" s="16">
        <v>3.6705783329999999</v>
      </c>
      <c r="D38" s="15">
        <v>0.38900000000000001</v>
      </c>
      <c r="E38" s="15">
        <v>46.66</v>
      </c>
      <c r="F38" s="15">
        <v>2.23</v>
      </c>
      <c r="G38" s="15">
        <v>0.316</v>
      </c>
      <c r="H38" s="14">
        <v>1</v>
      </c>
      <c r="I38" s="15">
        <f t="shared" si="0"/>
        <v>2.23</v>
      </c>
      <c r="J38" s="15">
        <f t="shared" si="1"/>
        <v>0.316</v>
      </c>
      <c r="K38" s="14">
        <v>15493</v>
      </c>
      <c r="L38" s="14">
        <f t="shared" si="2"/>
        <v>6848</v>
      </c>
      <c r="M38" s="14">
        <f t="shared" si="3"/>
        <v>34</v>
      </c>
      <c r="N38" s="19">
        <f t="shared" si="4"/>
        <v>4.8</v>
      </c>
    </row>
    <row r="39" spans="1:14">
      <c r="A39" s="14" t="s">
        <v>68</v>
      </c>
      <c r="B39" s="14">
        <v>1200</v>
      </c>
      <c r="C39" s="16">
        <v>3.62703609E-2</v>
      </c>
      <c r="D39" s="15">
        <v>0.34699999999999998</v>
      </c>
      <c r="E39" s="15">
        <v>46.66</v>
      </c>
      <c r="F39" s="15">
        <v>2.23</v>
      </c>
      <c r="G39" s="15">
        <v>0.316</v>
      </c>
      <c r="H39" s="14">
        <v>1</v>
      </c>
      <c r="I39" s="15">
        <f t="shared" si="0"/>
        <v>2.23</v>
      </c>
      <c r="J39" s="15">
        <f t="shared" si="1"/>
        <v>0.316</v>
      </c>
      <c r="K39" s="14">
        <v>203</v>
      </c>
      <c r="L39" s="14">
        <f t="shared" si="2"/>
        <v>60</v>
      </c>
      <c r="M39" s="14">
        <f t="shared" si="3"/>
        <v>0</v>
      </c>
      <c r="N39" s="19">
        <f t="shared" si="4"/>
        <v>0</v>
      </c>
    </row>
    <row r="40" spans="1:14">
      <c r="A40" s="14" t="s">
        <v>68</v>
      </c>
      <c r="B40" s="14">
        <v>1400</v>
      </c>
      <c r="C40" s="16">
        <v>0.81678541630000001</v>
      </c>
      <c r="D40" s="15">
        <v>0.88800000000000001</v>
      </c>
      <c r="E40" s="15">
        <v>46.66</v>
      </c>
      <c r="F40" s="15">
        <v>1.93</v>
      </c>
      <c r="G40" s="15">
        <v>0.497</v>
      </c>
      <c r="H40" s="14">
        <v>1</v>
      </c>
      <c r="I40" s="15">
        <f t="shared" si="0"/>
        <v>1.93</v>
      </c>
      <c r="J40" s="15">
        <f t="shared" si="1"/>
        <v>0.497</v>
      </c>
      <c r="K40" s="14">
        <v>23523</v>
      </c>
      <c r="L40" s="14">
        <f t="shared" si="2"/>
        <v>3479</v>
      </c>
      <c r="M40" s="14">
        <f t="shared" si="3"/>
        <v>15</v>
      </c>
      <c r="N40" s="19">
        <f t="shared" si="4"/>
        <v>3.8</v>
      </c>
    </row>
    <row r="41" spans="1:14">
      <c r="A41" s="14" t="s">
        <v>68</v>
      </c>
      <c r="B41" s="14">
        <v>3100</v>
      </c>
      <c r="C41" s="16">
        <v>5.6165093700000002E-2</v>
      </c>
      <c r="D41" s="15">
        <v>0.3</v>
      </c>
      <c r="E41" s="15">
        <v>46.66</v>
      </c>
      <c r="F41" s="15">
        <v>1.2</v>
      </c>
      <c r="G41" s="15">
        <v>6.4000000000000001E-2</v>
      </c>
      <c r="H41" s="14">
        <v>1</v>
      </c>
      <c r="I41" s="15">
        <f t="shared" si="0"/>
        <v>1.2</v>
      </c>
      <c r="J41" s="15">
        <f t="shared" si="1"/>
        <v>6.4000000000000001E-2</v>
      </c>
      <c r="K41" s="14">
        <v>1148</v>
      </c>
      <c r="L41" s="14">
        <f t="shared" si="2"/>
        <v>81</v>
      </c>
      <c r="M41" s="14">
        <f t="shared" si="3"/>
        <v>0</v>
      </c>
      <c r="N41" s="19">
        <f t="shared" si="4"/>
        <v>0</v>
      </c>
    </row>
    <row r="42" spans="1:14">
      <c r="A42" s="14" t="s">
        <v>68</v>
      </c>
      <c r="B42" s="14">
        <v>3100</v>
      </c>
      <c r="C42" s="16">
        <v>0.18760906820000001</v>
      </c>
      <c r="D42" s="15">
        <v>0.41099999999999998</v>
      </c>
      <c r="E42" s="15">
        <v>46.66</v>
      </c>
      <c r="F42" s="15">
        <v>1.2</v>
      </c>
      <c r="G42" s="15">
        <v>6.4000000000000001E-2</v>
      </c>
      <c r="H42" s="14">
        <v>1</v>
      </c>
      <c r="I42" s="15">
        <f t="shared" si="0"/>
        <v>1.2</v>
      </c>
      <c r="J42" s="15">
        <f t="shared" si="1"/>
        <v>6.4000000000000001E-2</v>
      </c>
      <c r="K42" s="14">
        <v>130</v>
      </c>
      <c r="L42" s="14">
        <f t="shared" si="2"/>
        <v>370</v>
      </c>
      <c r="M42" s="14">
        <f t="shared" si="3"/>
        <v>1</v>
      </c>
      <c r="N42" s="19">
        <f t="shared" si="4"/>
        <v>0.1</v>
      </c>
    </row>
    <row r="43" spans="1:14">
      <c r="A43" s="14" t="s">
        <v>68</v>
      </c>
      <c r="B43" s="14">
        <v>1300</v>
      </c>
      <c r="C43" s="16">
        <v>0.38157363239999997</v>
      </c>
      <c r="D43" s="15">
        <v>0.66200000000000003</v>
      </c>
      <c r="E43" s="15">
        <v>46.66</v>
      </c>
      <c r="F43" s="15">
        <v>2.1</v>
      </c>
      <c r="G43" s="15">
        <v>0.51600000000000001</v>
      </c>
      <c r="H43" s="14">
        <v>1</v>
      </c>
      <c r="I43" s="15">
        <f t="shared" si="0"/>
        <v>2.1</v>
      </c>
      <c r="J43" s="15">
        <f t="shared" si="1"/>
        <v>0.51600000000000001</v>
      </c>
      <c r="K43" s="14">
        <v>2200</v>
      </c>
      <c r="L43" s="14">
        <f t="shared" si="2"/>
        <v>1212</v>
      </c>
      <c r="M43" s="14">
        <f t="shared" si="3"/>
        <v>6</v>
      </c>
      <c r="N43" s="19">
        <f t="shared" si="4"/>
        <v>1.4</v>
      </c>
    </row>
    <row r="44" spans="1:14">
      <c r="A44" s="14" t="s">
        <v>68</v>
      </c>
      <c r="B44" s="14">
        <v>1300</v>
      </c>
      <c r="C44" s="16">
        <v>0.14685039259999999</v>
      </c>
      <c r="D44" s="15">
        <v>0.69199999999999995</v>
      </c>
      <c r="E44" s="15">
        <v>46.66</v>
      </c>
      <c r="F44" s="15">
        <v>2.1</v>
      </c>
      <c r="G44" s="15">
        <v>0.51600000000000001</v>
      </c>
      <c r="H44" s="14">
        <v>1</v>
      </c>
      <c r="I44" s="15">
        <f t="shared" si="0"/>
        <v>2.1</v>
      </c>
      <c r="J44" s="15">
        <f t="shared" si="1"/>
        <v>0.51600000000000001</v>
      </c>
      <c r="K44" s="14">
        <v>9640</v>
      </c>
      <c r="L44" s="14">
        <f t="shared" si="2"/>
        <v>487</v>
      </c>
      <c r="M44" s="14">
        <f t="shared" si="3"/>
        <v>2</v>
      </c>
      <c r="N44" s="19">
        <f t="shared" si="4"/>
        <v>0.6</v>
      </c>
    </row>
    <row r="45" spans="1:14">
      <c r="A45" s="14" t="s">
        <v>68</v>
      </c>
      <c r="B45" s="14">
        <v>6410</v>
      </c>
      <c r="C45" s="16">
        <v>0.94059570859999997</v>
      </c>
      <c r="D45" s="15">
        <v>0.30299999999999999</v>
      </c>
      <c r="E45" s="15">
        <v>46.66</v>
      </c>
      <c r="F45" s="15">
        <v>0</v>
      </c>
      <c r="G45" s="15">
        <v>0</v>
      </c>
      <c r="H45" s="14">
        <v>1</v>
      </c>
      <c r="I45" s="15">
        <f t="shared" si="0"/>
        <v>0</v>
      </c>
      <c r="J45" s="15">
        <f t="shared" si="1"/>
        <v>0</v>
      </c>
      <c r="K45" s="14">
        <v>479</v>
      </c>
      <c r="L45" s="14">
        <f t="shared" si="2"/>
        <v>1367</v>
      </c>
      <c r="M45" s="14">
        <f t="shared" si="3"/>
        <v>0</v>
      </c>
      <c r="N45" s="19">
        <f t="shared" si="4"/>
        <v>0</v>
      </c>
    </row>
    <row r="46" spans="1:14">
      <c r="A46" s="14" t="s">
        <v>68</v>
      </c>
      <c r="B46" s="14">
        <v>6410</v>
      </c>
      <c r="C46" s="16">
        <v>6.1576649999999997E-2</v>
      </c>
      <c r="D46" s="15">
        <v>0.26600000000000001</v>
      </c>
      <c r="E46" s="15">
        <v>46.66</v>
      </c>
      <c r="F46" s="15">
        <v>0</v>
      </c>
      <c r="G46" s="15">
        <v>0</v>
      </c>
      <c r="H46" s="14">
        <v>1</v>
      </c>
      <c r="I46" s="15">
        <f t="shared" si="0"/>
        <v>0</v>
      </c>
      <c r="J46" s="15">
        <f t="shared" si="1"/>
        <v>0</v>
      </c>
      <c r="K46" s="14">
        <v>28</v>
      </c>
      <c r="L46" s="14">
        <f t="shared" si="2"/>
        <v>79</v>
      </c>
      <c r="M46" s="14">
        <f t="shared" si="3"/>
        <v>0</v>
      </c>
      <c r="N46" s="19">
        <f t="shared" si="4"/>
        <v>0</v>
      </c>
    </row>
    <row r="47" spans="1:14">
      <c r="A47" s="14" t="s">
        <v>68</v>
      </c>
      <c r="B47" s="14">
        <v>1300</v>
      </c>
      <c r="C47" s="16">
        <v>5.1190623900000003E-2</v>
      </c>
      <c r="D47" s="15">
        <v>0.63100000000000001</v>
      </c>
      <c r="E47" s="15">
        <v>46.66</v>
      </c>
      <c r="F47" s="15">
        <v>2.1</v>
      </c>
      <c r="G47" s="15">
        <v>0.51600000000000001</v>
      </c>
      <c r="H47" s="14">
        <v>0</v>
      </c>
      <c r="I47" s="15">
        <f>F47*0.7</f>
        <v>1.47</v>
      </c>
      <c r="J47" s="15">
        <f>G47*0.5</f>
        <v>0.25800000000000001</v>
      </c>
      <c r="K47" s="14">
        <v>54</v>
      </c>
      <c r="L47" s="14">
        <f t="shared" si="2"/>
        <v>155</v>
      </c>
      <c r="M47" s="14">
        <f t="shared" si="3"/>
        <v>1</v>
      </c>
      <c r="N47" s="19">
        <f t="shared" si="4"/>
        <v>0.1</v>
      </c>
    </row>
    <row r="48" spans="1:14">
      <c r="A48" s="14" t="s">
        <v>68</v>
      </c>
      <c r="B48" s="14">
        <v>1300</v>
      </c>
      <c r="C48" s="16">
        <v>0.36803776690000001</v>
      </c>
      <c r="D48" s="15">
        <v>0.69199999999999995</v>
      </c>
      <c r="E48" s="15">
        <v>46.66</v>
      </c>
      <c r="F48" s="15">
        <v>2.1</v>
      </c>
      <c r="G48" s="15">
        <v>0.51600000000000001</v>
      </c>
      <c r="H48" s="14">
        <v>0</v>
      </c>
      <c r="I48" s="15">
        <f t="shared" ref="I48:I65" si="5">F48*0.7</f>
        <v>1.47</v>
      </c>
      <c r="J48" s="15">
        <f t="shared" ref="J48:J65" si="6">G48*0.5</f>
        <v>0.25800000000000001</v>
      </c>
      <c r="K48" s="14">
        <v>428</v>
      </c>
      <c r="L48" s="14">
        <f t="shared" si="2"/>
        <v>1222</v>
      </c>
      <c r="M48" s="14">
        <f t="shared" si="3"/>
        <v>4</v>
      </c>
      <c r="N48" s="19">
        <f t="shared" si="4"/>
        <v>0.7</v>
      </c>
    </row>
    <row r="49" spans="1:14">
      <c r="A49" s="14" t="s">
        <v>68</v>
      </c>
      <c r="B49" s="14">
        <v>8330</v>
      </c>
      <c r="C49" s="16">
        <v>0.1049553419</v>
      </c>
      <c r="D49" s="15">
        <v>0.17399999999999999</v>
      </c>
      <c r="E49" s="15">
        <v>46.66</v>
      </c>
      <c r="F49" s="15">
        <v>1.77</v>
      </c>
      <c r="G49" s="15">
        <v>0.17699999999999999</v>
      </c>
      <c r="H49" s="14">
        <v>0</v>
      </c>
      <c r="I49" s="15">
        <f t="shared" si="5"/>
        <v>1.2389999999999999</v>
      </c>
      <c r="J49" s="15">
        <f t="shared" si="6"/>
        <v>8.8499999999999995E-2</v>
      </c>
      <c r="K49" s="14">
        <v>31</v>
      </c>
      <c r="L49" s="14">
        <f t="shared" si="2"/>
        <v>88</v>
      </c>
      <c r="M49" s="14">
        <f t="shared" si="3"/>
        <v>0</v>
      </c>
      <c r="N49" s="19">
        <f t="shared" si="4"/>
        <v>0</v>
      </c>
    </row>
    <row r="50" spans="1:14">
      <c r="A50" s="14" t="s">
        <v>68</v>
      </c>
      <c r="B50" s="14">
        <v>8140</v>
      </c>
      <c r="C50" s="16">
        <v>9.5265812000000002E-3</v>
      </c>
      <c r="D50" s="15">
        <v>0.77700000000000002</v>
      </c>
      <c r="E50" s="15">
        <v>46.66</v>
      </c>
      <c r="F50" s="15">
        <v>1.18</v>
      </c>
      <c r="G50" s="15">
        <v>0.48</v>
      </c>
      <c r="H50" s="14">
        <v>0</v>
      </c>
      <c r="I50" s="15">
        <f t="shared" si="5"/>
        <v>0.82599999999999996</v>
      </c>
      <c r="J50" s="15">
        <f t="shared" si="6"/>
        <v>0.24</v>
      </c>
      <c r="K50" s="14">
        <v>125</v>
      </c>
      <c r="L50" s="14">
        <f t="shared" si="2"/>
        <v>36</v>
      </c>
      <c r="M50" s="14">
        <f t="shared" si="3"/>
        <v>0</v>
      </c>
      <c r="N50" s="19">
        <f t="shared" si="4"/>
        <v>0</v>
      </c>
    </row>
    <row r="51" spans="1:14">
      <c r="A51" s="14" t="s">
        <v>68</v>
      </c>
      <c r="B51" s="14">
        <v>1400</v>
      </c>
      <c r="C51" s="16">
        <v>1.58431484E-2</v>
      </c>
      <c r="D51" s="15">
        <v>0.88600000000000001</v>
      </c>
      <c r="E51" s="15">
        <v>46.66</v>
      </c>
      <c r="F51" s="15">
        <v>1.93</v>
      </c>
      <c r="G51" s="15">
        <v>0.497</v>
      </c>
      <c r="H51" s="14">
        <v>0</v>
      </c>
      <c r="I51" s="15">
        <f t="shared" si="5"/>
        <v>1.351</v>
      </c>
      <c r="J51" s="15">
        <f t="shared" si="6"/>
        <v>0.2485</v>
      </c>
      <c r="K51" s="14">
        <v>24</v>
      </c>
      <c r="L51" s="14">
        <f t="shared" si="2"/>
        <v>67</v>
      </c>
      <c r="M51" s="14">
        <f t="shared" si="3"/>
        <v>0</v>
      </c>
      <c r="N51" s="19">
        <f t="shared" si="4"/>
        <v>0</v>
      </c>
    </row>
    <row r="52" spans="1:14">
      <c r="A52" s="14" t="s">
        <v>68</v>
      </c>
      <c r="B52" s="14">
        <v>1400</v>
      </c>
      <c r="C52" s="16">
        <v>0.12366622720000001</v>
      </c>
      <c r="D52" s="15">
        <v>0.88800000000000001</v>
      </c>
      <c r="E52" s="15">
        <v>46.66</v>
      </c>
      <c r="F52" s="15">
        <v>1.93</v>
      </c>
      <c r="G52" s="15">
        <v>0.497</v>
      </c>
      <c r="H52" s="14">
        <v>0</v>
      </c>
      <c r="I52" s="15">
        <f t="shared" si="5"/>
        <v>1.351</v>
      </c>
      <c r="J52" s="15">
        <f t="shared" si="6"/>
        <v>0.2485</v>
      </c>
      <c r="K52" s="14">
        <v>185</v>
      </c>
      <c r="L52" s="14">
        <f t="shared" si="2"/>
        <v>527</v>
      </c>
      <c r="M52" s="14">
        <f t="shared" si="3"/>
        <v>2</v>
      </c>
      <c r="N52" s="19">
        <f t="shared" si="4"/>
        <v>0.3</v>
      </c>
    </row>
    <row r="53" spans="1:14">
      <c r="A53" s="14" t="s">
        <v>68</v>
      </c>
      <c r="B53" s="14">
        <v>1700</v>
      </c>
      <c r="C53" s="16">
        <v>2.6134434000000002E-3</v>
      </c>
      <c r="D53" s="15">
        <v>0.69599999999999995</v>
      </c>
      <c r="E53" s="15">
        <v>46.66</v>
      </c>
      <c r="F53" s="15">
        <v>1.8</v>
      </c>
      <c r="G53" s="15">
        <v>0.47799999999999998</v>
      </c>
      <c r="H53" s="14">
        <v>0</v>
      </c>
      <c r="I53" s="15">
        <f t="shared" si="5"/>
        <v>1.26</v>
      </c>
      <c r="J53" s="15">
        <f t="shared" si="6"/>
        <v>0.23899999999999999</v>
      </c>
      <c r="K53" s="14">
        <v>3</v>
      </c>
      <c r="L53" s="14">
        <f t="shared" si="2"/>
        <v>9</v>
      </c>
      <c r="M53" s="14">
        <f t="shared" si="3"/>
        <v>0</v>
      </c>
      <c r="N53" s="19">
        <f t="shared" si="4"/>
        <v>0</v>
      </c>
    </row>
    <row r="54" spans="1:14">
      <c r="A54" s="14" t="s">
        <v>68</v>
      </c>
      <c r="B54" s="14">
        <v>1700</v>
      </c>
      <c r="C54" s="16">
        <v>0.10352462430000001</v>
      </c>
      <c r="D54" s="15">
        <v>0.78600000000000003</v>
      </c>
      <c r="E54" s="15">
        <v>46.66</v>
      </c>
      <c r="F54" s="15">
        <v>1.8</v>
      </c>
      <c r="G54" s="15">
        <v>0.47799999999999998</v>
      </c>
      <c r="H54" s="14">
        <v>0</v>
      </c>
      <c r="I54" s="15">
        <f t="shared" si="5"/>
        <v>1.26</v>
      </c>
      <c r="J54" s="15">
        <f t="shared" si="6"/>
        <v>0.23899999999999999</v>
      </c>
      <c r="K54" s="14">
        <v>134</v>
      </c>
      <c r="L54" s="14">
        <f t="shared" si="2"/>
        <v>390</v>
      </c>
      <c r="M54" s="14">
        <f t="shared" si="3"/>
        <v>1</v>
      </c>
      <c r="N54" s="19">
        <f t="shared" si="4"/>
        <v>0.2</v>
      </c>
    </row>
    <row r="55" spans="1:14">
      <c r="A55" s="14" t="s">
        <v>68</v>
      </c>
      <c r="B55" s="14">
        <v>1200</v>
      </c>
      <c r="C55" s="16">
        <v>0.17259204119999999</v>
      </c>
      <c r="D55" s="15">
        <v>0.38900000000000001</v>
      </c>
      <c r="E55" s="15">
        <v>46.66</v>
      </c>
      <c r="F55" s="15">
        <v>2.23</v>
      </c>
      <c r="G55" s="15">
        <v>0.316</v>
      </c>
      <c r="H55" s="14">
        <v>0</v>
      </c>
      <c r="I55" s="15">
        <f t="shared" si="5"/>
        <v>1.5609999999999999</v>
      </c>
      <c r="J55" s="15">
        <f t="shared" si="6"/>
        <v>0.158</v>
      </c>
      <c r="K55" s="14">
        <v>116</v>
      </c>
      <c r="L55" s="14">
        <f t="shared" si="2"/>
        <v>322</v>
      </c>
      <c r="M55" s="14">
        <f t="shared" si="3"/>
        <v>1</v>
      </c>
      <c r="N55" s="19">
        <f t="shared" si="4"/>
        <v>0.1</v>
      </c>
    </row>
    <row r="56" spans="1:14">
      <c r="A56" s="14" t="s">
        <v>68</v>
      </c>
      <c r="B56" s="14">
        <v>1400</v>
      </c>
      <c r="C56" s="16">
        <v>9.7607654000000002E-2</v>
      </c>
      <c r="D56" s="15">
        <v>0.88600000000000001</v>
      </c>
      <c r="E56" s="15">
        <v>46.66</v>
      </c>
      <c r="F56" s="15">
        <v>1.93</v>
      </c>
      <c r="G56" s="15">
        <v>0.497</v>
      </c>
      <c r="H56" s="14">
        <v>0</v>
      </c>
      <c r="I56" s="15">
        <f t="shared" si="5"/>
        <v>1.351</v>
      </c>
      <c r="J56" s="15">
        <f t="shared" si="6"/>
        <v>0.2485</v>
      </c>
      <c r="K56" s="14">
        <v>145</v>
      </c>
      <c r="L56" s="14">
        <f t="shared" si="2"/>
        <v>415</v>
      </c>
      <c r="M56" s="14">
        <f t="shared" si="3"/>
        <v>1</v>
      </c>
      <c r="N56" s="19">
        <f t="shared" si="4"/>
        <v>0.2</v>
      </c>
    </row>
    <row r="57" spans="1:14">
      <c r="A57" s="14" t="s">
        <v>68</v>
      </c>
      <c r="B57" s="14">
        <v>1200</v>
      </c>
      <c r="C57" s="16">
        <v>3.7120802000000001E-2</v>
      </c>
      <c r="D57" s="15">
        <v>0.30399999999999999</v>
      </c>
      <c r="E57" s="15">
        <v>46.66</v>
      </c>
      <c r="F57" s="15">
        <v>2.23</v>
      </c>
      <c r="G57" s="15">
        <v>0.316</v>
      </c>
      <c r="H57" s="14">
        <v>0</v>
      </c>
      <c r="I57" s="15">
        <f t="shared" si="5"/>
        <v>1.5609999999999999</v>
      </c>
      <c r="J57" s="15">
        <f t="shared" si="6"/>
        <v>0.158</v>
      </c>
      <c r="K57" s="14">
        <v>19</v>
      </c>
      <c r="L57" s="14">
        <f t="shared" si="2"/>
        <v>54</v>
      </c>
      <c r="M57" s="14">
        <f t="shared" si="3"/>
        <v>0</v>
      </c>
      <c r="N57" s="19">
        <f t="shared" si="4"/>
        <v>0</v>
      </c>
    </row>
    <row r="58" spans="1:14">
      <c r="A58" s="14" t="s">
        <v>68</v>
      </c>
      <c r="B58" s="14">
        <v>1200</v>
      </c>
      <c r="C58" s="16">
        <v>3.8859982E-3</v>
      </c>
      <c r="D58" s="15">
        <v>0.30399999999999999</v>
      </c>
      <c r="E58" s="15">
        <v>46.66</v>
      </c>
      <c r="F58" s="15">
        <v>2.23</v>
      </c>
      <c r="G58" s="15">
        <v>0.316</v>
      </c>
      <c r="H58" s="14">
        <v>0</v>
      </c>
      <c r="I58" s="15">
        <f t="shared" si="5"/>
        <v>1.5609999999999999</v>
      </c>
      <c r="J58" s="15">
        <f t="shared" si="6"/>
        <v>0.158</v>
      </c>
      <c r="K58" s="14">
        <v>2</v>
      </c>
      <c r="L58" s="14">
        <f t="shared" si="2"/>
        <v>6</v>
      </c>
      <c r="M58" s="14">
        <f t="shared" si="3"/>
        <v>0</v>
      </c>
      <c r="N58" s="19">
        <f t="shared" si="4"/>
        <v>0</v>
      </c>
    </row>
    <row r="59" spans="1:14">
      <c r="A59" s="14" t="s">
        <v>68</v>
      </c>
      <c r="B59" s="14">
        <v>1700</v>
      </c>
      <c r="C59" s="16">
        <v>5.9244436400000003E-2</v>
      </c>
      <c r="D59" s="15">
        <v>0.78600000000000003</v>
      </c>
      <c r="E59" s="15">
        <v>46.66</v>
      </c>
      <c r="F59" s="15">
        <v>1.8</v>
      </c>
      <c r="G59" s="15">
        <v>0.47799999999999998</v>
      </c>
      <c r="H59" s="14">
        <v>0</v>
      </c>
      <c r="I59" s="15">
        <f t="shared" si="5"/>
        <v>1.26</v>
      </c>
      <c r="J59" s="15">
        <f t="shared" si="6"/>
        <v>0.23899999999999999</v>
      </c>
      <c r="K59" s="14">
        <v>76</v>
      </c>
      <c r="L59" s="14">
        <f t="shared" si="2"/>
        <v>223</v>
      </c>
      <c r="M59" s="14">
        <f t="shared" si="3"/>
        <v>1</v>
      </c>
      <c r="N59" s="19">
        <f t="shared" si="4"/>
        <v>0.1</v>
      </c>
    </row>
    <row r="60" spans="1:14">
      <c r="A60" s="14" t="s">
        <v>68</v>
      </c>
      <c r="B60" s="14">
        <v>1400</v>
      </c>
      <c r="C60" s="16">
        <v>0.1097263674</v>
      </c>
      <c r="D60" s="15">
        <v>0.88700000000000001</v>
      </c>
      <c r="E60" s="15">
        <v>46.66</v>
      </c>
      <c r="F60" s="15">
        <v>1.93</v>
      </c>
      <c r="G60" s="15">
        <v>0.497</v>
      </c>
      <c r="H60" s="14">
        <v>0</v>
      </c>
      <c r="I60" s="15">
        <f t="shared" si="5"/>
        <v>1.351</v>
      </c>
      <c r="J60" s="15">
        <f t="shared" si="6"/>
        <v>0.2485</v>
      </c>
      <c r="K60" s="14">
        <v>164</v>
      </c>
      <c r="L60" s="14">
        <f t="shared" si="2"/>
        <v>467</v>
      </c>
      <c r="M60" s="14">
        <f t="shared" si="3"/>
        <v>1</v>
      </c>
      <c r="N60" s="19">
        <f t="shared" si="4"/>
        <v>0.3</v>
      </c>
    </row>
    <row r="61" spans="1:14">
      <c r="A61" s="14" t="s">
        <v>68</v>
      </c>
      <c r="B61" s="14">
        <v>1200</v>
      </c>
      <c r="C61" s="16">
        <v>7.9537510800000003E-2</v>
      </c>
      <c r="D61" s="15">
        <v>0.38900000000000001</v>
      </c>
      <c r="E61" s="15">
        <v>46.66</v>
      </c>
      <c r="F61" s="15">
        <v>2.23</v>
      </c>
      <c r="G61" s="15">
        <v>0.316</v>
      </c>
      <c r="H61" s="14">
        <v>0</v>
      </c>
      <c r="I61" s="15">
        <f t="shared" si="5"/>
        <v>1.5609999999999999</v>
      </c>
      <c r="J61" s="15">
        <f t="shared" si="6"/>
        <v>0.158</v>
      </c>
      <c r="K61" s="14">
        <v>914</v>
      </c>
      <c r="L61" s="14">
        <f t="shared" si="2"/>
        <v>148</v>
      </c>
      <c r="M61" s="14">
        <f t="shared" si="3"/>
        <v>1</v>
      </c>
      <c r="N61" s="19">
        <f t="shared" si="4"/>
        <v>0.1</v>
      </c>
    </row>
    <row r="62" spans="1:14">
      <c r="A62" s="14" t="s">
        <v>68</v>
      </c>
      <c r="B62" s="14">
        <v>1300</v>
      </c>
      <c r="C62" s="16">
        <v>8.0910364499999998E-2</v>
      </c>
      <c r="D62" s="15">
        <v>0.69199999999999995</v>
      </c>
      <c r="E62" s="15">
        <v>46.66</v>
      </c>
      <c r="F62" s="15">
        <v>2.1</v>
      </c>
      <c r="G62" s="15">
        <v>0.51600000000000001</v>
      </c>
      <c r="H62" s="14">
        <v>0</v>
      </c>
      <c r="I62" s="15">
        <f t="shared" si="5"/>
        <v>1.47</v>
      </c>
      <c r="J62" s="15">
        <f t="shared" si="6"/>
        <v>0.25800000000000001</v>
      </c>
      <c r="K62" s="14">
        <v>100</v>
      </c>
      <c r="L62" s="14">
        <f t="shared" si="2"/>
        <v>269</v>
      </c>
      <c r="M62" s="14">
        <f t="shared" si="3"/>
        <v>1</v>
      </c>
      <c r="N62" s="19">
        <f t="shared" si="4"/>
        <v>0.2</v>
      </c>
    </row>
    <row r="63" spans="1:14">
      <c r="A63" s="14" t="s">
        <v>68</v>
      </c>
      <c r="B63" s="14">
        <v>1400</v>
      </c>
      <c r="C63" s="16">
        <v>7.0742021200000005E-2</v>
      </c>
      <c r="D63" s="15">
        <v>0.88800000000000001</v>
      </c>
      <c r="E63" s="15">
        <v>46.66</v>
      </c>
      <c r="F63" s="15">
        <v>1.93</v>
      </c>
      <c r="G63" s="15">
        <v>0.497</v>
      </c>
      <c r="H63" s="14">
        <v>0</v>
      </c>
      <c r="I63" s="15">
        <f t="shared" si="5"/>
        <v>1.351</v>
      </c>
      <c r="J63" s="15">
        <f t="shared" si="6"/>
        <v>0.2485</v>
      </c>
      <c r="K63" s="14">
        <v>1632</v>
      </c>
      <c r="L63" s="14">
        <f t="shared" si="2"/>
        <v>301</v>
      </c>
      <c r="M63" s="14">
        <f t="shared" si="3"/>
        <v>1</v>
      </c>
      <c r="N63" s="19">
        <f t="shared" si="4"/>
        <v>0.2</v>
      </c>
    </row>
    <row r="64" spans="1:14">
      <c r="A64" s="14" t="s">
        <v>68</v>
      </c>
      <c r="B64" s="14">
        <v>1400</v>
      </c>
      <c r="C64" s="16">
        <v>0.2038942802</v>
      </c>
      <c r="D64" s="15">
        <v>0.88800000000000001</v>
      </c>
      <c r="E64" s="15">
        <v>46.66</v>
      </c>
      <c r="F64" s="15">
        <v>1.93</v>
      </c>
      <c r="G64" s="15">
        <v>0.497</v>
      </c>
      <c r="H64" s="14">
        <v>0</v>
      </c>
      <c r="I64" s="15">
        <f t="shared" si="5"/>
        <v>1.351</v>
      </c>
      <c r="J64" s="15">
        <f t="shared" si="6"/>
        <v>0.2485</v>
      </c>
      <c r="K64" s="14">
        <v>304</v>
      </c>
      <c r="L64" s="14">
        <f t="shared" si="2"/>
        <v>868</v>
      </c>
      <c r="M64" s="14">
        <f t="shared" si="3"/>
        <v>3</v>
      </c>
      <c r="N64" s="19">
        <f t="shared" si="4"/>
        <v>0.5</v>
      </c>
    </row>
    <row r="65" spans="1:14">
      <c r="A65" s="14" t="s">
        <v>68</v>
      </c>
      <c r="B65" s="14">
        <v>1400</v>
      </c>
      <c r="C65" s="16">
        <v>6.1475351999999997E-2</v>
      </c>
      <c r="D65" s="15">
        <v>0.88700000000000001</v>
      </c>
      <c r="E65" s="15">
        <v>46.66</v>
      </c>
      <c r="F65" s="15">
        <v>1.93</v>
      </c>
      <c r="G65" s="15">
        <v>0.497</v>
      </c>
      <c r="H65" s="14">
        <v>0</v>
      </c>
      <c r="I65" s="15">
        <f t="shared" si="5"/>
        <v>1.351</v>
      </c>
      <c r="J65" s="15">
        <f t="shared" si="6"/>
        <v>0.2485</v>
      </c>
      <c r="K65" s="14">
        <v>92</v>
      </c>
      <c r="L65" s="14">
        <f t="shared" si="2"/>
        <v>262</v>
      </c>
      <c r="M65" s="14">
        <f t="shared" si="3"/>
        <v>1</v>
      </c>
      <c r="N65" s="19">
        <f t="shared" si="4"/>
        <v>0.1</v>
      </c>
    </row>
    <row r="66" spans="1:14">
      <c r="C66" s="16">
        <f>SUM(C2:C65)</f>
        <v>97.851197756000005</v>
      </c>
      <c r="M66" s="14">
        <f>SUM(M2:M65)</f>
        <v>1445</v>
      </c>
      <c r="N66" s="19">
        <f>SUM(N2:N65)</f>
        <v>366.10000000000014</v>
      </c>
    </row>
  </sheetData>
  <sortState ref="A2:L66">
    <sortCondition descending="1" ref="L1"/>
  </sortState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B14"/>
  <sheetViews>
    <sheetView workbookViewId="0">
      <selection activeCell="A9" sqref="A9"/>
    </sheetView>
  </sheetViews>
  <sheetFormatPr defaultRowHeight="15"/>
  <sheetData>
    <row r="1" spans="1:2">
      <c r="A1">
        <v>150.69999999999999</v>
      </c>
      <c r="B1" t="s">
        <v>111</v>
      </c>
    </row>
    <row r="2" spans="1:2">
      <c r="A2">
        <f>A1*907.18474</f>
        <v>136712.740318</v>
      </c>
      <c r="B2" t="s">
        <v>112</v>
      </c>
    </row>
    <row r="4" spans="1:2">
      <c r="A4" t="s">
        <v>113</v>
      </c>
    </row>
    <row r="5" spans="1:2">
      <c r="A5">
        <v>374.9</v>
      </c>
      <c r="B5" t="s">
        <v>114</v>
      </c>
    </row>
    <row r="6" spans="1:2">
      <c r="A6">
        <v>832.4</v>
      </c>
      <c r="B6" t="s">
        <v>115</v>
      </c>
    </row>
    <row r="8" spans="1:2">
      <c r="A8" t="s">
        <v>116</v>
      </c>
    </row>
    <row r="9" spans="1:2">
      <c r="A9">
        <f>A2*A6</f>
        <v>113799685.04070319</v>
      </c>
      <c r="B9" t="s">
        <v>117</v>
      </c>
    </row>
    <row r="10" spans="1:2">
      <c r="A10">
        <f>A9*0.0000022046226218</f>
        <v>250.88535999444932</v>
      </c>
      <c r="B10" t="s">
        <v>118</v>
      </c>
    </row>
    <row r="12" spans="1:2">
      <c r="A12" t="s">
        <v>119</v>
      </c>
    </row>
    <row r="13" spans="1:2">
      <c r="A13">
        <f>A2*A5</f>
        <v>51253606.345218197</v>
      </c>
      <c r="B13" t="s">
        <v>117</v>
      </c>
    </row>
    <row r="14" spans="1:2">
      <c r="A14">
        <f>A13*0.0000022046226218</f>
        <v>112.99485999750006</v>
      </c>
      <c r="B14" t="s">
        <v>118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selection activeCell="L1" sqref="L1:N2"/>
    </sheetView>
  </sheetViews>
  <sheetFormatPr defaultRowHeight="15"/>
  <cols>
    <col min="1" max="1" width="14.28515625" style="14" bestFit="1" customWidth="1"/>
    <col min="2" max="2" width="7.85546875" style="14" bestFit="1" customWidth="1"/>
    <col min="3" max="3" width="12.5703125" style="16" bestFit="1" customWidth="1"/>
    <col min="4" max="4" width="13.7109375" style="15" customWidth="1"/>
    <col min="5" max="5" width="14.7109375" style="15" bestFit="1" customWidth="1"/>
    <col min="6" max="7" width="13.7109375" style="15" customWidth="1"/>
    <col min="8" max="8" width="11.140625" style="14" bestFit="1" customWidth="1"/>
    <col min="9" max="10" width="13.7109375" style="15" customWidth="1"/>
    <col min="11" max="11" width="12.28515625" style="14" bestFit="1" customWidth="1"/>
    <col min="12" max="12" width="14.7109375" customWidth="1"/>
  </cols>
  <sheetData>
    <row r="1" spans="1:14" ht="30">
      <c r="A1" s="14" t="s">
        <v>67</v>
      </c>
      <c r="B1" s="14" t="s">
        <v>46</v>
      </c>
      <c r="C1" s="16" t="s">
        <v>53</v>
      </c>
      <c r="D1" s="15" t="s">
        <v>47</v>
      </c>
      <c r="E1" s="15" t="s">
        <v>52</v>
      </c>
      <c r="F1" s="15" t="s">
        <v>48</v>
      </c>
      <c r="G1" s="15" t="s">
        <v>49</v>
      </c>
      <c r="H1" s="14" t="s">
        <v>51</v>
      </c>
      <c r="I1" s="15" t="s">
        <v>55</v>
      </c>
      <c r="J1" s="15" t="s">
        <v>56</v>
      </c>
      <c r="K1" s="14" t="s">
        <v>50</v>
      </c>
      <c r="L1" s="18" t="s">
        <v>57</v>
      </c>
      <c r="M1" s="18" t="s">
        <v>58</v>
      </c>
      <c r="N1" s="18" t="s">
        <v>59</v>
      </c>
    </row>
    <row r="2" spans="1:14">
      <c r="A2" s="14" t="s">
        <v>68</v>
      </c>
      <c r="B2" s="14">
        <v>1200</v>
      </c>
      <c r="C2" s="16">
        <v>9.3017476000000002E-3</v>
      </c>
      <c r="D2" s="15">
        <v>0.38900000000000001</v>
      </c>
      <c r="E2" s="15">
        <v>46.66</v>
      </c>
      <c r="F2" s="15">
        <v>2.23</v>
      </c>
      <c r="G2" s="15">
        <v>0.316</v>
      </c>
      <c r="H2" s="14">
        <v>1</v>
      </c>
      <c r="I2" s="15">
        <f>F2</f>
        <v>2.23</v>
      </c>
      <c r="J2" s="15">
        <f>G2</f>
        <v>0.316</v>
      </c>
      <c r="K2" s="14">
        <v>447612</v>
      </c>
      <c r="L2" s="14">
        <f>ROUND(E2*D2*C2*102.79,0)</f>
        <v>17</v>
      </c>
      <c r="M2" s="14">
        <f>ROUND(I2*L2*0.002205,0)</f>
        <v>0</v>
      </c>
      <c r="N2" s="19">
        <f>ROUND(J2*L2*0.002205,1)</f>
        <v>0</v>
      </c>
    </row>
    <row r="3" spans="1:14">
      <c r="A3" s="14" t="s">
        <v>68</v>
      </c>
      <c r="B3" s="14">
        <v>1400</v>
      </c>
      <c r="C3" s="16">
        <v>6.2190527099999997E-2</v>
      </c>
      <c r="D3" s="15">
        <v>0.88800000000000001</v>
      </c>
      <c r="E3" s="15">
        <v>46.66</v>
      </c>
      <c r="F3" s="15">
        <v>1.93</v>
      </c>
      <c r="G3" s="15">
        <v>0.497</v>
      </c>
      <c r="H3" s="14">
        <v>1</v>
      </c>
      <c r="I3" s="15">
        <f t="shared" ref="I3:I6" si="0">F3</f>
        <v>1.93</v>
      </c>
      <c r="J3" s="15">
        <f t="shared" ref="J3:J6" si="1">G3</f>
        <v>0.497</v>
      </c>
      <c r="K3" s="14">
        <v>33900</v>
      </c>
      <c r="L3" s="14">
        <f t="shared" ref="L3:L7" si="2">ROUND(E3*D3*C3*102.79,0)</f>
        <v>265</v>
      </c>
      <c r="M3" s="14">
        <f t="shared" ref="M3:M7" si="3">ROUND(I3*L3*0.002205,0)</f>
        <v>1</v>
      </c>
      <c r="N3" s="19">
        <f t="shared" ref="N3:N7" si="4">ROUND(J3*L3*0.002205,1)</f>
        <v>0.3</v>
      </c>
    </row>
    <row r="4" spans="1:14">
      <c r="A4" s="14" t="s">
        <v>68</v>
      </c>
      <c r="B4" s="14">
        <v>1700</v>
      </c>
      <c r="C4" s="16">
        <v>1.2069364500000001E-2</v>
      </c>
      <c r="D4" s="15">
        <v>0.78600000000000003</v>
      </c>
      <c r="E4" s="15">
        <v>46.66</v>
      </c>
      <c r="F4" s="15">
        <v>1.8</v>
      </c>
      <c r="G4" s="15">
        <v>0.47799999999999998</v>
      </c>
      <c r="H4" s="14">
        <v>1</v>
      </c>
      <c r="I4" s="15">
        <f t="shared" si="0"/>
        <v>1.8</v>
      </c>
      <c r="J4" s="15">
        <f t="shared" si="1"/>
        <v>0.47799999999999998</v>
      </c>
      <c r="K4" s="14">
        <v>34366</v>
      </c>
      <c r="L4" s="14">
        <f t="shared" si="2"/>
        <v>45</v>
      </c>
      <c r="M4" s="14">
        <f t="shared" si="3"/>
        <v>0</v>
      </c>
      <c r="N4" s="19">
        <f t="shared" si="4"/>
        <v>0</v>
      </c>
    </row>
    <row r="5" spans="1:14">
      <c r="A5" s="14" t="s">
        <v>68</v>
      </c>
      <c r="B5" s="14">
        <v>8310</v>
      </c>
      <c r="C5" s="16">
        <v>6.26317978E-2</v>
      </c>
      <c r="D5" s="15">
        <v>0.82499999999999996</v>
      </c>
      <c r="E5" s="15">
        <v>46.66</v>
      </c>
      <c r="F5" s="15">
        <v>1.79</v>
      </c>
      <c r="G5" s="15">
        <v>0.31</v>
      </c>
      <c r="H5" s="14">
        <v>1</v>
      </c>
      <c r="I5" s="15">
        <f t="shared" si="0"/>
        <v>1.79</v>
      </c>
      <c r="J5" s="15">
        <f t="shared" si="1"/>
        <v>0.31</v>
      </c>
      <c r="K5" s="14">
        <v>87</v>
      </c>
      <c r="L5" s="14">
        <f t="shared" si="2"/>
        <v>248</v>
      </c>
      <c r="M5" s="14">
        <f t="shared" si="3"/>
        <v>1</v>
      </c>
      <c r="N5" s="19">
        <f t="shared" si="4"/>
        <v>0.2</v>
      </c>
    </row>
    <row r="6" spans="1:14">
      <c r="A6" s="14" t="s">
        <v>68</v>
      </c>
      <c r="B6" s="14">
        <v>1200</v>
      </c>
      <c r="C6" s="16">
        <v>1.2567439999999999E-4</v>
      </c>
      <c r="D6" s="15">
        <v>0.38900000000000001</v>
      </c>
      <c r="E6" s="15">
        <v>46.66</v>
      </c>
      <c r="F6" s="15">
        <v>2.23</v>
      </c>
      <c r="G6" s="15">
        <v>0.316</v>
      </c>
      <c r="H6" s="14">
        <v>1</v>
      </c>
      <c r="I6" s="15">
        <f t="shared" si="0"/>
        <v>2.23</v>
      </c>
      <c r="J6" s="15">
        <f t="shared" si="1"/>
        <v>0.316</v>
      </c>
      <c r="K6" s="14">
        <v>4205</v>
      </c>
      <c r="L6" s="14">
        <f t="shared" si="2"/>
        <v>0</v>
      </c>
      <c r="M6" s="14">
        <f t="shared" si="3"/>
        <v>0</v>
      </c>
      <c r="N6" s="19">
        <f t="shared" si="4"/>
        <v>0</v>
      </c>
    </row>
    <row r="7" spans="1:14">
      <c r="A7" s="14" t="s">
        <v>68</v>
      </c>
      <c r="B7" s="14">
        <v>8310</v>
      </c>
      <c r="C7" s="16">
        <v>9.45732076E-2</v>
      </c>
      <c r="D7" s="15">
        <v>0.82499999999999996</v>
      </c>
      <c r="E7" s="15">
        <v>46.66</v>
      </c>
      <c r="F7" s="15">
        <v>1.79</v>
      </c>
      <c r="G7" s="15">
        <v>0.31</v>
      </c>
      <c r="H7" s="14">
        <v>0</v>
      </c>
      <c r="I7" s="15">
        <f>F7*0.7</f>
        <v>1.2529999999999999</v>
      </c>
      <c r="J7" s="15">
        <f>G7*0.5</f>
        <v>0.155</v>
      </c>
      <c r="K7" s="14">
        <v>3249</v>
      </c>
      <c r="L7" s="14">
        <f t="shared" si="2"/>
        <v>374</v>
      </c>
      <c r="M7" s="14">
        <f t="shared" si="3"/>
        <v>1</v>
      </c>
      <c r="N7" s="19">
        <f t="shared" si="4"/>
        <v>0.1</v>
      </c>
    </row>
    <row r="8" spans="1:14">
      <c r="C8" s="16">
        <f>SUM(C2:C7)</f>
        <v>0.24089231899999997</v>
      </c>
      <c r="M8" s="14">
        <f>SUM(M2:M7)</f>
        <v>3</v>
      </c>
      <c r="N8" s="19">
        <f>SUM(N2:N7)</f>
        <v>0.6</v>
      </c>
    </row>
  </sheetData>
  <sortState ref="A2:L8">
    <sortCondition descending="1" ref="L1"/>
  </sortState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N4"/>
  <sheetViews>
    <sheetView workbookViewId="0">
      <selection activeCell="L1" sqref="L1:N2"/>
    </sheetView>
  </sheetViews>
  <sheetFormatPr defaultRowHeight="15"/>
  <cols>
    <col min="1" max="1" width="14.28515625" style="14" bestFit="1" customWidth="1"/>
    <col min="2" max="2" width="7.85546875" style="14" bestFit="1" customWidth="1"/>
    <col min="3" max="3" width="12.5703125" style="16" bestFit="1" customWidth="1"/>
    <col min="4" max="4" width="13.7109375" style="15" customWidth="1"/>
    <col min="5" max="5" width="14.7109375" style="15" bestFit="1" customWidth="1"/>
    <col min="6" max="7" width="13.7109375" style="15" customWidth="1"/>
    <col min="8" max="8" width="11.140625" style="14" bestFit="1" customWidth="1"/>
    <col min="9" max="10" width="13.7109375" style="15" customWidth="1"/>
    <col min="11" max="11" width="12.28515625" style="14" bestFit="1" customWidth="1"/>
    <col min="12" max="12" width="15.85546875" customWidth="1"/>
    <col min="13" max="13" width="14.7109375" style="15" bestFit="1" customWidth="1"/>
  </cols>
  <sheetData>
    <row r="1" spans="1:14" ht="30">
      <c r="A1" s="14" t="s">
        <v>67</v>
      </c>
      <c r="B1" s="14" t="s">
        <v>46</v>
      </c>
      <c r="C1" s="16" t="s">
        <v>53</v>
      </c>
      <c r="D1" s="15" t="s">
        <v>47</v>
      </c>
      <c r="E1" s="15" t="s">
        <v>52</v>
      </c>
      <c r="F1" s="15" t="s">
        <v>48</v>
      </c>
      <c r="G1" s="15" t="s">
        <v>49</v>
      </c>
      <c r="H1" s="14" t="s">
        <v>51</v>
      </c>
      <c r="I1" s="15" t="s">
        <v>55</v>
      </c>
      <c r="J1" s="15" t="s">
        <v>56</v>
      </c>
      <c r="K1" s="14" t="s">
        <v>50</v>
      </c>
      <c r="L1" s="18" t="s">
        <v>57</v>
      </c>
      <c r="M1" s="18" t="s">
        <v>58</v>
      </c>
      <c r="N1" s="18" t="s">
        <v>59</v>
      </c>
    </row>
    <row r="2" spans="1:14">
      <c r="A2" s="14" t="s">
        <v>68</v>
      </c>
      <c r="B2" s="14">
        <v>1200</v>
      </c>
      <c r="C2" s="16">
        <v>4.1268202499999997E-2</v>
      </c>
      <c r="D2" s="15">
        <v>0.38900000000000001</v>
      </c>
      <c r="E2" s="15">
        <v>46.66</v>
      </c>
      <c r="F2" s="15">
        <v>2.23</v>
      </c>
      <c r="G2" s="15">
        <v>0.316</v>
      </c>
      <c r="H2" s="14">
        <v>1</v>
      </c>
      <c r="I2" s="15">
        <f>F2</f>
        <v>2.23</v>
      </c>
      <c r="J2" s="15">
        <f>G2</f>
        <v>0.316</v>
      </c>
      <c r="K2" s="14">
        <v>447612</v>
      </c>
      <c r="L2" s="14">
        <f>ROUND(E2*D2*C2*102.79,0)</f>
        <v>77</v>
      </c>
      <c r="M2" s="14">
        <f>ROUND(I2*L2*0.002205,0)</f>
        <v>0</v>
      </c>
      <c r="N2" s="19">
        <f>ROUND(J2*L2*0.002205,1)</f>
        <v>0.1</v>
      </c>
    </row>
    <row r="3" spans="1:14">
      <c r="A3" s="14" t="s">
        <v>68</v>
      </c>
      <c r="B3" s="14">
        <v>1700</v>
      </c>
      <c r="C3" s="16">
        <v>0.1091635358</v>
      </c>
      <c r="D3" s="15">
        <v>0.78600000000000003</v>
      </c>
      <c r="E3" s="15">
        <v>46.66</v>
      </c>
      <c r="F3" s="15">
        <v>1.8</v>
      </c>
      <c r="G3" s="15">
        <v>0.47799999999999998</v>
      </c>
      <c r="H3" s="14">
        <v>1</v>
      </c>
      <c r="I3" s="15">
        <f>F3</f>
        <v>1.8</v>
      </c>
      <c r="J3" s="15">
        <f>G3</f>
        <v>0.47799999999999998</v>
      </c>
      <c r="K3" s="14">
        <v>34366</v>
      </c>
      <c r="L3" s="14">
        <f>ROUND(E3*D3*C3*102.79,0)</f>
        <v>412</v>
      </c>
      <c r="M3" s="14">
        <f>ROUND(I3*L3*0.002205,0)</f>
        <v>2</v>
      </c>
      <c r="N3" s="19">
        <f>ROUND(J3*L3*0.002205,1)</f>
        <v>0.4</v>
      </c>
    </row>
    <row r="4" spans="1:14">
      <c r="C4" s="16">
        <f>SUM(C2:C3)</f>
        <v>0.15043173830000001</v>
      </c>
      <c r="M4" s="15">
        <f>SUM(M2:M3)</f>
        <v>2</v>
      </c>
      <c r="N4" s="19">
        <f>SUM(N2:N3)</f>
        <v>0.5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:N4"/>
  <sheetViews>
    <sheetView workbookViewId="0">
      <selection activeCell="L1" sqref="L1:N2"/>
    </sheetView>
  </sheetViews>
  <sheetFormatPr defaultRowHeight="15"/>
  <cols>
    <col min="1" max="1" width="14.28515625" style="14" bestFit="1" customWidth="1"/>
    <col min="2" max="2" width="7.85546875" style="14" bestFit="1" customWidth="1"/>
    <col min="3" max="3" width="12.5703125" style="16" bestFit="1" customWidth="1"/>
    <col min="4" max="4" width="13.7109375" style="15" customWidth="1"/>
    <col min="5" max="5" width="14.7109375" style="15" bestFit="1" customWidth="1"/>
    <col min="6" max="7" width="13.7109375" style="15" customWidth="1"/>
    <col min="8" max="8" width="11.140625" style="14" bestFit="1" customWidth="1"/>
    <col min="9" max="10" width="13.7109375" style="15" customWidth="1"/>
    <col min="11" max="11" width="12.28515625" style="14" bestFit="1" customWidth="1"/>
    <col min="12" max="12" width="17.85546875" customWidth="1"/>
  </cols>
  <sheetData>
    <row r="1" spans="1:14" ht="30">
      <c r="A1" s="14" t="s">
        <v>67</v>
      </c>
      <c r="B1" s="14" t="s">
        <v>46</v>
      </c>
      <c r="C1" s="16" t="s">
        <v>53</v>
      </c>
      <c r="D1" s="15" t="s">
        <v>47</v>
      </c>
      <c r="E1" s="15" t="s">
        <v>52</v>
      </c>
      <c r="F1" s="15" t="s">
        <v>48</v>
      </c>
      <c r="G1" s="15" t="s">
        <v>49</v>
      </c>
      <c r="H1" s="14" t="s">
        <v>51</v>
      </c>
      <c r="I1" s="15" t="s">
        <v>55</v>
      </c>
      <c r="J1" s="15" t="s">
        <v>56</v>
      </c>
      <c r="K1" s="14" t="s">
        <v>50</v>
      </c>
      <c r="L1" s="18" t="s">
        <v>57</v>
      </c>
      <c r="M1" s="18" t="s">
        <v>58</v>
      </c>
      <c r="N1" s="18" t="s">
        <v>59</v>
      </c>
    </row>
    <row r="2" spans="1:14">
      <c r="A2" s="14" t="s">
        <v>68</v>
      </c>
      <c r="B2" s="14">
        <v>1200</v>
      </c>
      <c r="C2" s="16">
        <v>2.67367201E-2</v>
      </c>
      <c r="D2" s="15">
        <v>0.38900000000000001</v>
      </c>
      <c r="E2" s="15">
        <v>46.66</v>
      </c>
      <c r="F2" s="15">
        <v>2.23</v>
      </c>
      <c r="G2" s="15">
        <v>0.316</v>
      </c>
      <c r="H2" s="14">
        <v>1</v>
      </c>
      <c r="I2" s="15">
        <f>F2</f>
        <v>2.23</v>
      </c>
      <c r="J2" s="15">
        <f>G2</f>
        <v>0.316</v>
      </c>
      <c r="K2" s="14">
        <v>447612</v>
      </c>
      <c r="L2" s="14">
        <f>ROUND(E2*D2*C2*102.79,0)</f>
        <v>50</v>
      </c>
      <c r="M2" s="14">
        <f>ROUND(I2*L2*0.002205,0)</f>
        <v>0</v>
      </c>
      <c r="N2" s="19">
        <f>ROUND(J2*L2*0.002205,1)</f>
        <v>0</v>
      </c>
    </row>
    <row r="3" spans="1:14">
      <c r="A3" s="14" t="s">
        <v>68</v>
      </c>
      <c r="B3" s="14">
        <v>1700</v>
      </c>
      <c r="C3" s="16">
        <v>0.13469386119999999</v>
      </c>
      <c r="D3" s="15">
        <v>0.78600000000000003</v>
      </c>
      <c r="E3" s="15">
        <v>46.66</v>
      </c>
      <c r="F3" s="15">
        <v>1.8</v>
      </c>
      <c r="G3" s="15">
        <v>0.47799999999999998</v>
      </c>
      <c r="H3" s="14">
        <v>1</v>
      </c>
      <c r="I3" s="15">
        <f t="shared" ref="I3" si="0">F3</f>
        <v>1.8</v>
      </c>
      <c r="J3" s="15">
        <f t="shared" ref="J3" si="1">G3</f>
        <v>0.47799999999999998</v>
      </c>
      <c r="K3" s="14">
        <v>34366</v>
      </c>
      <c r="L3" s="14">
        <f>ROUND(E3*D3*C3*102.79,0)</f>
        <v>508</v>
      </c>
      <c r="M3" s="14">
        <f>ROUND(I3*L3*0.002205,0)</f>
        <v>2</v>
      </c>
      <c r="N3" s="19">
        <f>ROUND(J3*L3*0.002205,1)</f>
        <v>0.5</v>
      </c>
    </row>
    <row r="4" spans="1:14">
      <c r="C4" s="16">
        <f>SUM(C2:C3)</f>
        <v>0.16143058129999999</v>
      </c>
      <c r="M4" s="14">
        <f>SUM(M2:M3)</f>
        <v>2</v>
      </c>
      <c r="N4" s="19">
        <f>SUM(N2:N3)</f>
        <v>0.5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:N4"/>
  <sheetViews>
    <sheetView workbookViewId="0">
      <selection activeCell="L1" sqref="L1:N2"/>
    </sheetView>
  </sheetViews>
  <sheetFormatPr defaultRowHeight="15"/>
  <cols>
    <col min="1" max="1" width="14.28515625" style="14" bestFit="1" customWidth="1"/>
    <col min="2" max="2" width="7.85546875" style="14" bestFit="1" customWidth="1"/>
    <col min="3" max="3" width="12.5703125" style="16" bestFit="1" customWidth="1"/>
    <col min="4" max="4" width="13.7109375" style="15" customWidth="1"/>
    <col min="5" max="5" width="14.7109375" style="15" bestFit="1" customWidth="1"/>
    <col min="6" max="7" width="13.7109375" style="15" customWidth="1"/>
    <col min="8" max="8" width="11.140625" style="14" bestFit="1" customWidth="1"/>
    <col min="9" max="10" width="13.7109375" style="15" customWidth="1"/>
    <col min="11" max="11" width="12.28515625" style="14" bestFit="1" customWidth="1"/>
    <col min="12" max="12" width="15.28515625" customWidth="1"/>
  </cols>
  <sheetData>
    <row r="1" spans="1:14" ht="30">
      <c r="A1" s="14" t="s">
        <v>67</v>
      </c>
      <c r="B1" s="14" t="s">
        <v>46</v>
      </c>
      <c r="C1" s="16" t="s">
        <v>53</v>
      </c>
      <c r="D1" s="15" t="s">
        <v>47</v>
      </c>
      <c r="E1" s="15" t="s">
        <v>52</v>
      </c>
      <c r="F1" s="15" t="s">
        <v>48</v>
      </c>
      <c r="G1" s="15" t="s">
        <v>49</v>
      </c>
      <c r="H1" s="14" t="s">
        <v>51</v>
      </c>
      <c r="I1" s="15" t="s">
        <v>55</v>
      </c>
      <c r="J1" s="15" t="s">
        <v>56</v>
      </c>
      <c r="K1" s="14" t="s">
        <v>50</v>
      </c>
      <c r="L1" s="18" t="s">
        <v>57</v>
      </c>
      <c r="M1" s="18" t="s">
        <v>58</v>
      </c>
      <c r="N1" s="18" t="s">
        <v>59</v>
      </c>
    </row>
    <row r="2" spans="1:14">
      <c r="A2" s="14" t="s">
        <v>68</v>
      </c>
      <c r="B2" s="14">
        <v>1200</v>
      </c>
      <c r="C2" s="16">
        <v>1.5660884399999998E-2</v>
      </c>
      <c r="D2" s="15">
        <v>0.38900000000000001</v>
      </c>
      <c r="E2" s="15">
        <v>46.66</v>
      </c>
      <c r="F2" s="15">
        <v>2.23</v>
      </c>
      <c r="G2" s="15">
        <v>0.316</v>
      </c>
      <c r="H2" s="14">
        <v>1</v>
      </c>
      <c r="I2" s="15">
        <f>F2</f>
        <v>2.23</v>
      </c>
      <c r="J2" s="15">
        <f>G2</f>
        <v>0.316</v>
      </c>
      <c r="K2" s="14">
        <v>447612</v>
      </c>
      <c r="L2" s="14">
        <f>ROUND(E2*D2*C2*102.79,0)</f>
        <v>29</v>
      </c>
      <c r="M2" s="14">
        <f>ROUND(I2*L2*0.002205,0)</f>
        <v>0</v>
      </c>
      <c r="N2" s="19">
        <f>ROUND(J2*L2*0.002205,1)</f>
        <v>0</v>
      </c>
    </row>
    <row r="3" spans="1:14">
      <c r="A3" s="14" t="s">
        <v>68</v>
      </c>
      <c r="B3" s="14">
        <v>1700</v>
      </c>
      <c r="C3" s="16">
        <v>0.19399953180000001</v>
      </c>
      <c r="D3" s="15">
        <v>0.78600000000000003</v>
      </c>
      <c r="E3" s="15">
        <v>46.66</v>
      </c>
      <c r="F3" s="15">
        <v>1.8</v>
      </c>
      <c r="G3" s="15">
        <v>0.47799999999999998</v>
      </c>
      <c r="H3" s="14">
        <v>1</v>
      </c>
      <c r="I3" s="15">
        <f>F3</f>
        <v>1.8</v>
      </c>
      <c r="J3" s="15">
        <f>G3</f>
        <v>0.47799999999999998</v>
      </c>
      <c r="K3" s="14">
        <v>34366</v>
      </c>
      <c r="L3" s="14">
        <f>ROUND(E3*D3*C3*102.79,0)</f>
        <v>731</v>
      </c>
      <c r="M3" s="14">
        <f>ROUND(I3*L3*0.002205,0)</f>
        <v>3</v>
      </c>
      <c r="N3" s="19">
        <f>ROUND(J3*L3*0.002205,1)</f>
        <v>0.8</v>
      </c>
    </row>
    <row r="4" spans="1:14">
      <c r="C4" s="16">
        <f>SUM(C2:C3)</f>
        <v>0.2096604162</v>
      </c>
      <c r="M4" s="14">
        <f>SUM(M2:M3)</f>
        <v>3</v>
      </c>
      <c r="N4" s="19">
        <f>SUM(N2:N3)</f>
        <v>0.8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4"/>
  <sheetViews>
    <sheetView workbookViewId="0">
      <selection activeCell="B7" sqref="B7"/>
    </sheetView>
  </sheetViews>
  <sheetFormatPr defaultRowHeight="15"/>
  <cols>
    <col min="1" max="1" width="17.42578125" bestFit="1" customWidth="1"/>
  </cols>
  <sheetData>
    <row r="1" spans="1:3">
      <c r="A1" s="30" t="s">
        <v>86</v>
      </c>
      <c r="B1" s="1"/>
    </row>
    <row r="2" spans="1:3">
      <c r="A2" s="1" t="s">
        <v>76</v>
      </c>
      <c r="B2" t="s">
        <v>77</v>
      </c>
    </row>
    <row r="3" spans="1:3">
      <c r="A3" s="1" t="s">
        <v>78</v>
      </c>
      <c r="B3" s="1">
        <v>13.7</v>
      </c>
      <c r="C3" t="s">
        <v>79</v>
      </c>
    </row>
    <row r="4" spans="1:3">
      <c r="A4" s="1" t="s">
        <v>80</v>
      </c>
      <c r="B4" s="31">
        <f>'12 Jamaica Ponds'!L31</f>
        <v>323.92941195597831</v>
      </c>
      <c r="C4" t="s">
        <v>81</v>
      </c>
    </row>
    <row r="5" spans="1:3">
      <c r="A5" t="s">
        <v>82</v>
      </c>
      <c r="B5" s="1">
        <f>ROUND((B3/B4)*365,0)</f>
        <v>15</v>
      </c>
      <c r="C5" t="s">
        <v>88</v>
      </c>
    </row>
    <row r="6" spans="1:3">
      <c r="A6" t="s">
        <v>85</v>
      </c>
      <c r="B6" s="1">
        <f>ROUND(44.53+6.146*LN(B5)+0.145*(LN(B5)^2),1)</f>
        <v>62.2</v>
      </c>
      <c r="C6" t="s">
        <v>84</v>
      </c>
    </row>
    <row r="7" spans="1:3">
      <c r="A7" t="s">
        <v>83</v>
      </c>
      <c r="B7" s="1">
        <f>ROUND((43.75*B5)/(4.38+B5),1)</f>
        <v>33.9</v>
      </c>
      <c r="C7" t="s">
        <v>84</v>
      </c>
    </row>
    <row r="11" spans="1:3">
      <c r="A11" t="s">
        <v>89</v>
      </c>
    </row>
    <row r="12" spans="1:3">
      <c r="A12" t="s">
        <v>90</v>
      </c>
      <c r="B12">
        <v>66.540000000000006</v>
      </c>
      <c r="C12" t="s">
        <v>81</v>
      </c>
    </row>
    <row r="13" spans="1:3">
      <c r="A13" t="s">
        <v>91</v>
      </c>
      <c r="B13" s="14">
        <f>B4</f>
        <v>323.92941195597831</v>
      </c>
      <c r="C13" t="s">
        <v>81</v>
      </c>
    </row>
    <row r="14" spans="1:3">
      <c r="A14" t="s">
        <v>92</v>
      </c>
      <c r="B14">
        <f>ROUND(B12/B13*100,0)</f>
        <v>21</v>
      </c>
      <c r="C14" t="s">
        <v>84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:N2"/>
  <sheetViews>
    <sheetView workbookViewId="0">
      <selection activeCell="L1" sqref="L1:N2"/>
    </sheetView>
  </sheetViews>
  <sheetFormatPr defaultRowHeight="15"/>
  <cols>
    <col min="1" max="1" width="14.28515625" style="14" bestFit="1" customWidth="1"/>
    <col min="2" max="2" width="7.85546875" style="14" bestFit="1" customWidth="1"/>
    <col min="3" max="3" width="12.5703125" style="16" bestFit="1" customWidth="1"/>
    <col min="4" max="4" width="13.7109375" style="15" customWidth="1"/>
    <col min="5" max="5" width="14.7109375" style="15" bestFit="1" customWidth="1"/>
    <col min="6" max="7" width="13.7109375" style="15" customWidth="1"/>
    <col min="8" max="8" width="11.140625" style="14" bestFit="1" customWidth="1"/>
    <col min="9" max="10" width="13.7109375" style="15" customWidth="1"/>
    <col min="11" max="11" width="12.28515625" style="14" bestFit="1" customWidth="1"/>
    <col min="12" max="12" width="16.140625" customWidth="1"/>
  </cols>
  <sheetData>
    <row r="1" spans="1:14" ht="30">
      <c r="A1" s="14" t="s">
        <v>67</v>
      </c>
      <c r="B1" s="14" t="s">
        <v>46</v>
      </c>
      <c r="C1" s="16" t="s">
        <v>53</v>
      </c>
      <c r="D1" s="15" t="s">
        <v>47</v>
      </c>
      <c r="E1" s="15" t="s">
        <v>52</v>
      </c>
      <c r="F1" s="15" t="s">
        <v>48</v>
      </c>
      <c r="G1" s="15" t="s">
        <v>49</v>
      </c>
      <c r="H1" s="14" t="s">
        <v>51</v>
      </c>
      <c r="I1" s="15" t="s">
        <v>55</v>
      </c>
      <c r="J1" s="15" t="s">
        <v>56</v>
      </c>
      <c r="K1" s="14" t="s">
        <v>50</v>
      </c>
      <c r="L1" s="18" t="s">
        <v>57</v>
      </c>
      <c r="M1" s="18" t="s">
        <v>58</v>
      </c>
      <c r="N1" s="18" t="s">
        <v>59</v>
      </c>
    </row>
    <row r="2" spans="1:14">
      <c r="A2" s="14" t="s">
        <v>68</v>
      </c>
      <c r="B2" s="14">
        <v>1700</v>
      </c>
      <c r="C2" s="16">
        <v>0.16720241520000001</v>
      </c>
      <c r="D2" s="15">
        <v>0.78600000000000003</v>
      </c>
      <c r="E2" s="15">
        <v>46.66</v>
      </c>
      <c r="F2" s="15">
        <v>1.8</v>
      </c>
      <c r="G2" s="15">
        <v>0.47799999999999998</v>
      </c>
      <c r="H2" s="14">
        <v>1</v>
      </c>
      <c r="I2" s="15">
        <f>F2</f>
        <v>1.8</v>
      </c>
      <c r="J2" s="15">
        <f>G2</f>
        <v>0.47799999999999998</v>
      </c>
      <c r="K2" s="14">
        <v>34366</v>
      </c>
      <c r="L2" s="14">
        <f>ROUND(E2*D2*C2*102.79,0)</f>
        <v>630</v>
      </c>
      <c r="M2" s="14">
        <f>ROUND(I2*L2*0.002205,0)</f>
        <v>3</v>
      </c>
      <c r="N2" s="19">
        <f>ROUND(J2*L2*0.002205,1)</f>
        <v>0.7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:N2"/>
  <sheetViews>
    <sheetView workbookViewId="0">
      <selection activeCell="L1" sqref="L1:N2"/>
    </sheetView>
  </sheetViews>
  <sheetFormatPr defaultRowHeight="15"/>
  <cols>
    <col min="1" max="1" width="14.28515625" style="14" bestFit="1" customWidth="1"/>
    <col min="2" max="2" width="9.7109375" style="14" customWidth="1"/>
    <col min="3" max="3" width="12.5703125" style="16" bestFit="1" customWidth="1"/>
    <col min="4" max="4" width="13.7109375" style="15" customWidth="1"/>
    <col min="5" max="5" width="14.7109375" style="15" bestFit="1" customWidth="1"/>
    <col min="6" max="7" width="13.7109375" style="15" customWidth="1"/>
    <col min="8" max="8" width="11.140625" style="14" bestFit="1" customWidth="1"/>
    <col min="9" max="10" width="13.7109375" style="15" customWidth="1"/>
    <col min="11" max="11" width="12.28515625" style="14" bestFit="1" customWidth="1"/>
    <col min="12" max="12" width="14" customWidth="1"/>
  </cols>
  <sheetData>
    <row r="1" spans="1:14" ht="30">
      <c r="A1" s="14" t="s">
        <v>67</v>
      </c>
      <c r="B1" s="14" t="s">
        <v>46</v>
      </c>
      <c r="C1" s="16" t="s">
        <v>53</v>
      </c>
      <c r="D1" s="15" t="s">
        <v>47</v>
      </c>
      <c r="E1" s="15" t="s">
        <v>52</v>
      </c>
      <c r="F1" s="15" t="s">
        <v>48</v>
      </c>
      <c r="G1" s="15" t="s">
        <v>49</v>
      </c>
      <c r="H1" s="14" t="s">
        <v>51</v>
      </c>
      <c r="I1" s="15" t="s">
        <v>55</v>
      </c>
      <c r="J1" s="15" t="s">
        <v>56</v>
      </c>
      <c r="K1" s="14" t="s">
        <v>50</v>
      </c>
      <c r="L1" s="18" t="s">
        <v>57</v>
      </c>
      <c r="M1" s="18" t="s">
        <v>58</v>
      </c>
      <c r="N1" s="18" t="s">
        <v>59</v>
      </c>
    </row>
    <row r="2" spans="1:14">
      <c r="A2" s="14" t="s">
        <v>68</v>
      </c>
      <c r="B2" s="14">
        <v>1700</v>
      </c>
      <c r="C2" s="16">
        <v>2.0332905865000002</v>
      </c>
      <c r="D2" s="15">
        <v>0.78600000000000003</v>
      </c>
      <c r="E2" s="15">
        <v>46.66</v>
      </c>
      <c r="F2" s="15">
        <v>1.8</v>
      </c>
      <c r="G2" s="15">
        <v>0.47799999999999998</v>
      </c>
      <c r="H2" s="14">
        <v>1</v>
      </c>
      <c r="I2" s="15">
        <f>F2</f>
        <v>1.8</v>
      </c>
      <c r="J2" s="15">
        <f>G2</f>
        <v>0.47799999999999998</v>
      </c>
      <c r="K2" s="14">
        <v>34366</v>
      </c>
      <c r="L2" s="14">
        <f>ROUND(E2*D2*C2*102.79,0)</f>
        <v>7665</v>
      </c>
      <c r="M2" s="14">
        <f>ROUND(I2*L2*0.002205,0)</f>
        <v>30</v>
      </c>
      <c r="N2" s="19">
        <f>ROUND(J2*L2*0.002205,1)</f>
        <v>8.1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:N2"/>
  <sheetViews>
    <sheetView workbookViewId="0">
      <selection activeCell="L1" sqref="L1:N2"/>
    </sheetView>
  </sheetViews>
  <sheetFormatPr defaultRowHeight="15"/>
  <cols>
    <col min="1" max="1" width="14.28515625" style="14" bestFit="1" customWidth="1"/>
    <col min="2" max="2" width="7.85546875" style="14" bestFit="1" customWidth="1"/>
    <col min="3" max="3" width="12.5703125" style="16" bestFit="1" customWidth="1"/>
    <col min="4" max="4" width="13.7109375" style="15" customWidth="1"/>
    <col min="5" max="5" width="14.7109375" style="15" bestFit="1" customWidth="1"/>
    <col min="6" max="7" width="13.7109375" style="15" customWidth="1"/>
    <col min="8" max="8" width="11.140625" style="14" bestFit="1" customWidth="1"/>
    <col min="9" max="10" width="13.7109375" style="15" customWidth="1"/>
    <col min="11" max="11" width="12.28515625" style="14" bestFit="1" customWidth="1"/>
    <col min="12" max="12" width="14.85546875" customWidth="1"/>
    <col min="13" max="13" width="8" bestFit="1" customWidth="1"/>
    <col min="14" max="14" width="7.7109375" bestFit="1" customWidth="1"/>
  </cols>
  <sheetData>
    <row r="1" spans="1:14" ht="30">
      <c r="A1" s="14" t="s">
        <v>67</v>
      </c>
      <c r="B1" s="14" t="s">
        <v>46</v>
      </c>
      <c r="C1" s="16" t="s">
        <v>53</v>
      </c>
      <c r="D1" s="15" t="s">
        <v>47</v>
      </c>
      <c r="E1" s="15" t="s">
        <v>52</v>
      </c>
      <c r="F1" s="15" t="s">
        <v>48</v>
      </c>
      <c r="G1" s="15" t="s">
        <v>49</v>
      </c>
      <c r="H1" s="14" t="s">
        <v>51</v>
      </c>
      <c r="I1" s="15" t="s">
        <v>55</v>
      </c>
      <c r="J1" s="15" t="s">
        <v>56</v>
      </c>
      <c r="K1" s="14" t="s">
        <v>50</v>
      </c>
      <c r="L1" s="18" t="s">
        <v>57</v>
      </c>
      <c r="M1" s="18" t="s">
        <v>58</v>
      </c>
      <c r="N1" s="18" t="s">
        <v>59</v>
      </c>
    </row>
    <row r="2" spans="1:14">
      <c r="A2" s="14" t="s">
        <v>68</v>
      </c>
      <c r="B2" s="14">
        <v>1700</v>
      </c>
      <c r="C2" s="16">
        <v>1.2990052915999999</v>
      </c>
      <c r="D2" s="15">
        <v>0.78600000000000003</v>
      </c>
      <c r="E2" s="15">
        <v>46.66</v>
      </c>
      <c r="F2" s="15">
        <v>1.8</v>
      </c>
      <c r="G2" s="15">
        <v>0.47799999999999998</v>
      </c>
      <c r="H2" s="14">
        <v>1</v>
      </c>
      <c r="I2" s="15">
        <f>F2</f>
        <v>1.8</v>
      </c>
      <c r="J2" s="15">
        <f>G2</f>
        <v>0.47799999999999998</v>
      </c>
      <c r="K2" s="14">
        <v>34366</v>
      </c>
      <c r="L2" s="14">
        <f>ROUND(E2*D2*C2*102.79,0)</f>
        <v>4897</v>
      </c>
      <c r="M2" s="14">
        <f>ROUND(I2*L2*0.002205,0)</f>
        <v>19</v>
      </c>
      <c r="N2" s="19">
        <f>ROUND(J2*L2*0.002205,1)</f>
        <v>5.2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:N4"/>
  <sheetViews>
    <sheetView workbookViewId="0">
      <selection activeCell="L1" sqref="L1:N2"/>
    </sheetView>
  </sheetViews>
  <sheetFormatPr defaultRowHeight="15"/>
  <cols>
    <col min="1" max="1" width="14.28515625" style="14" bestFit="1" customWidth="1"/>
    <col min="2" max="2" width="7.85546875" style="14" bestFit="1" customWidth="1"/>
    <col min="3" max="3" width="12.5703125" style="16" bestFit="1" customWidth="1"/>
    <col min="4" max="4" width="13.7109375" style="15" customWidth="1"/>
    <col min="5" max="5" width="14.7109375" style="15" bestFit="1" customWidth="1"/>
    <col min="6" max="7" width="13.7109375" style="15" customWidth="1"/>
    <col min="8" max="8" width="11.140625" style="14" bestFit="1" customWidth="1"/>
    <col min="9" max="10" width="13.7109375" style="15" customWidth="1"/>
    <col min="11" max="11" width="12.28515625" style="14" bestFit="1" customWidth="1"/>
    <col min="12" max="12" width="13.42578125" customWidth="1"/>
  </cols>
  <sheetData>
    <row r="1" spans="1:14" ht="30">
      <c r="A1" s="14" t="s">
        <v>67</v>
      </c>
      <c r="B1" s="14" t="s">
        <v>46</v>
      </c>
      <c r="C1" s="16" t="s">
        <v>53</v>
      </c>
      <c r="D1" s="15" t="s">
        <v>47</v>
      </c>
      <c r="E1" s="15" t="s">
        <v>52</v>
      </c>
      <c r="F1" s="15" t="s">
        <v>48</v>
      </c>
      <c r="G1" s="15" t="s">
        <v>49</v>
      </c>
      <c r="H1" s="14" t="s">
        <v>51</v>
      </c>
      <c r="I1" s="15" t="s">
        <v>55</v>
      </c>
      <c r="J1" s="15" t="s">
        <v>56</v>
      </c>
      <c r="K1" s="14" t="s">
        <v>50</v>
      </c>
      <c r="L1" s="18" t="s">
        <v>57</v>
      </c>
      <c r="M1" s="18" t="s">
        <v>58</v>
      </c>
      <c r="N1" s="18" t="s">
        <v>59</v>
      </c>
    </row>
    <row r="2" spans="1:14">
      <c r="A2" s="14" t="s">
        <v>68</v>
      </c>
      <c r="B2" s="14">
        <v>1200</v>
      </c>
      <c r="C2" s="16">
        <v>9.5179513100000002E-2</v>
      </c>
      <c r="D2" s="15">
        <v>0.38900000000000001</v>
      </c>
      <c r="E2" s="15">
        <v>46.66</v>
      </c>
      <c r="F2" s="15">
        <v>2.23</v>
      </c>
      <c r="G2" s="15">
        <v>0.316</v>
      </c>
      <c r="H2" s="14">
        <v>1</v>
      </c>
      <c r="I2" s="15">
        <f>F2</f>
        <v>2.23</v>
      </c>
      <c r="J2" s="15">
        <f>G2</f>
        <v>0.316</v>
      </c>
      <c r="K2" s="14">
        <v>447612</v>
      </c>
      <c r="L2" s="14">
        <f>ROUND(E2*D2*C2*102.79,0)</f>
        <v>178</v>
      </c>
      <c r="M2" s="14">
        <f>ROUND(I2*L2*0.002205,0)</f>
        <v>1</v>
      </c>
      <c r="N2" s="19">
        <f>ROUND(J2*L2*0.002205,1)</f>
        <v>0.1</v>
      </c>
    </row>
    <row r="3" spans="1:14">
      <c r="A3" s="14" t="s">
        <v>68</v>
      </c>
      <c r="B3" s="14">
        <v>1700</v>
      </c>
      <c r="C3" s="16">
        <v>9.2344196700000006E-2</v>
      </c>
      <c r="D3" s="15">
        <v>0.78600000000000003</v>
      </c>
      <c r="E3" s="15">
        <v>46.66</v>
      </c>
      <c r="F3" s="15">
        <v>1.8</v>
      </c>
      <c r="G3" s="15">
        <v>0.47799999999999998</v>
      </c>
      <c r="H3" s="14">
        <v>1</v>
      </c>
      <c r="I3" s="15">
        <f>F3</f>
        <v>1.8</v>
      </c>
      <c r="J3" s="15">
        <f>G3</f>
        <v>0.47799999999999998</v>
      </c>
      <c r="K3" s="14">
        <v>34366</v>
      </c>
      <c r="L3" s="14">
        <f>ROUND(E3*D3*C3*102.79,0)</f>
        <v>348</v>
      </c>
      <c r="M3" s="14">
        <f>ROUND(I3*L3*0.002205,0)</f>
        <v>1</v>
      </c>
      <c r="N3" s="19">
        <f>ROUND(J3*L3*0.002205,1)</f>
        <v>0.4</v>
      </c>
    </row>
    <row r="4" spans="1:14">
      <c r="C4" s="16">
        <f>SUM(C2:C3)</f>
        <v>0.18752370979999999</v>
      </c>
      <c r="M4" s="14">
        <f>SUM(M2:M3)</f>
        <v>2</v>
      </c>
      <c r="N4" s="19">
        <f>SUM(N2:N3)</f>
        <v>0.5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:N4"/>
  <sheetViews>
    <sheetView workbookViewId="0">
      <selection activeCell="K40" sqref="K40"/>
    </sheetView>
  </sheetViews>
  <sheetFormatPr defaultRowHeight="15"/>
  <cols>
    <col min="1" max="1" width="14.28515625" style="14" bestFit="1" customWidth="1"/>
    <col min="2" max="2" width="7.85546875" style="14" bestFit="1" customWidth="1"/>
    <col min="3" max="3" width="12.5703125" style="16" bestFit="1" customWidth="1"/>
    <col min="4" max="4" width="13.7109375" style="15" customWidth="1"/>
    <col min="5" max="5" width="14.7109375" style="15" bestFit="1" customWidth="1"/>
    <col min="6" max="7" width="13.7109375" style="15" customWidth="1"/>
    <col min="8" max="8" width="11.140625" style="14" bestFit="1" customWidth="1"/>
    <col min="9" max="10" width="13.7109375" style="15" customWidth="1"/>
    <col min="11" max="11" width="12.28515625" style="14" bestFit="1" customWidth="1"/>
    <col min="12" max="12" width="15.7109375" customWidth="1"/>
  </cols>
  <sheetData>
    <row r="1" spans="1:14" ht="30">
      <c r="A1" s="14" t="s">
        <v>67</v>
      </c>
      <c r="B1" s="14" t="s">
        <v>46</v>
      </c>
      <c r="C1" s="16" t="s">
        <v>53</v>
      </c>
      <c r="D1" s="15" t="s">
        <v>47</v>
      </c>
      <c r="E1" s="15" t="s">
        <v>52</v>
      </c>
      <c r="F1" s="15" t="s">
        <v>48</v>
      </c>
      <c r="G1" s="15" t="s">
        <v>49</v>
      </c>
      <c r="H1" s="14" t="s">
        <v>51</v>
      </c>
      <c r="I1" s="15" t="s">
        <v>55</v>
      </c>
      <c r="J1" s="15" t="s">
        <v>56</v>
      </c>
      <c r="K1" s="14" t="s">
        <v>50</v>
      </c>
      <c r="L1" s="18" t="s">
        <v>57</v>
      </c>
      <c r="M1" s="18" t="s">
        <v>58</v>
      </c>
      <c r="N1" s="18" t="s">
        <v>59</v>
      </c>
    </row>
    <row r="2" spans="1:14">
      <c r="A2" s="14" t="s">
        <v>68</v>
      </c>
      <c r="B2" s="14">
        <v>1200</v>
      </c>
      <c r="C2" s="16">
        <v>2.8280550617000002</v>
      </c>
      <c r="D2" s="15">
        <v>0.38900000000000001</v>
      </c>
      <c r="E2" s="15">
        <v>46.66</v>
      </c>
      <c r="F2" s="15">
        <v>2.23</v>
      </c>
      <c r="G2" s="15">
        <v>0.316</v>
      </c>
      <c r="H2" s="14">
        <v>1</v>
      </c>
      <c r="I2" s="15">
        <f>F2</f>
        <v>2.23</v>
      </c>
      <c r="J2" s="15">
        <f>G2</f>
        <v>0.316</v>
      </c>
      <c r="K2" s="14">
        <v>447612</v>
      </c>
      <c r="L2" s="14">
        <f>ROUND(E2*D2*C2*102.79,0)</f>
        <v>5276</v>
      </c>
      <c r="M2" s="14">
        <f>ROUND(I2*L2*0.002205,0)</f>
        <v>26</v>
      </c>
      <c r="N2" s="19">
        <f>ROUND(J2*L2*0.002205,1)</f>
        <v>3.7</v>
      </c>
    </row>
    <row r="3" spans="1:14">
      <c r="A3" s="14" t="s">
        <v>68</v>
      </c>
      <c r="B3" s="14">
        <v>1700</v>
      </c>
      <c r="C3" s="16">
        <v>3.0398758469999998</v>
      </c>
      <c r="D3" s="15">
        <v>0.78600000000000003</v>
      </c>
      <c r="E3" s="15">
        <v>46.66</v>
      </c>
      <c r="F3" s="15">
        <v>1.8</v>
      </c>
      <c r="G3" s="15">
        <v>0.47799999999999998</v>
      </c>
      <c r="H3" s="14">
        <v>1</v>
      </c>
      <c r="I3" s="15">
        <f>F3</f>
        <v>1.8</v>
      </c>
      <c r="J3" s="15">
        <f>G3</f>
        <v>0.47799999999999998</v>
      </c>
      <c r="K3" s="14">
        <v>34366</v>
      </c>
      <c r="L3" s="14">
        <f>ROUND(E3*D3*C3*102.79,0)</f>
        <v>11460</v>
      </c>
      <c r="M3" s="14">
        <f>ROUND(I3*L3*0.002205,0)</f>
        <v>45</v>
      </c>
      <c r="N3" s="19">
        <f>ROUND(J3*L3*0.002205,1)</f>
        <v>12.1</v>
      </c>
    </row>
    <row r="4" spans="1:14">
      <c r="C4" s="16">
        <f>SUM(C2:C3)</f>
        <v>5.8679309087</v>
      </c>
      <c r="M4" s="14">
        <f>SUM(M2:M3)</f>
        <v>71</v>
      </c>
      <c r="N4" s="19">
        <f>SUM(N2:N3)</f>
        <v>15.8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:N2"/>
  <sheetViews>
    <sheetView workbookViewId="0">
      <selection activeCell="L1" sqref="L1:N2"/>
    </sheetView>
  </sheetViews>
  <sheetFormatPr defaultRowHeight="15"/>
  <cols>
    <col min="1" max="1" width="14.28515625" style="14" bestFit="1" customWidth="1"/>
    <col min="2" max="2" width="7.85546875" style="14" bestFit="1" customWidth="1"/>
    <col min="3" max="3" width="12.5703125" style="16" bestFit="1" customWidth="1"/>
    <col min="4" max="4" width="13.7109375" style="15" customWidth="1"/>
    <col min="5" max="5" width="14.7109375" style="15" bestFit="1" customWidth="1"/>
    <col min="6" max="7" width="13.7109375" style="15" customWidth="1"/>
    <col min="8" max="8" width="11.140625" style="14" bestFit="1" customWidth="1"/>
    <col min="9" max="10" width="13.7109375" style="15" customWidth="1"/>
    <col min="11" max="11" width="12.28515625" style="14" bestFit="1" customWidth="1"/>
    <col min="12" max="12" width="15.140625" customWidth="1"/>
  </cols>
  <sheetData>
    <row r="1" spans="1:14" ht="30">
      <c r="A1" s="14" t="s">
        <v>67</v>
      </c>
      <c r="B1" s="14" t="s">
        <v>46</v>
      </c>
      <c r="C1" s="16" t="s">
        <v>53</v>
      </c>
      <c r="D1" s="15" t="s">
        <v>47</v>
      </c>
      <c r="E1" s="15" t="s">
        <v>52</v>
      </c>
      <c r="F1" s="15" t="s">
        <v>48</v>
      </c>
      <c r="G1" s="15" t="s">
        <v>49</v>
      </c>
      <c r="H1" s="14" t="s">
        <v>51</v>
      </c>
      <c r="I1" s="15" t="s">
        <v>55</v>
      </c>
      <c r="J1" s="15" t="s">
        <v>56</v>
      </c>
      <c r="K1" s="14" t="s">
        <v>50</v>
      </c>
      <c r="L1" s="18" t="s">
        <v>57</v>
      </c>
      <c r="M1" s="18" t="s">
        <v>58</v>
      </c>
      <c r="N1" s="18" t="s">
        <v>59</v>
      </c>
    </row>
    <row r="2" spans="1:14">
      <c r="A2" s="14" t="s">
        <v>68</v>
      </c>
      <c r="B2" s="14">
        <v>1200</v>
      </c>
      <c r="C2" s="16">
        <v>0.39962589609999999</v>
      </c>
      <c r="D2" s="15">
        <v>0.38900000000000001</v>
      </c>
      <c r="E2" s="15">
        <v>46.66</v>
      </c>
      <c r="F2" s="15">
        <v>2.23</v>
      </c>
      <c r="G2" s="15">
        <v>0.316</v>
      </c>
      <c r="H2" s="14">
        <v>1</v>
      </c>
      <c r="I2" s="15">
        <f>F2</f>
        <v>2.23</v>
      </c>
      <c r="J2" s="15">
        <f>G2</f>
        <v>0.316</v>
      </c>
      <c r="K2" s="14">
        <v>447612</v>
      </c>
      <c r="L2" s="14">
        <f>ROUND(E2*D2*C2*102.79,0)</f>
        <v>746</v>
      </c>
      <c r="M2" s="14">
        <f>ROUND(I2*L2*0.002205,0)</f>
        <v>4</v>
      </c>
      <c r="N2" s="19">
        <f>ROUND(J2*L2*0.002205,1)</f>
        <v>0.5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:N4"/>
  <sheetViews>
    <sheetView workbookViewId="0">
      <selection activeCell="L1" sqref="L1:N2"/>
    </sheetView>
  </sheetViews>
  <sheetFormatPr defaultRowHeight="15"/>
  <cols>
    <col min="1" max="1" width="14.28515625" style="14" bestFit="1" customWidth="1"/>
    <col min="2" max="2" width="7.85546875" style="14" bestFit="1" customWidth="1"/>
    <col min="3" max="3" width="12.5703125" style="16" bestFit="1" customWidth="1"/>
    <col min="4" max="4" width="13.7109375" style="15" customWidth="1"/>
    <col min="5" max="5" width="14.7109375" style="15" bestFit="1" customWidth="1"/>
    <col min="6" max="7" width="13.7109375" style="15" customWidth="1"/>
    <col min="8" max="8" width="11.140625" style="14" bestFit="1" customWidth="1"/>
    <col min="9" max="10" width="13.7109375" style="15" customWidth="1"/>
    <col min="11" max="11" width="12.28515625" style="14" bestFit="1" customWidth="1"/>
    <col min="12" max="12" width="14.140625" customWidth="1"/>
  </cols>
  <sheetData>
    <row r="1" spans="1:14" ht="30">
      <c r="A1" s="14" t="s">
        <v>67</v>
      </c>
      <c r="B1" s="14" t="s">
        <v>46</v>
      </c>
      <c r="C1" s="16" t="s">
        <v>53</v>
      </c>
      <c r="D1" s="15" t="s">
        <v>47</v>
      </c>
      <c r="E1" s="15" t="s">
        <v>52</v>
      </c>
      <c r="F1" s="15" t="s">
        <v>48</v>
      </c>
      <c r="G1" s="15" t="s">
        <v>49</v>
      </c>
      <c r="H1" s="14" t="s">
        <v>51</v>
      </c>
      <c r="I1" s="15" t="s">
        <v>55</v>
      </c>
      <c r="J1" s="15" t="s">
        <v>56</v>
      </c>
      <c r="K1" s="14" t="s">
        <v>50</v>
      </c>
      <c r="L1" s="18" t="s">
        <v>57</v>
      </c>
      <c r="M1" s="18" t="s">
        <v>58</v>
      </c>
      <c r="N1" s="18" t="s">
        <v>59</v>
      </c>
    </row>
    <row r="2" spans="1:14">
      <c r="A2" s="14" t="s">
        <v>68</v>
      </c>
      <c r="B2" s="14">
        <v>1200</v>
      </c>
      <c r="C2" s="16">
        <v>4.0353448400999996</v>
      </c>
      <c r="D2" s="15">
        <v>0.38900000000000001</v>
      </c>
      <c r="E2" s="15">
        <v>46.66</v>
      </c>
      <c r="F2" s="15">
        <v>2.23</v>
      </c>
      <c r="G2" s="15">
        <v>0.316</v>
      </c>
      <c r="H2" s="14">
        <v>1</v>
      </c>
      <c r="I2" s="15">
        <f>F2</f>
        <v>2.23</v>
      </c>
      <c r="J2" s="15">
        <f>G2</f>
        <v>0.316</v>
      </c>
      <c r="K2" s="14">
        <v>447612</v>
      </c>
      <c r="L2" s="14">
        <f>ROUND(E2*D2*C2*102.79,0)</f>
        <v>7529</v>
      </c>
      <c r="M2" s="14">
        <f>ROUND(I2*L2*0.002205,0)</f>
        <v>37</v>
      </c>
      <c r="N2" s="19">
        <f>ROUND(J2*L2*0.002205,1)</f>
        <v>5.2</v>
      </c>
    </row>
    <row r="3" spans="1:14">
      <c r="A3" s="14" t="s">
        <v>68</v>
      </c>
      <c r="B3" s="14">
        <v>1200</v>
      </c>
      <c r="C3" s="16">
        <v>3.7857747300000001E-2</v>
      </c>
      <c r="D3" s="15">
        <v>0.22</v>
      </c>
      <c r="E3" s="15">
        <v>46.66</v>
      </c>
      <c r="F3" s="15">
        <v>2.23</v>
      </c>
      <c r="G3" s="15">
        <v>0.316</v>
      </c>
      <c r="H3" s="14">
        <v>1</v>
      </c>
      <c r="I3" s="15">
        <f>F3</f>
        <v>2.23</v>
      </c>
      <c r="J3" s="15">
        <f>G3</f>
        <v>0.316</v>
      </c>
      <c r="K3" s="14">
        <v>10613</v>
      </c>
      <c r="L3" s="14">
        <f>ROUND(E3*D3*C3*102.79,0)</f>
        <v>40</v>
      </c>
      <c r="M3" s="14">
        <f>ROUND(I3*L3*0.002205,0)</f>
        <v>0</v>
      </c>
      <c r="N3" s="19">
        <f>ROUND(J3*L3*0.002205,1)</f>
        <v>0</v>
      </c>
    </row>
    <row r="4" spans="1:14">
      <c r="C4" s="16">
        <f>SUM(C2:C3)</f>
        <v>4.0732025874</v>
      </c>
      <c r="M4" s="14">
        <f>SUM(M2:M3)</f>
        <v>37</v>
      </c>
      <c r="N4" s="19">
        <f>SUM(N2:N3)</f>
        <v>5.2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:N2"/>
  <sheetViews>
    <sheetView workbookViewId="0">
      <selection activeCell="L1" sqref="L1:N2"/>
    </sheetView>
  </sheetViews>
  <sheetFormatPr defaultRowHeight="15"/>
  <cols>
    <col min="1" max="1" width="14.28515625" style="14" bestFit="1" customWidth="1"/>
    <col min="2" max="2" width="7.85546875" style="14" bestFit="1" customWidth="1"/>
    <col min="3" max="3" width="12.5703125" style="16" bestFit="1" customWidth="1"/>
    <col min="4" max="4" width="13.7109375" style="15" customWidth="1"/>
    <col min="5" max="5" width="14.85546875" style="15" customWidth="1"/>
    <col min="6" max="7" width="13.7109375" style="15" customWidth="1"/>
    <col min="8" max="8" width="11.140625" style="14" bestFit="1" customWidth="1"/>
    <col min="9" max="10" width="13.7109375" style="15" customWidth="1"/>
    <col min="11" max="11" width="12.28515625" style="14" bestFit="1" customWidth="1"/>
    <col min="12" max="12" width="15.5703125" customWidth="1"/>
  </cols>
  <sheetData>
    <row r="1" spans="1:14" ht="30">
      <c r="A1" s="14" t="s">
        <v>67</v>
      </c>
      <c r="B1" s="14" t="s">
        <v>46</v>
      </c>
      <c r="C1" s="16" t="s">
        <v>53</v>
      </c>
      <c r="D1" s="15" t="s">
        <v>47</v>
      </c>
      <c r="E1" s="15" t="s">
        <v>52</v>
      </c>
      <c r="F1" s="15" t="s">
        <v>48</v>
      </c>
      <c r="G1" s="15" t="s">
        <v>49</v>
      </c>
      <c r="H1" s="14" t="s">
        <v>51</v>
      </c>
      <c r="I1" s="15" t="s">
        <v>55</v>
      </c>
      <c r="J1" s="15" t="s">
        <v>56</v>
      </c>
      <c r="K1" s="14" t="s">
        <v>50</v>
      </c>
      <c r="L1" s="18" t="s">
        <v>57</v>
      </c>
      <c r="M1" s="18" t="s">
        <v>58</v>
      </c>
      <c r="N1" s="18" t="s">
        <v>59</v>
      </c>
    </row>
    <row r="2" spans="1:14">
      <c r="A2" s="14" t="s">
        <v>68</v>
      </c>
      <c r="B2" s="14">
        <v>1200</v>
      </c>
      <c r="C2" s="16">
        <v>0.45739525130000003</v>
      </c>
      <c r="D2" s="15">
        <v>0.38900000000000001</v>
      </c>
      <c r="E2" s="15">
        <v>46.66</v>
      </c>
      <c r="F2" s="15">
        <v>2.23</v>
      </c>
      <c r="G2" s="15">
        <v>0.316</v>
      </c>
      <c r="H2" s="14">
        <v>1</v>
      </c>
      <c r="I2" s="15">
        <f>F2</f>
        <v>2.23</v>
      </c>
      <c r="J2" s="15">
        <f>G2</f>
        <v>0.316</v>
      </c>
      <c r="K2" s="14">
        <v>447612</v>
      </c>
      <c r="L2" s="14">
        <f>ROUND(E2*D2*C2*102.79,0)</f>
        <v>853</v>
      </c>
      <c r="M2" s="14">
        <f>ROUND(I2*L2*0.002205,0)</f>
        <v>4</v>
      </c>
      <c r="N2" s="19">
        <f>ROUND(J2*L2*0.002205,1)</f>
        <v>0.6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:N4"/>
  <sheetViews>
    <sheetView workbookViewId="0">
      <selection activeCell="L1" sqref="L1:N2"/>
    </sheetView>
  </sheetViews>
  <sheetFormatPr defaultRowHeight="15"/>
  <cols>
    <col min="1" max="1" width="14.28515625" style="14" bestFit="1" customWidth="1"/>
    <col min="2" max="2" width="7.85546875" style="14" bestFit="1" customWidth="1"/>
    <col min="3" max="3" width="12.5703125" style="16" bestFit="1" customWidth="1"/>
    <col min="4" max="4" width="13.7109375" style="15" customWidth="1"/>
    <col min="5" max="5" width="14.7109375" style="15" bestFit="1" customWidth="1"/>
    <col min="6" max="7" width="13.7109375" style="15" customWidth="1"/>
    <col min="8" max="8" width="11.140625" style="14" bestFit="1" customWidth="1"/>
    <col min="9" max="10" width="13.7109375" style="15" customWidth="1"/>
    <col min="11" max="11" width="12.28515625" style="14" bestFit="1" customWidth="1"/>
    <col min="12" max="12" width="15.140625" customWidth="1"/>
  </cols>
  <sheetData>
    <row r="1" spans="1:14" ht="30">
      <c r="A1" s="14" t="s">
        <v>67</v>
      </c>
      <c r="B1" s="14" t="s">
        <v>46</v>
      </c>
      <c r="C1" s="16" t="s">
        <v>53</v>
      </c>
      <c r="D1" s="15" t="s">
        <v>47</v>
      </c>
      <c r="E1" s="15" t="s">
        <v>52</v>
      </c>
      <c r="F1" s="15" t="s">
        <v>48</v>
      </c>
      <c r="G1" s="15" t="s">
        <v>49</v>
      </c>
      <c r="H1" s="14" t="s">
        <v>51</v>
      </c>
      <c r="I1" s="15" t="s">
        <v>55</v>
      </c>
      <c r="J1" s="15" t="s">
        <v>56</v>
      </c>
      <c r="K1" s="14" t="s">
        <v>50</v>
      </c>
      <c r="L1" s="18" t="s">
        <v>57</v>
      </c>
      <c r="M1" s="18" t="s">
        <v>58</v>
      </c>
      <c r="N1" s="18" t="s">
        <v>59</v>
      </c>
    </row>
    <row r="2" spans="1:14">
      <c r="A2" s="14" t="s">
        <v>68</v>
      </c>
      <c r="B2" s="14">
        <v>1200</v>
      </c>
      <c r="C2" s="16">
        <v>2.0058519427000001</v>
      </c>
      <c r="D2" s="15">
        <v>0.38900000000000001</v>
      </c>
      <c r="E2" s="15">
        <v>46.66</v>
      </c>
      <c r="F2" s="15">
        <v>2.23</v>
      </c>
      <c r="G2" s="15">
        <v>0.316</v>
      </c>
      <c r="H2" s="14">
        <v>1</v>
      </c>
      <c r="I2" s="15">
        <f>F2</f>
        <v>2.23</v>
      </c>
      <c r="J2" s="15">
        <f>G2</f>
        <v>0.316</v>
      </c>
      <c r="K2" s="14">
        <v>447612</v>
      </c>
      <c r="L2" s="14">
        <f>ROUND(E2*D2*C2*102.79,0)</f>
        <v>3742</v>
      </c>
      <c r="M2" s="14">
        <f>ROUND(I2*L2*0.002205,0)</f>
        <v>18</v>
      </c>
      <c r="N2" s="19">
        <f>ROUND(J2*L2*0.002205,1)</f>
        <v>2.6</v>
      </c>
    </row>
    <row r="3" spans="1:14">
      <c r="A3" s="14" t="s">
        <v>68</v>
      </c>
      <c r="B3" s="14">
        <v>1700</v>
      </c>
      <c r="C3" s="16">
        <v>4.9701860100000002E-2</v>
      </c>
      <c r="D3" s="15">
        <v>0.78600000000000003</v>
      </c>
      <c r="E3" s="15">
        <v>46.66</v>
      </c>
      <c r="F3" s="15">
        <v>1.8</v>
      </c>
      <c r="G3" s="15">
        <v>0.47799999999999998</v>
      </c>
      <c r="H3" s="14">
        <v>1</v>
      </c>
      <c r="I3" s="15">
        <f>F3</f>
        <v>1.8</v>
      </c>
      <c r="J3" s="15">
        <f>G3</f>
        <v>0.47799999999999998</v>
      </c>
      <c r="K3" s="14">
        <v>3638</v>
      </c>
      <c r="L3" s="14">
        <f>ROUND(E3*D3*C3*102.79,0)</f>
        <v>187</v>
      </c>
      <c r="M3" s="14">
        <f>ROUND(I3*L3*0.002205,0)</f>
        <v>1</v>
      </c>
      <c r="N3" s="19">
        <f>ROUND(J3*L3*0.002205,1)</f>
        <v>0.2</v>
      </c>
    </row>
    <row r="4" spans="1:14">
      <c r="C4" s="16">
        <f>SUM(C2:C3)</f>
        <v>2.0555538028</v>
      </c>
      <c r="M4" s="14">
        <f>SUM(M2:M3)</f>
        <v>19</v>
      </c>
      <c r="N4" s="19">
        <f>SUM(N2:N3)</f>
        <v>2.8000000000000003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:N5"/>
  <sheetViews>
    <sheetView workbookViewId="0">
      <selection activeCell="L1" sqref="L1:N2"/>
    </sheetView>
  </sheetViews>
  <sheetFormatPr defaultRowHeight="15"/>
  <cols>
    <col min="1" max="1" width="14.28515625" style="14" bestFit="1" customWidth="1"/>
    <col min="2" max="2" width="7.85546875" style="14" bestFit="1" customWidth="1"/>
    <col min="3" max="3" width="12.5703125" style="16" bestFit="1" customWidth="1"/>
    <col min="4" max="4" width="13.7109375" style="15" customWidth="1"/>
    <col min="5" max="5" width="14.7109375" style="15" bestFit="1" customWidth="1"/>
    <col min="6" max="7" width="13.7109375" style="15" customWidth="1"/>
    <col min="8" max="8" width="11.140625" style="14" bestFit="1" customWidth="1"/>
    <col min="9" max="10" width="13.7109375" style="15" customWidth="1"/>
    <col min="11" max="11" width="12.28515625" style="14" bestFit="1" customWidth="1"/>
    <col min="12" max="12" width="13.85546875" customWidth="1"/>
  </cols>
  <sheetData>
    <row r="1" spans="1:14" ht="30">
      <c r="A1" s="14" t="s">
        <v>67</v>
      </c>
      <c r="B1" s="14" t="s">
        <v>46</v>
      </c>
      <c r="C1" s="16" t="s">
        <v>53</v>
      </c>
      <c r="D1" s="15" t="s">
        <v>47</v>
      </c>
      <c r="E1" s="15" t="s">
        <v>52</v>
      </c>
      <c r="F1" s="15" t="s">
        <v>48</v>
      </c>
      <c r="G1" s="15" t="s">
        <v>49</v>
      </c>
      <c r="H1" s="14" t="s">
        <v>51</v>
      </c>
      <c r="I1" s="15" t="s">
        <v>55</v>
      </c>
      <c r="J1" s="15" t="s">
        <v>56</v>
      </c>
      <c r="K1" s="14" t="s">
        <v>50</v>
      </c>
      <c r="L1" s="18" t="s">
        <v>57</v>
      </c>
      <c r="M1" s="18" t="s">
        <v>58</v>
      </c>
      <c r="N1" s="18" t="s">
        <v>59</v>
      </c>
    </row>
    <row r="2" spans="1:14">
      <c r="A2" s="14" t="s">
        <v>68</v>
      </c>
      <c r="B2" s="14">
        <v>1300</v>
      </c>
      <c r="C2" s="16">
        <v>6.9477582999999997E-3</v>
      </c>
      <c r="D2" s="15">
        <v>0.63100000000000001</v>
      </c>
      <c r="E2" s="15">
        <v>46.66</v>
      </c>
      <c r="F2" s="15">
        <v>2.1</v>
      </c>
      <c r="G2" s="15">
        <v>0.51600000000000001</v>
      </c>
      <c r="H2" s="14">
        <v>1</v>
      </c>
      <c r="I2" s="15">
        <f>F2</f>
        <v>2.1</v>
      </c>
      <c r="J2" s="15">
        <f>G2</f>
        <v>0.51600000000000001</v>
      </c>
      <c r="K2" s="14">
        <v>11866</v>
      </c>
      <c r="L2" s="14">
        <f>ROUND(E2*D2*C2*102.79,0)</f>
        <v>21</v>
      </c>
      <c r="M2" s="14">
        <f>ROUND(I2*L2*0.002205,0)</f>
        <v>0</v>
      </c>
      <c r="N2" s="19">
        <f>ROUND(J2*L2*0.002205,1)</f>
        <v>0</v>
      </c>
    </row>
    <row r="3" spans="1:14">
      <c r="A3" s="14" t="s">
        <v>68</v>
      </c>
      <c r="B3" s="14">
        <v>1300</v>
      </c>
      <c r="C3" s="16">
        <v>9.2465116999999996E-3</v>
      </c>
      <c r="D3" s="15">
        <v>0.69199999999999995</v>
      </c>
      <c r="E3" s="15">
        <v>46.66</v>
      </c>
      <c r="F3" s="15">
        <v>2.1</v>
      </c>
      <c r="G3" s="15">
        <v>0.51600000000000001</v>
      </c>
      <c r="H3" s="14">
        <v>1</v>
      </c>
      <c r="I3" s="15">
        <f t="shared" ref="I3:I4" si="0">F3</f>
        <v>2.1</v>
      </c>
      <c r="J3" s="15">
        <f t="shared" ref="J3:J4" si="1">G3</f>
        <v>0.51600000000000001</v>
      </c>
      <c r="K3" s="14">
        <v>192</v>
      </c>
      <c r="L3" s="14">
        <f t="shared" ref="L3:L4" si="2">ROUND(E3*D3*C3*102.79,0)</f>
        <v>31</v>
      </c>
      <c r="M3" s="14">
        <f t="shared" ref="M3:M4" si="3">ROUND(I3*L3*0.002205,0)</f>
        <v>0</v>
      </c>
      <c r="N3" s="19">
        <f t="shared" ref="N3:N4" si="4">ROUND(J3*L3*0.002205,1)</f>
        <v>0</v>
      </c>
    </row>
    <row r="4" spans="1:14">
      <c r="A4" s="14" t="s">
        <v>68</v>
      </c>
      <c r="B4" s="14">
        <v>1700</v>
      </c>
      <c r="C4" s="16">
        <v>1.151982949</v>
      </c>
      <c r="D4" s="15">
        <v>0.78600000000000003</v>
      </c>
      <c r="E4" s="15">
        <v>46.66</v>
      </c>
      <c r="F4" s="15">
        <v>1.8</v>
      </c>
      <c r="G4" s="15">
        <v>0.47799999999999998</v>
      </c>
      <c r="H4" s="14">
        <v>1</v>
      </c>
      <c r="I4" s="15">
        <f t="shared" si="0"/>
        <v>1.8</v>
      </c>
      <c r="J4" s="15">
        <f t="shared" si="1"/>
        <v>0.47799999999999998</v>
      </c>
      <c r="K4" s="14">
        <v>3638</v>
      </c>
      <c r="L4" s="14">
        <f t="shared" si="2"/>
        <v>4343</v>
      </c>
      <c r="M4" s="14">
        <f t="shared" si="3"/>
        <v>17</v>
      </c>
      <c r="N4" s="19">
        <f t="shared" si="4"/>
        <v>4.5999999999999996</v>
      </c>
    </row>
    <row r="5" spans="1:14">
      <c r="C5" s="16">
        <f>SUM(C2:C4)</f>
        <v>1.1681772189999999</v>
      </c>
      <c r="M5" s="14">
        <f>SUM(M2:M4)</f>
        <v>17</v>
      </c>
      <c r="N5" s="19">
        <f>SUM(N2:N4)</f>
        <v>4.5999999999999996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4"/>
  <sheetViews>
    <sheetView zoomScaleNormal="100" workbookViewId="0">
      <selection activeCell="N2" sqref="N2"/>
    </sheetView>
  </sheetViews>
  <sheetFormatPr defaultRowHeight="15"/>
  <cols>
    <col min="1" max="1" width="14.28515625" style="14" bestFit="1" customWidth="1"/>
    <col min="2" max="2" width="9.7109375" style="14" customWidth="1"/>
    <col min="3" max="3" width="15.42578125" style="14" bestFit="1" customWidth="1"/>
    <col min="4" max="4" width="6.85546875" style="15" bestFit="1" customWidth="1"/>
    <col min="5" max="5" width="13.7109375" style="15" bestFit="1" customWidth="1"/>
    <col min="6" max="6" width="9.42578125" style="15" bestFit="1" customWidth="1"/>
    <col min="7" max="7" width="9.140625" style="15" bestFit="1" customWidth="1"/>
    <col min="8" max="8" width="11.28515625" style="15" bestFit="1" customWidth="1"/>
    <col min="9" max="10" width="9" style="15" customWidth="1"/>
    <col min="11" max="11" width="12.42578125" style="14" bestFit="1" customWidth="1"/>
    <col min="12" max="12" width="15.28515625" style="14" customWidth="1"/>
    <col min="13" max="13" width="10.7109375" style="15" customWidth="1"/>
    <col min="14" max="14" width="10.140625" style="16" customWidth="1"/>
  </cols>
  <sheetData>
    <row r="1" spans="1:14" ht="30">
      <c r="A1" s="14" t="s">
        <v>67</v>
      </c>
      <c r="B1" s="14" t="s">
        <v>46</v>
      </c>
      <c r="C1" s="16" t="s">
        <v>53</v>
      </c>
      <c r="D1" s="15" t="s">
        <v>47</v>
      </c>
      <c r="E1" s="15" t="s">
        <v>52</v>
      </c>
      <c r="F1" s="15" t="s">
        <v>48</v>
      </c>
      <c r="G1" s="15" t="s">
        <v>49</v>
      </c>
      <c r="H1" s="14" t="s">
        <v>51</v>
      </c>
      <c r="I1" s="15" t="s">
        <v>55</v>
      </c>
      <c r="J1" s="15" t="s">
        <v>56</v>
      </c>
      <c r="K1" s="14" t="s">
        <v>50</v>
      </c>
      <c r="L1" s="18" t="s">
        <v>57</v>
      </c>
      <c r="M1" s="18" t="s">
        <v>58</v>
      </c>
      <c r="N1" s="18" t="s">
        <v>59</v>
      </c>
    </row>
    <row r="2" spans="1:14" ht="14.25" customHeight="1">
      <c r="A2" s="14" t="s">
        <v>68</v>
      </c>
      <c r="B2" s="14">
        <v>1700</v>
      </c>
      <c r="C2" s="16">
        <v>15.254635241000001</v>
      </c>
      <c r="D2" s="17">
        <v>0.78600000000000003</v>
      </c>
      <c r="E2" s="17">
        <v>46.66</v>
      </c>
      <c r="F2" s="17">
        <v>1.8</v>
      </c>
      <c r="G2" s="17">
        <v>0.47799999999999998</v>
      </c>
      <c r="H2" s="14">
        <v>1</v>
      </c>
      <c r="I2" s="17">
        <f>F2</f>
        <v>1.8</v>
      </c>
      <c r="J2" s="17">
        <f>G2</f>
        <v>0.47799999999999998</v>
      </c>
      <c r="K2" s="14">
        <v>101789</v>
      </c>
      <c r="L2" s="14">
        <f>ROUND(E2*D2*C2*102.79,0)</f>
        <v>57507</v>
      </c>
      <c r="M2" s="14">
        <f>ROUND(I2*L2*0.002205,0)</f>
        <v>228</v>
      </c>
      <c r="N2" s="19">
        <f>ROUND(J2*L2*0.002205,1)</f>
        <v>60.6</v>
      </c>
    </row>
    <row r="3" spans="1:14">
      <c r="A3" s="14" t="s">
        <v>68</v>
      </c>
      <c r="B3" s="14">
        <v>1200</v>
      </c>
      <c r="C3" s="16">
        <v>9.4088675170999991</v>
      </c>
      <c r="D3" s="17">
        <v>0.38900000000000001</v>
      </c>
      <c r="E3" s="17">
        <v>46.66</v>
      </c>
      <c r="F3" s="17">
        <v>2.23</v>
      </c>
      <c r="G3" s="17">
        <v>0.316</v>
      </c>
      <c r="H3" s="14">
        <v>1</v>
      </c>
      <c r="I3" s="17">
        <f>F3</f>
        <v>2.23</v>
      </c>
      <c r="J3" s="17">
        <f>G3</f>
        <v>0.316</v>
      </c>
      <c r="K3" s="14">
        <v>447612</v>
      </c>
      <c r="L3" s="14">
        <f>ROUND(E3*D3*C3*102.79,0)</f>
        <v>17554</v>
      </c>
      <c r="M3" s="14">
        <f>ROUND(I3*L3*0.002205,0)</f>
        <v>86</v>
      </c>
      <c r="N3" s="19">
        <f>ROUND(J3*L3*0.002205,1)</f>
        <v>12.2</v>
      </c>
    </row>
    <row r="4" spans="1:14">
      <c r="C4" s="14">
        <f>SUM(C2:C3)</f>
        <v>24.663502758100002</v>
      </c>
      <c r="M4" s="14">
        <f>SUM(M2:M3)</f>
        <v>314</v>
      </c>
      <c r="N4" s="19">
        <f>SUM(N2:N3)</f>
        <v>72.8</v>
      </c>
    </row>
  </sheetData>
  <pageMargins left="0.7" right="0.7" top="0.75" bottom="0.75" header="0.3" footer="0.3"/>
  <pageSetup scale="77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>
  <dimension ref="A1:N2"/>
  <sheetViews>
    <sheetView workbookViewId="0">
      <selection activeCell="L1" sqref="L1:N2"/>
    </sheetView>
  </sheetViews>
  <sheetFormatPr defaultRowHeight="15"/>
  <cols>
    <col min="1" max="1" width="14.28515625" style="14" bestFit="1" customWidth="1"/>
    <col min="2" max="2" width="7.85546875" style="14" bestFit="1" customWidth="1"/>
    <col min="3" max="3" width="12.5703125" style="16" bestFit="1" customWidth="1"/>
    <col min="4" max="4" width="13.7109375" style="15" customWidth="1"/>
    <col min="5" max="5" width="14.7109375" style="15" bestFit="1" customWidth="1"/>
    <col min="6" max="7" width="13.7109375" style="15" customWidth="1"/>
    <col min="8" max="8" width="11.140625" style="14" bestFit="1" customWidth="1"/>
    <col min="9" max="10" width="13.7109375" style="15" customWidth="1"/>
    <col min="11" max="11" width="12" style="14" customWidth="1"/>
    <col min="12" max="12" width="15.85546875" customWidth="1"/>
  </cols>
  <sheetData>
    <row r="1" spans="1:14" ht="30">
      <c r="A1" s="14" t="s">
        <v>67</v>
      </c>
      <c r="B1" s="14" t="s">
        <v>46</v>
      </c>
      <c r="C1" s="16" t="s">
        <v>53</v>
      </c>
      <c r="D1" s="15" t="s">
        <v>47</v>
      </c>
      <c r="E1" s="15" t="s">
        <v>52</v>
      </c>
      <c r="F1" s="15" t="s">
        <v>48</v>
      </c>
      <c r="G1" s="15" t="s">
        <v>49</v>
      </c>
      <c r="H1" s="14" t="s">
        <v>51</v>
      </c>
      <c r="I1" s="15" t="s">
        <v>55</v>
      </c>
      <c r="J1" s="15" t="s">
        <v>56</v>
      </c>
      <c r="K1" s="14" t="s">
        <v>50</v>
      </c>
      <c r="L1" s="18" t="s">
        <v>57</v>
      </c>
      <c r="M1" s="18" t="s">
        <v>58</v>
      </c>
      <c r="N1" s="18" t="s">
        <v>59</v>
      </c>
    </row>
    <row r="2" spans="1:14">
      <c r="A2" s="14" t="s">
        <v>68</v>
      </c>
      <c r="B2" s="14">
        <v>1300</v>
      </c>
      <c r="C2" s="16">
        <v>7.6225718400000003E-2</v>
      </c>
      <c r="D2" s="15">
        <v>0.63100000000000001</v>
      </c>
      <c r="E2" s="15">
        <v>46.66</v>
      </c>
      <c r="F2" s="15">
        <v>2.1</v>
      </c>
      <c r="G2" s="15">
        <v>0.51600000000000001</v>
      </c>
      <c r="H2" s="14">
        <v>1</v>
      </c>
      <c r="I2" s="15">
        <f>F2</f>
        <v>2.1</v>
      </c>
      <c r="J2" s="15">
        <f>G2</f>
        <v>0.51600000000000001</v>
      </c>
      <c r="K2" s="14">
        <v>11866</v>
      </c>
      <c r="L2" s="14">
        <f>ROUND(E2*D2*C2*102.79,0)</f>
        <v>231</v>
      </c>
      <c r="M2" s="14">
        <f>ROUND(I2*L2*0.002205,0)</f>
        <v>1</v>
      </c>
      <c r="N2" s="19">
        <f>ROUND(J2*L2*0.002205,1)</f>
        <v>0.3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:N7"/>
  <sheetViews>
    <sheetView workbookViewId="0">
      <selection activeCell="L1" sqref="L1:N2"/>
    </sheetView>
  </sheetViews>
  <sheetFormatPr defaultRowHeight="15"/>
  <cols>
    <col min="1" max="1" width="14.28515625" style="14" bestFit="1" customWidth="1"/>
    <col min="2" max="2" width="7.85546875" style="14" bestFit="1" customWidth="1"/>
    <col min="3" max="3" width="12.5703125" style="16" bestFit="1" customWidth="1"/>
    <col min="4" max="4" width="13.7109375" style="15" customWidth="1"/>
    <col min="5" max="5" width="14.7109375" style="15" bestFit="1" customWidth="1"/>
    <col min="6" max="7" width="13.7109375" style="15" customWidth="1"/>
    <col min="8" max="8" width="11.140625" style="14" bestFit="1" customWidth="1"/>
    <col min="9" max="10" width="13.7109375" style="15" customWidth="1"/>
    <col min="11" max="11" width="12.28515625" style="14" bestFit="1" customWidth="1"/>
    <col min="12" max="12" width="14.85546875" customWidth="1"/>
  </cols>
  <sheetData>
    <row r="1" spans="1:14" ht="30">
      <c r="A1" s="14" t="s">
        <v>67</v>
      </c>
      <c r="B1" s="14" t="s">
        <v>46</v>
      </c>
      <c r="C1" s="16" t="s">
        <v>53</v>
      </c>
      <c r="D1" s="15" t="s">
        <v>47</v>
      </c>
      <c r="E1" s="15" t="s">
        <v>52</v>
      </c>
      <c r="F1" s="15" t="s">
        <v>48</v>
      </c>
      <c r="G1" s="15" t="s">
        <v>49</v>
      </c>
      <c r="H1" s="14" t="s">
        <v>51</v>
      </c>
      <c r="I1" s="15" t="s">
        <v>55</v>
      </c>
      <c r="J1" s="15" t="s">
        <v>56</v>
      </c>
      <c r="K1" s="14" t="s">
        <v>50</v>
      </c>
      <c r="L1" s="18" t="s">
        <v>57</v>
      </c>
      <c r="M1" s="18" t="s">
        <v>58</v>
      </c>
      <c r="N1" s="18" t="s">
        <v>59</v>
      </c>
    </row>
    <row r="2" spans="1:14">
      <c r="A2" s="14" t="s">
        <v>68</v>
      </c>
      <c r="B2" s="14">
        <v>1200</v>
      </c>
      <c r="C2" s="16">
        <v>0.84053074390000004</v>
      </c>
      <c r="D2" s="15">
        <v>0.38900000000000001</v>
      </c>
      <c r="E2" s="15">
        <v>46.66</v>
      </c>
      <c r="F2" s="15">
        <v>2.23</v>
      </c>
      <c r="G2" s="15">
        <v>0.316</v>
      </c>
      <c r="H2" s="14">
        <v>1</v>
      </c>
      <c r="I2" s="15">
        <f>F2</f>
        <v>2.23</v>
      </c>
      <c r="J2" s="15">
        <f>G2</f>
        <v>0.316</v>
      </c>
      <c r="K2" s="14">
        <v>447612</v>
      </c>
      <c r="L2" s="14">
        <f>ROUND(E2*D2*C2*102.79,0)</f>
        <v>1568</v>
      </c>
      <c r="M2" s="14">
        <f>ROUND(I2*L2*0.002205,0)</f>
        <v>8</v>
      </c>
      <c r="N2" s="19">
        <f>ROUND(J2*L2*0.002205,1)</f>
        <v>1.1000000000000001</v>
      </c>
    </row>
    <row r="3" spans="1:14">
      <c r="A3" s="14" t="s">
        <v>68</v>
      </c>
      <c r="B3" s="14">
        <v>1400</v>
      </c>
      <c r="C3" s="16">
        <v>0.17726595649999999</v>
      </c>
      <c r="D3" s="15">
        <v>0.88800000000000001</v>
      </c>
      <c r="E3" s="15">
        <v>46.66</v>
      </c>
      <c r="F3" s="15">
        <v>1.93</v>
      </c>
      <c r="G3" s="15">
        <v>0.497</v>
      </c>
      <c r="H3" s="14">
        <v>1</v>
      </c>
      <c r="I3" s="15">
        <f t="shared" ref="I3:I6" si="0">F3</f>
        <v>1.93</v>
      </c>
      <c r="J3" s="15">
        <f t="shared" ref="J3:J6" si="1">G3</f>
        <v>0.497</v>
      </c>
      <c r="K3" s="14">
        <v>6933</v>
      </c>
      <c r="L3" s="14">
        <f t="shared" ref="L3:L6" si="2">ROUND(E3*D3*C3*102.79,0)</f>
        <v>755</v>
      </c>
      <c r="M3" s="14">
        <f t="shared" ref="M3:M6" si="3">ROUND(I3*L3*0.002205,0)</f>
        <v>3</v>
      </c>
      <c r="N3" s="19">
        <f t="shared" ref="N3:N6" si="4">ROUND(J3*L3*0.002205,1)</f>
        <v>0.8</v>
      </c>
    </row>
    <row r="4" spans="1:14">
      <c r="A4" s="14" t="s">
        <v>68</v>
      </c>
      <c r="B4" s="14">
        <v>1200</v>
      </c>
      <c r="C4" s="16">
        <v>1.4517621109000001</v>
      </c>
      <c r="D4" s="15">
        <v>0.22</v>
      </c>
      <c r="E4" s="15">
        <v>46.66</v>
      </c>
      <c r="F4" s="15">
        <v>2.23</v>
      </c>
      <c r="G4" s="15">
        <v>0.316</v>
      </c>
      <c r="H4" s="14">
        <v>1</v>
      </c>
      <c r="I4" s="15">
        <f t="shared" si="0"/>
        <v>2.23</v>
      </c>
      <c r="J4" s="15">
        <f t="shared" si="1"/>
        <v>0.316</v>
      </c>
      <c r="K4" s="14">
        <v>699</v>
      </c>
      <c r="L4" s="14">
        <f t="shared" si="2"/>
        <v>1532</v>
      </c>
      <c r="M4" s="14">
        <f t="shared" si="3"/>
        <v>8</v>
      </c>
      <c r="N4" s="19">
        <f t="shared" si="4"/>
        <v>1.1000000000000001</v>
      </c>
    </row>
    <row r="5" spans="1:14">
      <c r="A5" s="14" t="s">
        <v>68</v>
      </c>
      <c r="B5" s="14">
        <v>1400</v>
      </c>
      <c r="C5" s="16">
        <v>0.1907415126</v>
      </c>
      <c r="D5" s="15">
        <v>0.88600000000000001</v>
      </c>
      <c r="E5" s="15">
        <v>46.66</v>
      </c>
      <c r="F5" s="15">
        <v>1.93</v>
      </c>
      <c r="G5" s="15">
        <v>0.497</v>
      </c>
      <c r="H5" s="14">
        <v>1</v>
      </c>
      <c r="I5" s="15">
        <f t="shared" si="0"/>
        <v>1.93</v>
      </c>
      <c r="J5" s="15">
        <f t="shared" si="1"/>
        <v>0.497</v>
      </c>
      <c r="K5" s="14">
        <v>2495</v>
      </c>
      <c r="L5" s="14">
        <f t="shared" si="2"/>
        <v>811</v>
      </c>
      <c r="M5" s="14">
        <f t="shared" si="3"/>
        <v>3</v>
      </c>
      <c r="N5" s="19">
        <f t="shared" si="4"/>
        <v>0.9</v>
      </c>
    </row>
    <row r="6" spans="1:14">
      <c r="A6" s="14" t="s">
        <v>68</v>
      </c>
      <c r="B6" s="14">
        <v>1300</v>
      </c>
      <c r="C6" s="16">
        <v>0.40532435360000002</v>
      </c>
      <c r="D6" s="15">
        <v>0.63100000000000001</v>
      </c>
      <c r="E6" s="15">
        <v>46.66</v>
      </c>
      <c r="F6" s="15">
        <v>2.1</v>
      </c>
      <c r="G6" s="15">
        <v>0.51600000000000001</v>
      </c>
      <c r="H6" s="14">
        <v>1</v>
      </c>
      <c r="I6" s="15">
        <f t="shared" si="0"/>
        <v>2.1</v>
      </c>
      <c r="J6" s="15">
        <f t="shared" si="1"/>
        <v>0.51600000000000001</v>
      </c>
      <c r="K6" s="14">
        <v>11866</v>
      </c>
      <c r="L6" s="14">
        <f t="shared" si="2"/>
        <v>1227</v>
      </c>
      <c r="M6" s="14">
        <f t="shared" si="3"/>
        <v>6</v>
      </c>
      <c r="N6" s="19">
        <f t="shared" si="4"/>
        <v>1.4</v>
      </c>
    </row>
    <row r="7" spans="1:14">
      <c r="C7" s="16">
        <f>SUM(C2:C6)</f>
        <v>3.0656246774999998</v>
      </c>
      <c r="M7" s="14">
        <f>SUM(M2:M6)</f>
        <v>28</v>
      </c>
      <c r="N7" s="19">
        <f>SUM(N2:N6)</f>
        <v>5.3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:N5"/>
  <sheetViews>
    <sheetView workbookViewId="0">
      <selection activeCell="L1" sqref="L1:N2"/>
    </sheetView>
  </sheetViews>
  <sheetFormatPr defaultRowHeight="15"/>
  <cols>
    <col min="1" max="1" width="14.28515625" style="14" bestFit="1" customWidth="1"/>
    <col min="2" max="2" width="7.85546875" style="14" bestFit="1" customWidth="1"/>
    <col min="3" max="3" width="12.5703125" style="16" bestFit="1" customWidth="1"/>
    <col min="4" max="4" width="13.7109375" style="15" customWidth="1"/>
    <col min="5" max="5" width="14.7109375" style="15" bestFit="1" customWidth="1"/>
    <col min="6" max="7" width="13.7109375" style="15" customWidth="1"/>
    <col min="8" max="8" width="11.140625" style="14" bestFit="1" customWidth="1"/>
    <col min="9" max="10" width="13.7109375" style="15" customWidth="1"/>
    <col min="11" max="11" width="12.28515625" style="14" bestFit="1" customWidth="1"/>
    <col min="12" max="12" width="14.42578125" customWidth="1"/>
  </cols>
  <sheetData>
    <row r="1" spans="1:14" ht="30">
      <c r="A1" s="14" t="s">
        <v>67</v>
      </c>
      <c r="B1" s="14" t="s">
        <v>46</v>
      </c>
      <c r="C1" s="16" t="s">
        <v>53</v>
      </c>
      <c r="D1" s="15" t="s">
        <v>47</v>
      </c>
      <c r="E1" s="15" t="s">
        <v>52</v>
      </c>
      <c r="F1" s="15" t="s">
        <v>48</v>
      </c>
      <c r="G1" s="15" t="s">
        <v>49</v>
      </c>
      <c r="H1" s="14" t="s">
        <v>51</v>
      </c>
      <c r="I1" s="15" t="s">
        <v>55</v>
      </c>
      <c r="J1" s="15" t="s">
        <v>56</v>
      </c>
      <c r="K1" s="14" t="s">
        <v>50</v>
      </c>
      <c r="L1" s="18" t="s">
        <v>57</v>
      </c>
      <c r="M1" s="18" t="s">
        <v>58</v>
      </c>
      <c r="N1" s="18" t="s">
        <v>59</v>
      </c>
    </row>
    <row r="2" spans="1:14">
      <c r="A2" s="14" t="s">
        <v>68</v>
      </c>
      <c r="B2" s="14">
        <v>1200</v>
      </c>
      <c r="C2" s="16">
        <v>3.0502125000000001E-2</v>
      </c>
      <c r="D2" s="15">
        <v>0.22</v>
      </c>
      <c r="E2" s="15">
        <v>46.66</v>
      </c>
      <c r="F2" s="15">
        <v>2.23</v>
      </c>
      <c r="G2" s="15">
        <v>0.316</v>
      </c>
      <c r="H2" s="14">
        <v>1</v>
      </c>
      <c r="I2" s="15">
        <f>F2</f>
        <v>2.23</v>
      </c>
      <c r="J2" s="15">
        <f>G2</f>
        <v>0.316</v>
      </c>
      <c r="K2" s="14">
        <v>699</v>
      </c>
      <c r="L2" s="14">
        <f>ROUND(E2*D2*C2*102.79,0)</f>
        <v>32</v>
      </c>
      <c r="M2" s="14">
        <f>ROUND(I2*L2*0.002205,0)</f>
        <v>0</v>
      </c>
      <c r="N2" s="19">
        <f>ROUND(J2*L2*0.002205,1)</f>
        <v>0</v>
      </c>
    </row>
    <row r="3" spans="1:14">
      <c r="A3" s="14" t="s">
        <v>68</v>
      </c>
      <c r="B3" s="14">
        <v>1400</v>
      </c>
      <c r="C3" s="16">
        <v>9.7055133000000002E-2</v>
      </c>
      <c r="D3" s="15">
        <v>0.88600000000000001</v>
      </c>
      <c r="E3" s="15">
        <v>46.66</v>
      </c>
      <c r="F3" s="15">
        <v>1.93</v>
      </c>
      <c r="G3" s="15">
        <v>0.497</v>
      </c>
      <c r="H3" s="14">
        <v>1</v>
      </c>
      <c r="I3" s="15">
        <f t="shared" ref="I3:I4" si="0">F3</f>
        <v>1.93</v>
      </c>
      <c r="J3" s="15">
        <f t="shared" ref="J3:J4" si="1">G3</f>
        <v>0.497</v>
      </c>
      <c r="K3" s="14">
        <v>2495</v>
      </c>
      <c r="L3" s="14">
        <f t="shared" ref="L3:L4" si="2">ROUND(E3*D3*C3*102.79,0)</f>
        <v>412</v>
      </c>
      <c r="M3" s="14">
        <f t="shared" ref="M3:M4" si="3">ROUND(I3*L3*0.002205,0)</f>
        <v>2</v>
      </c>
      <c r="N3" s="19">
        <f t="shared" ref="N3:N4" si="4">ROUND(J3*L3*0.002205,1)</f>
        <v>0.5</v>
      </c>
    </row>
    <row r="4" spans="1:14">
      <c r="A4" s="14" t="s">
        <v>68</v>
      </c>
      <c r="B4" s="14">
        <v>1300</v>
      </c>
      <c r="C4" s="16">
        <v>0.4176939536</v>
      </c>
      <c r="D4" s="15">
        <v>0.63100000000000001</v>
      </c>
      <c r="E4" s="15">
        <v>46.66</v>
      </c>
      <c r="F4" s="15">
        <v>2.1</v>
      </c>
      <c r="G4" s="15">
        <v>0.51600000000000001</v>
      </c>
      <c r="H4" s="14">
        <v>1</v>
      </c>
      <c r="I4" s="15">
        <f t="shared" si="0"/>
        <v>2.1</v>
      </c>
      <c r="J4" s="15">
        <f t="shared" si="1"/>
        <v>0.51600000000000001</v>
      </c>
      <c r="K4" s="14">
        <v>11866</v>
      </c>
      <c r="L4" s="14">
        <f t="shared" si="2"/>
        <v>1264</v>
      </c>
      <c r="M4" s="14">
        <f t="shared" si="3"/>
        <v>6</v>
      </c>
      <c r="N4" s="19">
        <f t="shared" si="4"/>
        <v>1.4</v>
      </c>
    </row>
    <row r="5" spans="1:14">
      <c r="C5" s="16">
        <f>SUM(C2:C4)</f>
        <v>0.54525121160000001</v>
      </c>
      <c r="M5" s="14">
        <f>SUM(M2:M4)</f>
        <v>8</v>
      </c>
      <c r="N5" s="19">
        <f>SUM(N2:N4)</f>
        <v>1.9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:N5"/>
  <sheetViews>
    <sheetView workbookViewId="0">
      <selection activeCell="M2" sqref="M2:M5"/>
    </sheetView>
  </sheetViews>
  <sheetFormatPr defaultRowHeight="15"/>
  <cols>
    <col min="1" max="1" width="14.28515625" style="14" bestFit="1" customWidth="1"/>
    <col min="2" max="2" width="7.85546875" style="14" bestFit="1" customWidth="1"/>
    <col min="3" max="3" width="12.5703125" style="16" bestFit="1" customWidth="1"/>
    <col min="4" max="4" width="13.7109375" style="15" customWidth="1"/>
    <col min="5" max="5" width="14.7109375" style="15" bestFit="1" customWidth="1"/>
    <col min="6" max="7" width="13.7109375" style="15" customWidth="1"/>
    <col min="8" max="8" width="11.140625" style="14" bestFit="1" customWidth="1"/>
    <col min="9" max="10" width="13.7109375" style="15" customWidth="1"/>
    <col min="11" max="11" width="12.28515625" style="14" bestFit="1" customWidth="1"/>
    <col min="12" max="12" width="13.5703125" customWidth="1"/>
  </cols>
  <sheetData>
    <row r="1" spans="1:14" ht="30">
      <c r="A1" s="14" t="s">
        <v>67</v>
      </c>
      <c r="B1" s="14" t="s">
        <v>46</v>
      </c>
      <c r="C1" s="16" t="s">
        <v>53</v>
      </c>
      <c r="D1" s="15" t="s">
        <v>47</v>
      </c>
      <c r="E1" s="15" t="s">
        <v>52</v>
      </c>
      <c r="F1" s="15" t="s">
        <v>48</v>
      </c>
      <c r="G1" s="15" t="s">
        <v>49</v>
      </c>
      <c r="H1" s="14" t="s">
        <v>51</v>
      </c>
      <c r="I1" s="15" t="s">
        <v>55</v>
      </c>
      <c r="J1" s="15" t="s">
        <v>56</v>
      </c>
      <c r="K1" s="14" t="s">
        <v>50</v>
      </c>
      <c r="L1" s="18" t="s">
        <v>57</v>
      </c>
      <c r="M1" s="18" t="s">
        <v>58</v>
      </c>
      <c r="N1" s="18" t="s">
        <v>59</v>
      </c>
    </row>
    <row r="2" spans="1:14">
      <c r="A2" s="14" t="s">
        <v>68</v>
      </c>
      <c r="B2" s="14">
        <v>1300</v>
      </c>
      <c r="C2" s="16">
        <v>0.73590620630000003</v>
      </c>
      <c r="D2" s="15">
        <v>0.63100000000000001</v>
      </c>
      <c r="E2" s="15">
        <v>46.66</v>
      </c>
      <c r="F2" s="15">
        <v>2.1</v>
      </c>
      <c r="G2" s="15">
        <v>0.51600000000000001</v>
      </c>
      <c r="H2" s="14">
        <v>1</v>
      </c>
      <c r="I2" s="15">
        <f>F2</f>
        <v>2.1</v>
      </c>
      <c r="J2" s="15">
        <f>G2</f>
        <v>0.51600000000000001</v>
      </c>
      <c r="K2" s="14">
        <v>11866</v>
      </c>
      <c r="L2" s="14">
        <f>ROUND(E2*D2*C2*102.79,0)</f>
        <v>2227</v>
      </c>
      <c r="M2" s="14">
        <f>ROUND(I2*L2*0.002205,0)</f>
        <v>10</v>
      </c>
      <c r="N2" s="19">
        <f>ROUND(J2*L2*0.002205,1)</f>
        <v>2.5</v>
      </c>
    </row>
    <row r="3" spans="1:14">
      <c r="A3" s="14" t="s">
        <v>68</v>
      </c>
      <c r="B3" s="14">
        <v>1300</v>
      </c>
      <c r="C3" s="16">
        <v>3.7985717400000001E-2</v>
      </c>
      <c r="D3" s="15">
        <v>0.69199999999999995</v>
      </c>
      <c r="E3" s="15">
        <v>46.66</v>
      </c>
      <c r="F3" s="15">
        <v>2.1</v>
      </c>
      <c r="G3" s="15">
        <v>0.51600000000000001</v>
      </c>
      <c r="H3" s="14">
        <v>1</v>
      </c>
      <c r="I3" s="15">
        <f t="shared" ref="I3:I4" si="0">F3</f>
        <v>2.1</v>
      </c>
      <c r="J3" s="15">
        <f t="shared" ref="J3:J4" si="1">G3</f>
        <v>0.51600000000000001</v>
      </c>
      <c r="K3" s="14">
        <v>192</v>
      </c>
      <c r="L3" s="14">
        <f t="shared" ref="L3:L4" si="2">ROUND(E3*D3*C3*102.79,0)</f>
        <v>126</v>
      </c>
      <c r="M3" s="14">
        <f t="shared" ref="M3:M4" si="3">ROUND(I3*L3*0.002205,0)</f>
        <v>1</v>
      </c>
      <c r="N3" s="19">
        <f t="shared" ref="N3:N4" si="4">ROUND(J3*L3*0.002205,1)</f>
        <v>0.1</v>
      </c>
    </row>
    <row r="4" spans="1:14">
      <c r="A4" s="14" t="s">
        <v>68</v>
      </c>
      <c r="B4" s="14">
        <v>1700</v>
      </c>
      <c r="C4" s="16">
        <v>0.14088922919999999</v>
      </c>
      <c r="D4" s="15">
        <v>0.78600000000000003</v>
      </c>
      <c r="E4" s="15">
        <v>46.66</v>
      </c>
      <c r="F4" s="15">
        <v>1.8</v>
      </c>
      <c r="G4" s="15">
        <v>0.47799999999999998</v>
      </c>
      <c r="H4" s="14">
        <v>1</v>
      </c>
      <c r="I4" s="15">
        <f t="shared" si="0"/>
        <v>1.8</v>
      </c>
      <c r="J4" s="15">
        <f t="shared" si="1"/>
        <v>0.47799999999999998</v>
      </c>
      <c r="K4" s="14">
        <v>3638</v>
      </c>
      <c r="L4" s="14">
        <f t="shared" si="2"/>
        <v>531</v>
      </c>
      <c r="M4" s="14">
        <f t="shared" si="3"/>
        <v>2</v>
      </c>
      <c r="N4" s="19">
        <f t="shared" si="4"/>
        <v>0.6</v>
      </c>
    </row>
    <row r="5" spans="1:14">
      <c r="C5" s="16">
        <f>SUM(C2:C4)</f>
        <v>0.91478115290000006</v>
      </c>
      <c r="M5" s="14">
        <f>SUM(M2:M4)</f>
        <v>13</v>
      </c>
      <c r="N5" s="19">
        <f>SUM(N2:N4)</f>
        <v>3.2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:N2"/>
  <sheetViews>
    <sheetView workbookViewId="0">
      <selection activeCell="L1" sqref="L1:N2"/>
    </sheetView>
  </sheetViews>
  <sheetFormatPr defaultRowHeight="15"/>
  <cols>
    <col min="1" max="1" width="14.28515625" style="14" bestFit="1" customWidth="1"/>
    <col min="2" max="2" width="7.85546875" style="14" bestFit="1" customWidth="1"/>
    <col min="3" max="3" width="12.5703125" style="16" bestFit="1" customWidth="1"/>
    <col min="4" max="4" width="13.7109375" style="15" customWidth="1"/>
    <col min="5" max="5" width="14.7109375" style="15" bestFit="1" customWidth="1"/>
    <col min="6" max="7" width="13.7109375" style="15" customWidth="1"/>
    <col min="8" max="8" width="11.140625" style="14" bestFit="1" customWidth="1"/>
    <col min="9" max="10" width="13.7109375" style="15" customWidth="1"/>
    <col min="11" max="11" width="12.28515625" style="14" bestFit="1" customWidth="1"/>
    <col min="12" max="12" width="14.5703125" customWidth="1"/>
  </cols>
  <sheetData>
    <row r="1" spans="1:14" ht="30">
      <c r="A1" s="14" t="s">
        <v>67</v>
      </c>
      <c r="B1" s="14" t="s">
        <v>46</v>
      </c>
      <c r="C1" s="16" t="s">
        <v>53</v>
      </c>
      <c r="D1" s="15" t="s">
        <v>47</v>
      </c>
      <c r="E1" s="15" t="s">
        <v>52</v>
      </c>
      <c r="F1" s="15" t="s">
        <v>48</v>
      </c>
      <c r="G1" s="15" t="s">
        <v>49</v>
      </c>
      <c r="H1" s="14" t="s">
        <v>51</v>
      </c>
      <c r="I1" s="15" t="s">
        <v>55</v>
      </c>
      <c r="J1" s="15" t="s">
        <v>56</v>
      </c>
      <c r="K1" s="14" t="s">
        <v>50</v>
      </c>
      <c r="L1" s="18" t="s">
        <v>57</v>
      </c>
      <c r="M1" s="18" t="s">
        <v>58</v>
      </c>
      <c r="N1" s="18" t="s">
        <v>59</v>
      </c>
    </row>
    <row r="2" spans="1:14">
      <c r="A2" s="14" t="s">
        <v>68</v>
      </c>
      <c r="B2" s="14">
        <v>1300</v>
      </c>
      <c r="C2" s="16">
        <v>1.5593996043</v>
      </c>
      <c r="D2" s="15">
        <v>0.63100000000000001</v>
      </c>
      <c r="E2" s="15">
        <v>46.66</v>
      </c>
      <c r="F2" s="15">
        <v>2.1</v>
      </c>
      <c r="G2" s="15">
        <v>0.51600000000000001</v>
      </c>
      <c r="H2" s="14">
        <v>1</v>
      </c>
      <c r="I2" s="15">
        <f>F2</f>
        <v>2.1</v>
      </c>
      <c r="J2" s="15">
        <f>G2</f>
        <v>0.51600000000000001</v>
      </c>
      <c r="K2" s="14">
        <v>11866</v>
      </c>
      <c r="L2" s="14">
        <f>ROUND(E2*D2*C2*102.79,0)</f>
        <v>4719</v>
      </c>
      <c r="M2" s="14">
        <f>ROUND(I2*L2*0.002205,0)</f>
        <v>22</v>
      </c>
      <c r="N2" s="19">
        <f>ROUND(J2*L2*0.002205,1)</f>
        <v>5.4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:N4"/>
  <sheetViews>
    <sheetView workbookViewId="0">
      <selection activeCell="M2" sqref="M2:M4"/>
    </sheetView>
  </sheetViews>
  <sheetFormatPr defaultRowHeight="15"/>
  <cols>
    <col min="1" max="1" width="14.28515625" style="14" bestFit="1" customWidth="1"/>
    <col min="2" max="2" width="7.85546875" style="14" bestFit="1" customWidth="1"/>
    <col min="3" max="3" width="12.5703125" style="16" bestFit="1" customWidth="1"/>
    <col min="4" max="4" width="13.7109375" style="15" customWidth="1"/>
    <col min="5" max="5" width="14.7109375" style="15" bestFit="1" customWidth="1"/>
    <col min="6" max="7" width="13.7109375" style="15" customWidth="1"/>
    <col min="8" max="8" width="11.140625" style="14" bestFit="1" customWidth="1"/>
    <col min="9" max="10" width="13.7109375" style="15" customWidth="1"/>
    <col min="11" max="11" width="12.28515625" style="14" bestFit="1" customWidth="1"/>
    <col min="12" max="12" width="14.28515625" customWidth="1"/>
    <col min="13" max="13" width="9.140625" customWidth="1"/>
  </cols>
  <sheetData>
    <row r="1" spans="1:14" ht="30">
      <c r="A1" s="14" t="s">
        <v>67</v>
      </c>
      <c r="B1" s="14" t="s">
        <v>46</v>
      </c>
      <c r="C1" s="16" t="s">
        <v>53</v>
      </c>
      <c r="D1" s="15" t="s">
        <v>47</v>
      </c>
      <c r="E1" s="15" t="s">
        <v>52</v>
      </c>
      <c r="F1" s="15" t="s">
        <v>48</v>
      </c>
      <c r="G1" s="15" t="s">
        <v>49</v>
      </c>
      <c r="H1" s="14" t="s">
        <v>51</v>
      </c>
      <c r="I1" s="15" t="s">
        <v>55</v>
      </c>
      <c r="J1" s="15" t="s">
        <v>56</v>
      </c>
      <c r="K1" s="14" t="s">
        <v>50</v>
      </c>
      <c r="L1" s="18" t="s">
        <v>57</v>
      </c>
      <c r="M1" s="18" t="s">
        <v>58</v>
      </c>
      <c r="N1" s="18" t="s">
        <v>59</v>
      </c>
    </row>
    <row r="2" spans="1:14">
      <c r="A2" s="14" t="s">
        <v>68</v>
      </c>
      <c r="B2" s="14">
        <v>1400</v>
      </c>
      <c r="C2" s="16">
        <v>0.59926991659999995</v>
      </c>
      <c r="D2" s="15">
        <v>0.88600000000000001</v>
      </c>
      <c r="E2" s="15">
        <v>46.66</v>
      </c>
      <c r="F2" s="15">
        <v>1.93</v>
      </c>
      <c r="G2" s="15">
        <v>0.497</v>
      </c>
      <c r="H2" s="14">
        <v>1</v>
      </c>
      <c r="I2" s="15">
        <f>F2</f>
        <v>1.93</v>
      </c>
      <c r="J2" s="15">
        <f>G2</f>
        <v>0.497</v>
      </c>
      <c r="K2" s="14">
        <v>2495</v>
      </c>
      <c r="L2" s="14">
        <f>ROUND(E2*D2*C2*102.79,0)</f>
        <v>2547</v>
      </c>
      <c r="M2" s="14">
        <f>ROUND(I2*L2*0.002205,0)</f>
        <v>11</v>
      </c>
      <c r="N2" s="19">
        <f>ROUND(J2*L2*0.002205,1)</f>
        <v>2.8</v>
      </c>
    </row>
    <row r="3" spans="1:14">
      <c r="A3" s="14" t="s">
        <v>68</v>
      </c>
      <c r="B3" s="14">
        <v>1300</v>
      </c>
      <c r="C3" s="16">
        <v>2.6600207669999998</v>
      </c>
      <c r="D3" s="15">
        <v>0.63100000000000001</v>
      </c>
      <c r="E3" s="15">
        <v>46.66</v>
      </c>
      <c r="F3" s="15">
        <v>2.1</v>
      </c>
      <c r="G3" s="15">
        <v>0.51600000000000001</v>
      </c>
      <c r="H3" s="14">
        <v>1</v>
      </c>
      <c r="I3" s="15">
        <f>F3</f>
        <v>2.1</v>
      </c>
      <c r="J3" s="15">
        <f>G3</f>
        <v>0.51600000000000001</v>
      </c>
      <c r="K3" s="14">
        <v>11866</v>
      </c>
      <c r="L3" s="14">
        <f>ROUND(E3*D3*C3*102.79,0)</f>
        <v>8050</v>
      </c>
      <c r="M3" s="14">
        <f>ROUND(I3*L3*0.002205,0)</f>
        <v>37</v>
      </c>
      <c r="N3" s="19">
        <f>ROUND(J3*L3*0.002205,1)</f>
        <v>9.1999999999999993</v>
      </c>
    </row>
    <row r="4" spans="1:14">
      <c r="C4" s="16">
        <f>SUM(C2:C3)</f>
        <v>3.2592906835999997</v>
      </c>
      <c r="M4" s="14">
        <f>SUM(M2:M3)</f>
        <v>48</v>
      </c>
      <c r="N4" s="19">
        <f>SUM(N2:N3)</f>
        <v>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N4"/>
  <sheetViews>
    <sheetView zoomScaleNormal="100" workbookViewId="0">
      <selection activeCell="N2" sqref="N2"/>
    </sheetView>
  </sheetViews>
  <sheetFormatPr defaultRowHeight="15"/>
  <cols>
    <col min="1" max="1" width="14.42578125" style="14" bestFit="1" customWidth="1"/>
    <col min="2" max="2" width="9.7109375" style="14" customWidth="1"/>
    <col min="3" max="3" width="16.140625" style="14" bestFit="1" customWidth="1"/>
    <col min="4" max="4" width="6.85546875" style="15" bestFit="1" customWidth="1"/>
    <col min="5" max="5" width="13.7109375" style="15" bestFit="1" customWidth="1"/>
    <col min="6" max="6" width="9.42578125" style="15" bestFit="1" customWidth="1"/>
    <col min="7" max="7" width="9.140625" style="15" bestFit="1" customWidth="1"/>
    <col min="8" max="8" width="11.28515625" style="15" bestFit="1" customWidth="1"/>
    <col min="9" max="9" width="11.140625" style="15" customWidth="1"/>
    <col min="10" max="10" width="7.5703125" style="15" bestFit="1" customWidth="1"/>
    <col min="11" max="11" width="12.42578125" style="14" bestFit="1" customWidth="1"/>
    <col min="12" max="12" width="13.85546875" style="14" customWidth="1"/>
    <col min="13" max="13" width="10.7109375" style="15" customWidth="1"/>
    <col min="14" max="14" width="11.28515625" style="16" customWidth="1"/>
  </cols>
  <sheetData>
    <row r="1" spans="1:14" ht="30">
      <c r="A1" s="14" t="s">
        <v>54</v>
      </c>
      <c r="B1" s="14" t="s">
        <v>46</v>
      </c>
      <c r="C1" s="16" t="s">
        <v>53</v>
      </c>
      <c r="D1" s="15" t="s">
        <v>47</v>
      </c>
      <c r="E1" s="15" t="s">
        <v>52</v>
      </c>
      <c r="F1" s="15" t="s">
        <v>48</v>
      </c>
      <c r="G1" s="15" t="s">
        <v>49</v>
      </c>
      <c r="H1" s="14" t="s">
        <v>51</v>
      </c>
      <c r="I1" s="14" t="s">
        <v>55</v>
      </c>
      <c r="J1" s="14" t="s">
        <v>56</v>
      </c>
      <c r="K1" s="14" t="s">
        <v>50</v>
      </c>
      <c r="L1" s="18" t="s">
        <v>57</v>
      </c>
      <c r="M1" s="18" t="s">
        <v>58</v>
      </c>
      <c r="N1" s="18" t="s">
        <v>59</v>
      </c>
    </row>
    <row r="2" spans="1:14">
      <c r="A2" s="14" t="s">
        <v>68</v>
      </c>
      <c r="B2" s="14">
        <v>1700</v>
      </c>
      <c r="C2" s="16">
        <v>15.254635241000001</v>
      </c>
      <c r="D2" s="17">
        <v>0.78600000000000003</v>
      </c>
      <c r="E2" s="17">
        <v>46.66</v>
      </c>
      <c r="F2" s="17">
        <v>1.8</v>
      </c>
      <c r="G2" s="17">
        <v>0.47799999999999998</v>
      </c>
      <c r="H2" s="14">
        <v>1</v>
      </c>
      <c r="I2" s="17">
        <f>F2</f>
        <v>1.8</v>
      </c>
      <c r="J2" s="17">
        <f>G2</f>
        <v>0.47799999999999998</v>
      </c>
      <c r="K2" s="14">
        <v>101789</v>
      </c>
      <c r="L2" s="14">
        <f>ROUND(E2*D2*C2*102.79,0)</f>
        <v>57507</v>
      </c>
      <c r="M2" s="14">
        <f>ROUND(I2*L2*0.002205,0)</f>
        <v>228</v>
      </c>
      <c r="N2" s="19">
        <f>ROUND(J2*L2*0.002205,1)</f>
        <v>60.6</v>
      </c>
    </row>
    <row r="3" spans="1:14">
      <c r="A3" s="14" t="s">
        <v>68</v>
      </c>
      <c r="B3" s="14">
        <v>1200</v>
      </c>
      <c r="C3" s="16">
        <v>9.4088675170999991</v>
      </c>
      <c r="D3" s="17">
        <v>0.38900000000000001</v>
      </c>
      <c r="E3" s="17">
        <v>46.66</v>
      </c>
      <c r="F3" s="17">
        <v>2.23</v>
      </c>
      <c r="G3" s="17">
        <v>0.316</v>
      </c>
      <c r="H3" s="14">
        <v>1</v>
      </c>
      <c r="I3" s="17">
        <f>F3</f>
        <v>2.23</v>
      </c>
      <c r="J3" s="17">
        <f>G3</f>
        <v>0.316</v>
      </c>
      <c r="K3" s="14">
        <v>447612</v>
      </c>
      <c r="L3" s="14">
        <f>ROUND(E3*D3*C3*102.79,0)</f>
        <v>17554</v>
      </c>
      <c r="M3" s="14">
        <f>ROUND(I3*L3*0.002205,0)</f>
        <v>86</v>
      </c>
      <c r="N3" s="19">
        <f>ROUND(J3*L3*0.002205,1)</f>
        <v>12.2</v>
      </c>
    </row>
    <row r="4" spans="1:14">
      <c r="C4" s="16">
        <f>SUM(C2:C3)</f>
        <v>24.663502758100002</v>
      </c>
      <c r="M4" s="14">
        <f>SUM(M2:M3)</f>
        <v>314</v>
      </c>
      <c r="N4" s="19">
        <f>SUM(N2:N3)</f>
        <v>72.8</v>
      </c>
    </row>
  </sheetData>
  <pageMargins left="0.7" right="0.7" top="0.75" bottom="0.75" header="0.3" footer="0.3"/>
  <pageSetup scale="7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N8"/>
  <sheetViews>
    <sheetView zoomScaleNormal="100" workbookViewId="0">
      <selection activeCell="N2" sqref="N2"/>
    </sheetView>
  </sheetViews>
  <sheetFormatPr defaultRowHeight="15"/>
  <cols>
    <col min="1" max="1" width="14.28515625" style="14" bestFit="1" customWidth="1"/>
    <col min="2" max="2" width="9.7109375" style="14" customWidth="1"/>
    <col min="3" max="3" width="15.140625" style="14" bestFit="1" customWidth="1"/>
    <col min="4" max="4" width="6.85546875" style="15" bestFit="1" customWidth="1"/>
    <col min="5" max="5" width="13.7109375" style="15" bestFit="1" customWidth="1"/>
    <col min="6" max="6" width="9.42578125" style="15" bestFit="1" customWidth="1"/>
    <col min="7" max="7" width="9.140625" style="15" bestFit="1" customWidth="1"/>
    <col min="8" max="8" width="11.28515625" style="15" bestFit="1" customWidth="1"/>
    <col min="9" max="10" width="9" style="15" customWidth="1"/>
    <col min="11" max="11" width="12.42578125" style="14" bestFit="1" customWidth="1"/>
    <col min="12" max="12" width="15" style="14" customWidth="1"/>
    <col min="13" max="13" width="11" style="15" customWidth="1"/>
    <col min="14" max="14" width="10.7109375" style="16" customWidth="1"/>
  </cols>
  <sheetData>
    <row r="1" spans="1:14" ht="30">
      <c r="A1" s="14" t="s">
        <v>67</v>
      </c>
      <c r="B1" s="14" t="s">
        <v>46</v>
      </c>
      <c r="C1" s="16" t="s">
        <v>53</v>
      </c>
      <c r="D1" s="15" t="s">
        <v>47</v>
      </c>
      <c r="E1" s="15" t="s">
        <v>52</v>
      </c>
      <c r="F1" s="15" t="s">
        <v>48</v>
      </c>
      <c r="G1" s="15" t="s">
        <v>49</v>
      </c>
      <c r="H1" s="14" t="s">
        <v>51</v>
      </c>
      <c r="I1" s="15" t="s">
        <v>55</v>
      </c>
      <c r="J1" s="15" t="s">
        <v>56</v>
      </c>
      <c r="K1" s="14" t="s">
        <v>50</v>
      </c>
      <c r="L1" s="18" t="s">
        <v>57</v>
      </c>
      <c r="M1" s="18" t="s">
        <v>58</v>
      </c>
      <c r="N1" s="18" t="s">
        <v>59</v>
      </c>
    </row>
    <row r="2" spans="1:14">
      <c r="A2" s="14" t="s">
        <v>68</v>
      </c>
      <c r="B2" s="14">
        <v>1700</v>
      </c>
      <c r="C2" s="16">
        <v>0.43865480690000003</v>
      </c>
      <c r="D2" s="17">
        <v>0.78600000000000003</v>
      </c>
      <c r="E2" s="17">
        <v>46.66</v>
      </c>
      <c r="F2" s="17">
        <v>1.8</v>
      </c>
      <c r="G2" s="17">
        <v>0.47799999999999998</v>
      </c>
      <c r="H2" s="14">
        <v>1</v>
      </c>
      <c r="I2" s="17">
        <f>F2</f>
        <v>1.8</v>
      </c>
      <c r="J2" s="17">
        <f>G2</f>
        <v>0.47799999999999998</v>
      </c>
      <c r="K2" s="14">
        <v>101789</v>
      </c>
      <c r="L2" s="14">
        <f>ROUND(E2*D2*C2*102.79,0)</f>
        <v>1654</v>
      </c>
      <c r="M2" s="14">
        <f>ROUND(I2*L2*0.002205,0)</f>
        <v>7</v>
      </c>
      <c r="N2" s="19">
        <f>ROUND(J2*L2*0.002205,1)</f>
        <v>1.7</v>
      </c>
    </row>
    <row r="3" spans="1:14">
      <c r="A3" s="14" t="s">
        <v>68</v>
      </c>
      <c r="B3" s="14">
        <v>1400</v>
      </c>
      <c r="C3" s="16">
        <v>0.1624682979</v>
      </c>
      <c r="D3" s="17">
        <v>0.88800000000000001</v>
      </c>
      <c r="E3" s="17">
        <v>46.66</v>
      </c>
      <c r="F3" s="17">
        <v>1.93</v>
      </c>
      <c r="G3" s="17">
        <v>0.497</v>
      </c>
      <c r="H3" s="14">
        <v>1</v>
      </c>
      <c r="I3" s="17">
        <f>F3</f>
        <v>1.93</v>
      </c>
      <c r="J3" s="17">
        <f>G3</f>
        <v>0.497</v>
      </c>
      <c r="K3" s="14">
        <v>53916</v>
      </c>
      <c r="L3" s="14">
        <f t="shared" ref="L3:L7" si="0">ROUND(E3*D3*C3*102.79,0)</f>
        <v>692</v>
      </c>
      <c r="M3" s="14">
        <f t="shared" ref="M3:M7" si="1">ROUND(I3*L3*0.002205,0)</f>
        <v>3</v>
      </c>
      <c r="N3" s="19">
        <f t="shared" ref="N3:N7" si="2">ROUND(J3*L3*0.002205,1)</f>
        <v>0.8</v>
      </c>
    </row>
    <row r="4" spans="1:14">
      <c r="A4" s="14" t="s">
        <v>68</v>
      </c>
      <c r="B4" s="14">
        <v>1400</v>
      </c>
      <c r="C4" s="16">
        <v>4.3162596900000003E-2</v>
      </c>
      <c r="D4" s="17">
        <v>0.88800000000000001</v>
      </c>
      <c r="E4" s="17">
        <v>46.66</v>
      </c>
      <c r="F4" s="17">
        <v>1.93</v>
      </c>
      <c r="G4" s="17">
        <v>0.497</v>
      </c>
      <c r="H4" s="14">
        <v>0</v>
      </c>
      <c r="I4" s="17">
        <f>0.7*F4</f>
        <v>1.351</v>
      </c>
      <c r="J4" s="17">
        <f>0.5*G4</f>
        <v>0.2485</v>
      </c>
      <c r="K4" s="14">
        <v>1632</v>
      </c>
      <c r="L4" s="14">
        <f t="shared" si="0"/>
        <v>184</v>
      </c>
      <c r="M4" s="14">
        <f t="shared" si="1"/>
        <v>1</v>
      </c>
      <c r="N4" s="19">
        <f t="shared" si="2"/>
        <v>0.1</v>
      </c>
    </row>
    <row r="5" spans="1:14">
      <c r="A5" s="14" t="s">
        <v>68</v>
      </c>
      <c r="B5" s="14">
        <v>1700</v>
      </c>
      <c r="C5" s="16">
        <v>5.7779484800000003E-2</v>
      </c>
      <c r="D5" s="17">
        <v>0.78600000000000003</v>
      </c>
      <c r="E5" s="17">
        <v>46.66</v>
      </c>
      <c r="F5" s="17">
        <v>1.8</v>
      </c>
      <c r="G5" s="17">
        <v>0.47799999999999998</v>
      </c>
      <c r="H5" s="14">
        <v>0</v>
      </c>
      <c r="I5" s="17">
        <f t="shared" ref="I5:I6" si="3">0.7*F5</f>
        <v>1.26</v>
      </c>
      <c r="J5" s="17">
        <f t="shared" ref="J5:J6" si="4">0.5*G5</f>
        <v>0.23899999999999999</v>
      </c>
      <c r="K5" s="14">
        <v>669</v>
      </c>
      <c r="L5" s="14">
        <f t="shared" si="0"/>
        <v>218</v>
      </c>
      <c r="M5" s="14">
        <f t="shared" si="1"/>
        <v>1</v>
      </c>
      <c r="N5" s="19">
        <f t="shared" si="2"/>
        <v>0.1</v>
      </c>
    </row>
    <row r="6" spans="1:14">
      <c r="A6" s="14" t="s">
        <v>68</v>
      </c>
      <c r="B6" s="14">
        <v>1200</v>
      </c>
      <c r="C6" s="16">
        <v>0.88777659539999998</v>
      </c>
      <c r="D6" s="17">
        <v>0.38900000000000001</v>
      </c>
      <c r="E6" s="17">
        <v>46.66</v>
      </c>
      <c r="F6" s="17">
        <v>2.23</v>
      </c>
      <c r="G6" s="17">
        <v>0.316</v>
      </c>
      <c r="H6" s="14">
        <v>0</v>
      </c>
      <c r="I6" s="17">
        <f t="shared" si="3"/>
        <v>1.5609999999999999</v>
      </c>
      <c r="J6" s="17">
        <f t="shared" si="4"/>
        <v>0.158</v>
      </c>
      <c r="K6" s="14">
        <v>580</v>
      </c>
      <c r="L6" s="14">
        <f t="shared" si="0"/>
        <v>1656</v>
      </c>
      <c r="M6" s="14">
        <f t="shared" si="1"/>
        <v>6</v>
      </c>
      <c r="N6" s="19">
        <f t="shared" si="2"/>
        <v>0.6</v>
      </c>
    </row>
    <row r="7" spans="1:14">
      <c r="A7" s="14" t="s">
        <v>68</v>
      </c>
      <c r="B7" s="14">
        <v>1200</v>
      </c>
      <c r="C7" s="16">
        <v>6.6333850596000001</v>
      </c>
      <c r="D7" s="17">
        <v>0.38900000000000001</v>
      </c>
      <c r="E7" s="17">
        <v>46.66</v>
      </c>
      <c r="F7" s="17">
        <v>2.23</v>
      </c>
      <c r="G7" s="17">
        <v>0.316</v>
      </c>
      <c r="H7" s="14">
        <v>1</v>
      </c>
      <c r="I7" s="17">
        <f>F7</f>
        <v>2.23</v>
      </c>
      <c r="J7" s="17">
        <f>G7</f>
        <v>0.316</v>
      </c>
      <c r="K7" s="14">
        <v>447612</v>
      </c>
      <c r="L7" s="14">
        <f t="shared" si="0"/>
        <v>12376</v>
      </c>
      <c r="M7" s="14">
        <f t="shared" si="1"/>
        <v>61</v>
      </c>
      <c r="N7" s="19">
        <f t="shared" si="2"/>
        <v>8.6</v>
      </c>
    </row>
    <row r="8" spans="1:14">
      <c r="C8" s="16">
        <f>SUM(C2:C7)</f>
        <v>8.2232268415000007</v>
      </c>
      <c r="M8" s="14">
        <f>SUM(M2:M7)</f>
        <v>79</v>
      </c>
      <c r="N8" s="19">
        <f>SUM(N2:N7)</f>
        <v>11.9</v>
      </c>
    </row>
  </sheetData>
  <pageMargins left="0.7" right="0.7" top="0.75" bottom="0.75" header="0.3" footer="0.3"/>
  <pageSetup scale="7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N8"/>
  <sheetViews>
    <sheetView zoomScaleNormal="100" workbookViewId="0">
      <selection activeCell="N2" sqref="N2"/>
    </sheetView>
  </sheetViews>
  <sheetFormatPr defaultRowHeight="15"/>
  <cols>
    <col min="1" max="1" width="14.28515625" style="14" bestFit="1" customWidth="1"/>
    <col min="2" max="2" width="9.7109375" style="14" customWidth="1"/>
    <col min="3" max="3" width="15.140625" style="14" bestFit="1" customWidth="1"/>
    <col min="4" max="4" width="6.85546875" style="15" bestFit="1" customWidth="1"/>
    <col min="5" max="5" width="13.7109375" style="15" bestFit="1" customWidth="1"/>
    <col min="6" max="6" width="9.42578125" style="15" bestFit="1" customWidth="1"/>
    <col min="7" max="7" width="9.140625" style="14" bestFit="1" customWidth="1"/>
    <col min="8" max="8" width="11.28515625" style="14" bestFit="1" customWidth="1"/>
    <col min="9" max="10" width="9" style="14" customWidth="1"/>
    <col min="11" max="11" width="12.42578125" style="14" bestFit="1" customWidth="1"/>
    <col min="12" max="12" width="14" style="15" customWidth="1"/>
    <col min="13" max="13" width="10.42578125" style="16" customWidth="1"/>
    <col min="14" max="14" width="9.28515625" bestFit="1" customWidth="1"/>
  </cols>
  <sheetData>
    <row r="1" spans="1:14" ht="30">
      <c r="A1" s="14" t="s">
        <v>67</v>
      </c>
      <c r="B1" s="14" t="s">
        <v>46</v>
      </c>
      <c r="C1" s="16" t="s">
        <v>53</v>
      </c>
      <c r="D1" s="15" t="s">
        <v>47</v>
      </c>
      <c r="E1" s="15" t="s">
        <v>52</v>
      </c>
      <c r="F1" s="15" t="s">
        <v>48</v>
      </c>
      <c r="G1" s="15" t="s">
        <v>49</v>
      </c>
      <c r="H1" s="14" t="s">
        <v>51</v>
      </c>
      <c r="I1" s="15" t="s">
        <v>55</v>
      </c>
      <c r="J1" s="15" t="s">
        <v>56</v>
      </c>
      <c r="K1" s="14" t="s">
        <v>50</v>
      </c>
      <c r="L1" s="18" t="s">
        <v>57</v>
      </c>
      <c r="M1" s="18" t="s">
        <v>58</v>
      </c>
      <c r="N1" s="18" t="s">
        <v>59</v>
      </c>
    </row>
    <row r="2" spans="1:14">
      <c r="A2" s="14" t="s">
        <v>68</v>
      </c>
      <c r="B2" s="14">
        <v>1700</v>
      </c>
      <c r="C2" s="16">
        <v>0.43865480690000003</v>
      </c>
      <c r="D2" s="17">
        <v>0.78600000000000003</v>
      </c>
      <c r="E2" s="17">
        <v>46.66</v>
      </c>
      <c r="F2" s="17">
        <v>1.8</v>
      </c>
      <c r="G2" s="17">
        <v>0.47799999999999998</v>
      </c>
      <c r="H2" s="14">
        <v>1</v>
      </c>
      <c r="I2" s="17">
        <f>F2</f>
        <v>1.8</v>
      </c>
      <c r="J2" s="17">
        <f>G2</f>
        <v>0.47799999999999998</v>
      </c>
      <c r="K2" s="14">
        <v>101789</v>
      </c>
      <c r="L2" s="14">
        <f>ROUND(E2*D2*C2*102.79,0)</f>
        <v>1654</v>
      </c>
      <c r="M2" s="14">
        <f>ROUND(I2*L2*0.002205,0)</f>
        <v>7</v>
      </c>
      <c r="N2" s="19">
        <f>ROUND(J2*L2*0.002205,1)</f>
        <v>1.7</v>
      </c>
    </row>
    <row r="3" spans="1:14">
      <c r="A3" s="14" t="s">
        <v>68</v>
      </c>
      <c r="B3" s="14">
        <v>1400</v>
      </c>
      <c r="C3" s="16">
        <v>0.1624682979</v>
      </c>
      <c r="D3" s="17">
        <v>0.88800000000000001</v>
      </c>
      <c r="E3" s="17">
        <v>46.66</v>
      </c>
      <c r="F3" s="17">
        <v>1.93</v>
      </c>
      <c r="G3" s="17">
        <v>0.497</v>
      </c>
      <c r="H3" s="14">
        <v>1</v>
      </c>
      <c r="I3" s="17">
        <f>F3</f>
        <v>1.93</v>
      </c>
      <c r="J3" s="17">
        <f>G3</f>
        <v>0.497</v>
      </c>
      <c r="K3" s="14">
        <v>53916</v>
      </c>
      <c r="L3" s="14">
        <f t="shared" ref="L3:L7" si="0">ROUND(E3*D3*C3*102.79,0)</f>
        <v>692</v>
      </c>
      <c r="M3" s="14">
        <f t="shared" ref="M3:M7" si="1">ROUND(I3*L3*0.002205,0)</f>
        <v>3</v>
      </c>
      <c r="N3" s="19">
        <f t="shared" ref="N3:N7" si="2">ROUND(J3*L3*0.002205,1)</f>
        <v>0.8</v>
      </c>
    </row>
    <row r="4" spans="1:14">
      <c r="A4" s="14" t="s">
        <v>68</v>
      </c>
      <c r="B4" s="14">
        <v>1400</v>
      </c>
      <c r="C4" s="16">
        <v>4.3162596900000003E-2</v>
      </c>
      <c r="D4" s="17">
        <v>0.88800000000000001</v>
      </c>
      <c r="E4" s="17">
        <v>46.66</v>
      </c>
      <c r="F4" s="17">
        <v>1.93</v>
      </c>
      <c r="G4" s="17">
        <v>0.497</v>
      </c>
      <c r="H4" s="14">
        <v>0</v>
      </c>
      <c r="I4" s="17">
        <f>0.7*F4</f>
        <v>1.351</v>
      </c>
      <c r="J4" s="17">
        <f>0.5*G4</f>
        <v>0.2485</v>
      </c>
      <c r="K4" s="14">
        <v>1632</v>
      </c>
      <c r="L4" s="14">
        <f t="shared" si="0"/>
        <v>184</v>
      </c>
      <c r="M4" s="14">
        <f t="shared" si="1"/>
        <v>1</v>
      </c>
      <c r="N4" s="19">
        <f t="shared" si="2"/>
        <v>0.1</v>
      </c>
    </row>
    <row r="5" spans="1:14">
      <c r="A5" s="14" t="s">
        <v>68</v>
      </c>
      <c r="B5" s="14">
        <v>1700</v>
      </c>
      <c r="C5" s="16">
        <v>5.7779484800000003E-2</v>
      </c>
      <c r="D5" s="17">
        <v>0.78600000000000003</v>
      </c>
      <c r="E5" s="17">
        <v>46.66</v>
      </c>
      <c r="F5" s="17">
        <v>1.8</v>
      </c>
      <c r="G5" s="17">
        <v>0.47799999999999998</v>
      </c>
      <c r="H5" s="14">
        <v>0</v>
      </c>
      <c r="I5" s="17">
        <f t="shared" ref="I5:I6" si="3">0.7*F5</f>
        <v>1.26</v>
      </c>
      <c r="J5" s="17">
        <f t="shared" ref="J5:J6" si="4">0.5*G5</f>
        <v>0.23899999999999999</v>
      </c>
      <c r="K5" s="14">
        <v>669</v>
      </c>
      <c r="L5" s="14">
        <f t="shared" si="0"/>
        <v>218</v>
      </c>
      <c r="M5" s="14">
        <f t="shared" si="1"/>
        <v>1</v>
      </c>
      <c r="N5" s="19">
        <f t="shared" si="2"/>
        <v>0.1</v>
      </c>
    </row>
    <row r="6" spans="1:14">
      <c r="A6" s="14" t="s">
        <v>68</v>
      </c>
      <c r="B6" s="14">
        <v>1200</v>
      </c>
      <c r="C6" s="16">
        <v>0.88777659539999998</v>
      </c>
      <c r="D6" s="17">
        <v>0.38900000000000001</v>
      </c>
      <c r="E6" s="17">
        <v>46.66</v>
      </c>
      <c r="F6" s="17">
        <v>2.23</v>
      </c>
      <c r="G6" s="17">
        <v>0.316</v>
      </c>
      <c r="H6" s="14">
        <v>0</v>
      </c>
      <c r="I6" s="17">
        <f t="shared" si="3"/>
        <v>1.5609999999999999</v>
      </c>
      <c r="J6" s="17">
        <f t="shared" si="4"/>
        <v>0.158</v>
      </c>
      <c r="K6" s="14">
        <v>580</v>
      </c>
      <c r="L6" s="14">
        <f t="shared" si="0"/>
        <v>1656</v>
      </c>
      <c r="M6" s="14">
        <f t="shared" si="1"/>
        <v>6</v>
      </c>
      <c r="N6" s="19">
        <f t="shared" si="2"/>
        <v>0.6</v>
      </c>
    </row>
    <row r="7" spans="1:14">
      <c r="A7" s="14" t="s">
        <v>68</v>
      </c>
      <c r="B7" s="14">
        <v>1200</v>
      </c>
      <c r="C7" s="16">
        <v>6.6333850596000001</v>
      </c>
      <c r="D7" s="17">
        <v>0.38900000000000001</v>
      </c>
      <c r="E7" s="17">
        <v>46.66</v>
      </c>
      <c r="F7" s="17">
        <v>2.23</v>
      </c>
      <c r="G7" s="17">
        <v>0.316</v>
      </c>
      <c r="H7" s="14">
        <v>1</v>
      </c>
      <c r="I7" s="17">
        <f>F7</f>
        <v>2.23</v>
      </c>
      <c r="J7" s="17">
        <f>G7</f>
        <v>0.316</v>
      </c>
      <c r="K7" s="14">
        <v>447612</v>
      </c>
      <c r="L7" s="14">
        <f t="shared" si="0"/>
        <v>12376</v>
      </c>
      <c r="M7" s="14">
        <f t="shared" si="1"/>
        <v>61</v>
      </c>
      <c r="N7" s="19">
        <f t="shared" si="2"/>
        <v>8.6</v>
      </c>
    </row>
    <row r="8" spans="1:14">
      <c r="C8" s="16">
        <f>SUM(C2:C7)</f>
        <v>8.2232268415000007</v>
      </c>
      <c r="G8" s="15"/>
      <c r="H8" s="15"/>
      <c r="I8" s="15"/>
      <c r="J8" s="15"/>
      <c r="L8" s="14"/>
      <c r="M8" s="19">
        <f>SUM(M2:M7)</f>
        <v>79</v>
      </c>
      <c r="N8" s="19">
        <f>SUM(N2:N7)</f>
        <v>11.9</v>
      </c>
    </row>
  </sheetData>
  <pageMargins left="0.7" right="0.7" top="0.75" bottom="0.75" header="0.3" footer="0.3"/>
  <pageSetup scale="7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N2"/>
  <sheetViews>
    <sheetView zoomScaleNormal="100" workbookViewId="0">
      <selection activeCell="N40" sqref="N40"/>
    </sheetView>
  </sheetViews>
  <sheetFormatPr defaultRowHeight="15"/>
  <cols>
    <col min="1" max="1" width="14.28515625" style="14" bestFit="1" customWidth="1"/>
    <col min="2" max="2" width="9.7109375" style="14" customWidth="1"/>
    <col min="3" max="3" width="14.7109375" style="14" bestFit="1" customWidth="1"/>
    <col min="4" max="4" width="6.85546875" style="15" bestFit="1" customWidth="1"/>
    <col min="5" max="5" width="13.7109375" style="15" bestFit="1" customWidth="1"/>
    <col min="6" max="6" width="9.42578125" style="15" bestFit="1" customWidth="1"/>
    <col min="7" max="7" width="9.140625" style="15" bestFit="1" customWidth="1"/>
    <col min="8" max="8" width="11.28515625" style="15" bestFit="1" customWidth="1"/>
    <col min="9" max="10" width="9" style="15" customWidth="1"/>
    <col min="11" max="11" width="12.42578125" style="14" bestFit="1" customWidth="1"/>
    <col min="12" max="12" width="13.85546875" style="14" customWidth="1"/>
    <col min="13" max="13" width="10.42578125" style="15" customWidth="1"/>
    <col min="14" max="14" width="10.42578125" style="16" customWidth="1"/>
  </cols>
  <sheetData>
    <row r="1" spans="1:14" ht="30">
      <c r="A1" s="14" t="s">
        <v>67</v>
      </c>
      <c r="B1" s="14" t="s">
        <v>46</v>
      </c>
      <c r="C1" s="16" t="s">
        <v>53</v>
      </c>
      <c r="D1" s="15" t="s">
        <v>47</v>
      </c>
      <c r="E1" s="15" t="s">
        <v>52</v>
      </c>
      <c r="F1" s="15" t="s">
        <v>48</v>
      </c>
      <c r="G1" s="15" t="s">
        <v>49</v>
      </c>
      <c r="H1" s="14" t="s">
        <v>51</v>
      </c>
      <c r="I1" s="15" t="s">
        <v>55</v>
      </c>
      <c r="J1" s="15" t="s">
        <v>56</v>
      </c>
      <c r="K1" s="14" t="s">
        <v>50</v>
      </c>
      <c r="L1" s="18" t="s">
        <v>57</v>
      </c>
      <c r="M1" s="18" t="s">
        <v>58</v>
      </c>
      <c r="N1" s="18" t="s">
        <v>59</v>
      </c>
    </row>
    <row r="2" spans="1:14">
      <c r="A2" s="14" t="s">
        <v>68</v>
      </c>
      <c r="B2" s="14">
        <v>1700</v>
      </c>
      <c r="C2" s="16">
        <v>8.5893689809999998</v>
      </c>
      <c r="D2" s="17">
        <v>0.78600000000000003</v>
      </c>
      <c r="E2" s="17">
        <v>46.66</v>
      </c>
      <c r="F2" s="17">
        <v>1.8</v>
      </c>
      <c r="G2" s="17">
        <v>0.47799999999999998</v>
      </c>
      <c r="H2" s="14">
        <v>1</v>
      </c>
      <c r="I2" s="17">
        <f>F2</f>
        <v>1.8</v>
      </c>
      <c r="J2" s="17">
        <f>G2</f>
        <v>0.47799999999999998</v>
      </c>
      <c r="K2" s="14">
        <v>101789</v>
      </c>
      <c r="L2" s="14">
        <f>ROUND(E2*D2*C2*102.79,0)</f>
        <v>32380</v>
      </c>
      <c r="M2" s="14">
        <f>ROUND(I2*L2*0.002205,0)</f>
        <v>129</v>
      </c>
      <c r="N2" s="19">
        <f>ROUND(J2*L2*0.002205,1)</f>
        <v>34.1</v>
      </c>
    </row>
  </sheetData>
  <pageMargins left="0.7" right="0.7" top="0.75" bottom="0.75" header="0.3" footer="0.3"/>
  <pageSetup scale="7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N2"/>
  <sheetViews>
    <sheetView zoomScaleNormal="100" workbookViewId="0">
      <selection activeCell="L6" sqref="L6"/>
    </sheetView>
  </sheetViews>
  <sheetFormatPr defaultRowHeight="15"/>
  <cols>
    <col min="1" max="1" width="14.28515625" style="14" bestFit="1" customWidth="1"/>
    <col min="2" max="2" width="8" style="14" bestFit="1" customWidth="1"/>
    <col min="3" max="3" width="6.85546875" style="14" bestFit="1" customWidth="1"/>
    <col min="4" max="4" width="6.85546875" style="15" bestFit="1" customWidth="1"/>
    <col min="5" max="5" width="13.7109375" style="15" bestFit="1" customWidth="1"/>
    <col min="6" max="6" width="9.42578125" style="15" bestFit="1" customWidth="1"/>
    <col min="7" max="7" width="9.140625" style="15" bestFit="1" customWidth="1"/>
    <col min="8" max="8" width="11.28515625" style="15" bestFit="1" customWidth="1"/>
    <col min="9" max="10" width="9" style="15" customWidth="1"/>
    <col min="11" max="11" width="12.42578125" style="14" bestFit="1" customWidth="1"/>
    <col min="12" max="12" width="15" style="14" customWidth="1"/>
    <col min="13" max="13" width="11.140625" style="15" customWidth="1"/>
    <col min="14" max="14" width="10.42578125" style="16" customWidth="1"/>
  </cols>
  <sheetData>
    <row r="1" spans="1:14" ht="30">
      <c r="A1" s="14" t="s">
        <v>67</v>
      </c>
      <c r="B1" s="14" t="s">
        <v>46</v>
      </c>
      <c r="C1" s="16" t="s">
        <v>53</v>
      </c>
      <c r="D1" s="15" t="s">
        <v>47</v>
      </c>
      <c r="E1" s="15" t="s">
        <v>52</v>
      </c>
      <c r="F1" s="15" t="s">
        <v>48</v>
      </c>
      <c r="G1" s="15" t="s">
        <v>49</v>
      </c>
      <c r="H1" s="14" t="s">
        <v>51</v>
      </c>
      <c r="I1" s="15" t="s">
        <v>55</v>
      </c>
      <c r="J1" s="15" t="s">
        <v>56</v>
      </c>
      <c r="K1" s="14" t="s">
        <v>50</v>
      </c>
      <c r="L1" s="18" t="s">
        <v>57</v>
      </c>
      <c r="M1" s="18" t="s">
        <v>58</v>
      </c>
      <c r="N1" s="18" t="s">
        <v>59</v>
      </c>
    </row>
    <row r="2" spans="1:14">
      <c r="A2" s="14" t="s">
        <v>68</v>
      </c>
      <c r="B2" s="14">
        <v>1700</v>
      </c>
      <c r="C2" s="17">
        <v>8.5893689809999998</v>
      </c>
      <c r="D2" s="17">
        <v>0.78600000000000003</v>
      </c>
      <c r="E2" s="17">
        <v>46.66</v>
      </c>
      <c r="F2" s="17">
        <v>1.8</v>
      </c>
      <c r="G2" s="17">
        <v>0.47799999999999998</v>
      </c>
      <c r="H2" s="14">
        <v>1</v>
      </c>
      <c r="I2" s="17">
        <f>F2</f>
        <v>1.8</v>
      </c>
      <c r="J2" s="17">
        <f>G2</f>
        <v>0.47799999999999998</v>
      </c>
      <c r="K2" s="14">
        <v>101789</v>
      </c>
      <c r="L2" s="14">
        <f>ROUND(E2*D2*C2*102.79,0)</f>
        <v>32380</v>
      </c>
      <c r="M2" s="14">
        <f>ROUND(I2*L2*0.002205,0)</f>
        <v>129</v>
      </c>
      <c r="N2" s="19">
        <f>ROUND(J2*L2*0.002205,1)</f>
        <v>34.1</v>
      </c>
    </row>
  </sheetData>
  <pageMargins left="0.7" right="0.7" top="0.75" bottom="0.75" header="0.3" footer="0.3"/>
  <pageSetup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45</vt:i4>
      </vt:variant>
    </vt:vector>
  </HeadingPairs>
  <TitlesOfParts>
    <vt:vector size="45" baseType="lpstr">
      <vt:lpstr>Project Credit</vt:lpstr>
      <vt:lpstr>Retention Efficiency Calcs</vt:lpstr>
      <vt:lpstr>Wet Pond Efficiency Calcs</vt:lpstr>
      <vt:lpstr>1 Jackson Exfiltration</vt:lpstr>
      <vt:lpstr>2 Pineapple Baffle</vt:lpstr>
      <vt:lpstr>3 Jackson Exfiltration</vt:lpstr>
      <vt:lpstr>4 Orange Baffle</vt:lpstr>
      <vt:lpstr>5 Jackson Exfiltration</vt:lpstr>
      <vt:lpstr>6 Avacado CDS</vt:lpstr>
      <vt:lpstr>7 Jackson Exfiltration</vt:lpstr>
      <vt:lpstr>8 Roosevelt Baffle</vt:lpstr>
      <vt:lpstr>9 Coconut Exfiltration</vt:lpstr>
      <vt:lpstr>10 Desoto Exfiltration</vt:lpstr>
      <vt:lpstr>11 Desoto Exfiltration</vt:lpstr>
      <vt:lpstr>12 Jamaica Ponds</vt:lpstr>
      <vt:lpstr>13 Jamaica Reuse</vt:lpstr>
      <vt:lpstr>14 Desoto Exfiltration</vt:lpstr>
      <vt:lpstr>15 Desoto Baffle</vt:lpstr>
      <vt:lpstr>Cassia 22</vt:lpstr>
      <vt:lpstr>Cassia 23</vt:lpstr>
      <vt:lpstr>Cassia 24</vt:lpstr>
      <vt:lpstr>Cassia 25</vt:lpstr>
      <vt:lpstr>Cassia 26</vt:lpstr>
      <vt:lpstr>North Basin</vt:lpstr>
      <vt:lpstr>Street Sweeping</vt:lpstr>
      <vt:lpstr>C3A</vt:lpstr>
      <vt:lpstr>C3B</vt:lpstr>
      <vt:lpstr>C3C</vt:lpstr>
      <vt:lpstr>C3D</vt:lpstr>
      <vt:lpstr>C3E</vt:lpstr>
      <vt:lpstr>C3F</vt:lpstr>
      <vt:lpstr>C3G</vt:lpstr>
      <vt:lpstr>C5A</vt:lpstr>
      <vt:lpstr>C5B</vt:lpstr>
      <vt:lpstr>C7A</vt:lpstr>
      <vt:lpstr>C7B</vt:lpstr>
      <vt:lpstr>C9A</vt:lpstr>
      <vt:lpstr>C9B</vt:lpstr>
      <vt:lpstr>C13A</vt:lpstr>
      <vt:lpstr>C13B</vt:lpstr>
      <vt:lpstr>C13C</vt:lpstr>
      <vt:lpstr>C13D</vt:lpstr>
      <vt:lpstr>C13E</vt:lpstr>
      <vt:lpstr>C13F</vt:lpstr>
      <vt:lpstr>C13G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cp:lastPrinted>2011-09-07T18:35:57Z</cp:lastPrinted>
  <dcterms:created xsi:type="dcterms:W3CDTF">2010-09-24T12:38:15Z</dcterms:created>
  <dcterms:modified xsi:type="dcterms:W3CDTF">2012-01-13T16:02:11Z</dcterms:modified>
</cp:coreProperties>
</file>