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8445"/>
  </bookViews>
  <sheets>
    <sheet name="Project Credit" sheetId="2" r:id="rId1"/>
    <sheet name="Retention Efficiency Calcs" sheetId="21" r:id="rId2"/>
    <sheet name="Wet Pond Efficiency Calcs" sheetId="22" r:id="rId3"/>
    <sheet name="1 Jackson Exfiltration" sheetId="9" r:id="rId4"/>
    <sheet name="2 Pineapple Baffle" sheetId="3" r:id="rId5"/>
    <sheet name="3 Jackson Exfiltration" sheetId="18" r:id="rId6"/>
    <sheet name="4 Orange Baffle" sheetId="4" r:id="rId7"/>
    <sheet name="5 Jackson Exfiltration" sheetId="19" r:id="rId8"/>
    <sheet name="6 Avacado CDS" sheetId="5" r:id="rId9"/>
    <sheet name="7 Jackson Exfiltration" sheetId="20" r:id="rId10"/>
    <sheet name="8 Roosevelt Baffle" sheetId="14" r:id="rId11"/>
    <sheet name="9 Coconut Exfiltration" sheetId="10" r:id="rId12"/>
    <sheet name="10 Desoto Exfiltration" sheetId="6" r:id="rId13"/>
    <sheet name="11 Desoto Exfiltration" sheetId="7" r:id="rId14"/>
    <sheet name="12 Jamaica Ponds" sheetId="11" r:id="rId15"/>
    <sheet name="13 Jamaica Reuse" sheetId="13" r:id="rId16"/>
    <sheet name="14 Desoto Exfiltration" sheetId="8" r:id="rId17"/>
    <sheet name="15 Desoto Baffle" sheetId="12" r:id="rId18"/>
  </sheets>
  <calcPr calcId="125725"/>
</workbook>
</file>

<file path=xl/calcChain.xml><?xml version="1.0" encoding="utf-8"?>
<calcChain xmlns="http://schemas.openxmlformats.org/spreadsheetml/2006/main">
  <c r="B31" i="21"/>
  <c r="B27"/>
  <c r="B23"/>
  <c r="B19"/>
  <c r="B15"/>
  <c r="B11"/>
  <c r="B7"/>
  <c r="B3"/>
  <c r="L31" i="11" l="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2"/>
  <c r="B4" i="22" s="1"/>
  <c r="B5" l="1"/>
  <c r="B7" s="1"/>
  <c r="G13" i="2" s="1"/>
  <c r="B13" i="22"/>
  <c r="B14" s="1"/>
  <c r="B6"/>
  <c r="J13" i="2" s="1"/>
  <c r="G14" l="1"/>
  <c r="J14"/>
  <c r="I9"/>
  <c r="K9" s="1"/>
  <c r="F9"/>
  <c r="H9" s="1"/>
  <c r="E9"/>
  <c r="M11" i="14"/>
  <c r="N11"/>
  <c r="N3"/>
  <c r="N4"/>
  <c r="N5"/>
  <c r="N6"/>
  <c r="N7"/>
  <c r="N8"/>
  <c r="N9"/>
  <c r="N10"/>
  <c r="M3"/>
  <c r="M4"/>
  <c r="M5"/>
  <c r="M6"/>
  <c r="M7"/>
  <c r="M8"/>
  <c r="M9"/>
  <c r="M10"/>
  <c r="L3"/>
  <c r="L4"/>
  <c r="L5"/>
  <c r="L6"/>
  <c r="L7"/>
  <c r="L8"/>
  <c r="L9"/>
  <c r="L10"/>
  <c r="L2"/>
  <c r="M2" s="1"/>
  <c r="J9"/>
  <c r="I9"/>
  <c r="J5"/>
  <c r="I5"/>
  <c r="J10"/>
  <c r="I10"/>
  <c r="J8"/>
  <c r="I8"/>
  <c r="J7"/>
  <c r="I7"/>
  <c r="J6"/>
  <c r="I6"/>
  <c r="J4"/>
  <c r="I4"/>
  <c r="J3"/>
  <c r="I3"/>
  <c r="J2"/>
  <c r="I2"/>
  <c r="E14" i="2"/>
  <c r="C31" i="13"/>
  <c r="L30"/>
  <c r="J30"/>
  <c r="N30" s="1"/>
  <c r="I30"/>
  <c r="M30" s="1"/>
  <c r="M29"/>
  <c r="L29"/>
  <c r="J29"/>
  <c r="N29" s="1"/>
  <c r="I29"/>
  <c r="L28"/>
  <c r="N28" s="1"/>
  <c r="J28"/>
  <c r="I28"/>
  <c r="M28" s="1"/>
  <c r="M27"/>
  <c r="L27"/>
  <c r="J27"/>
  <c r="N27" s="1"/>
  <c r="I27"/>
  <c r="L26"/>
  <c r="N26" s="1"/>
  <c r="J26"/>
  <c r="I26"/>
  <c r="M26" s="1"/>
  <c r="M25"/>
  <c r="L25"/>
  <c r="J25"/>
  <c r="N25" s="1"/>
  <c r="I25"/>
  <c r="L24"/>
  <c r="N24" s="1"/>
  <c r="J24"/>
  <c r="I24"/>
  <c r="M24" s="1"/>
  <c r="M23"/>
  <c r="L23"/>
  <c r="J23"/>
  <c r="N23" s="1"/>
  <c r="I23"/>
  <c r="L22"/>
  <c r="N22" s="1"/>
  <c r="J22"/>
  <c r="I22"/>
  <c r="M22" s="1"/>
  <c r="M21"/>
  <c r="L21"/>
  <c r="J21"/>
  <c r="N21" s="1"/>
  <c r="I21"/>
  <c r="L20"/>
  <c r="N20" s="1"/>
  <c r="J20"/>
  <c r="I20"/>
  <c r="M20" s="1"/>
  <c r="M19"/>
  <c r="L19"/>
  <c r="J19"/>
  <c r="N19" s="1"/>
  <c r="I19"/>
  <c r="L18"/>
  <c r="N18" s="1"/>
  <c r="J18"/>
  <c r="I18"/>
  <c r="M18" s="1"/>
  <c r="M17"/>
  <c r="L17"/>
  <c r="J17"/>
  <c r="N17" s="1"/>
  <c r="I17"/>
  <c r="L16"/>
  <c r="N16" s="1"/>
  <c r="J16"/>
  <c r="I16"/>
  <c r="M16" s="1"/>
  <c r="M15"/>
  <c r="L15"/>
  <c r="J15"/>
  <c r="N15" s="1"/>
  <c r="I15"/>
  <c r="L14"/>
  <c r="N14" s="1"/>
  <c r="J14"/>
  <c r="I14"/>
  <c r="M14" s="1"/>
  <c r="M13"/>
  <c r="L13"/>
  <c r="J13"/>
  <c r="N13" s="1"/>
  <c r="I13"/>
  <c r="L12"/>
  <c r="N12" s="1"/>
  <c r="J12"/>
  <c r="I12"/>
  <c r="M12" s="1"/>
  <c r="M11"/>
  <c r="L11"/>
  <c r="J11"/>
  <c r="N11" s="1"/>
  <c r="I11"/>
  <c r="L10"/>
  <c r="N10" s="1"/>
  <c r="J10"/>
  <c r="I10"/>
  <c r="M10" s="1"/>
  <c r="M9"/>
  <c r="L9"/>
  <c r="J9"/>
  <c r="N9" s="1"/>
  <c r="I9"/>
  <c r="L8"/>
  <c r="N8" s="1"/>
  <c r="J8"/>
  <c r="I8"/>
  <c r="M8" s="1"/>
  <c r="M7"/>
  <c r="L7"/>
  <c r="J7"/>
  <c r="N7" s="1"/>
  <c r="I7"/>
  <c r="L6"/>
  <c r="N6" s="1"/>
  <c r="J6"/>
  <c r="I6"/>
  <c r="M6" s="1"/>
  <c r="M5"/>
  <c r="L5"/>
  <c r="J5"/>
  <c r="N5" s="1"/>
  <c r="I5"/>
  <c r="L4"/>
  <c r="N4" s="1"/>
  <c r="J4"/>
  <c r="I4"/>
  <c r="M4" s="1"/>
  <c r="M3"/>
  <c r="L3"/>
  <c r="J3"/>
  <c r="N3" s="1"/>
  <c r="I3"/>
  <c r="L2"/>
  <c r="N2" s="1"/>
  <c r="N31" s="1"/>
  <c r="J2"/>
  <c r="I2"/>
  <c r="M2" s="1"/>
  <c r="M31" s="1"/>
  <c r="E16" i="2"/>
  <c r="E7"/>
  <c r="N9" i="12"/>
  <c r="M9"/>
  <c r="N3"/>
  <c r="N4"/>
  <c r="N5"/>
  <c r="N6"/>
  <c r="N7"/>
  <c r="N8"/>
  <c r="M3"/>
  <c r="M4"/>
  <c r="M5"/>
  <c r="M6"/>
  <c r="M7"/>
  <c r="M8"/>
  <c r="L3"/>
  <c r="L4"/>
  <c r="L5"/>
  <c r="L6"/>
  <c r="L7"/>
  <c r="L8"/>
  <c r="L2"/>
  <c r="M2" s="1"/>
  <c r="J3"/>
  <c r="J4"/>
  <c r="J5"/>
  <c r="J6"/>
  <c r="J7"/>
  <c r="J8"/>
  <c r="I3"/>
  <c r="I4"/>
  <c r="I5"/>
  <c r="I6"/>
  <c r="I7"/>
  <c r="I8"/>
  <c r="J2"/>
  <c r="I2"/>
  <c r="E13" i="2"/>
  <c r="N31" i="11"/>
  <c r="O31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2"/>
  <c r="N2" s="1"/>
  <c r="J26"/>
  <c r="I26"/>
  <c r="J21"/>
  <c r="I21"/>
  <c r="J17"/>
  <c r="I17"/>
  <c r="J13"/>
  <c r="I13"/>
  <c r="J7"/>
  <c r="I7"/>
  <c r="J30"/>
  <c r="I30"/>
  <c r="J29"/>
  <c r="I29"/>
  <c r="J28"/>
  <c r="I28"/>
  <c r="J27"/>
  <c r="I27"/>
  <c r="J25"/>
  <c r="I25"/>
  <c r="J24"/>
  <c r="I24"/>
  <c r="J23"/>
  <c r="I23"/>
  <c r="J22"/>
  <c r="I22"/>
  <c r="J20"/>
  <c r="I20"/>
  <c r="J19"/>
  <c r="I19"/>
  <c r="J18"/>
  <c r="I18"/>
  <c r="J16"/>
  <c r="I16"/>
  <c r="J15"/>
  <c r="I15"/>
  <c r="J14"/>
  <c r="I14"/>
  <c r="J12"/>
  <c r="I12"/>
  <c r="J11"/>
  <c r="I11"/>
  <c r="J10"/>
  <c r="I10"/>
  <c r="J9"/>
  <c r="I9"/>
  <c r="J8"/>
  <c r="I8"/>
  <c r="J6"/>
  <c r="I6"/>
  <c r="J5"/>
  <c r="I5"/>
  <c r="J4"/>
  <c r="I4"/>
  <c r="J3"/>
  <c r="I3"/>
  <c r="J2"/>
  <c r="I2"/>
  <c r="C31"/>
  <c r="I10" i="2"/>
  <c r="F10"/>
  <c r="E10"/>
  <c r="C17" i="10"/>
  <c r="M17"/>
  <c r="N17"/>
  <c r="N3"/>
  <c r="N4"/>
  <c r="N5"/>
  <c r="N6"/>
  <c r="N7"/>
  <c r="N8"/>
  <c r="N9"/>
  <c r="N10"/>
  <c r="N11"/>
  <c r="N12"/>
  <c r="N13"/>
  <c r="N14"/>
  <c r="N15"/>
  <c r="N16"/>
  <c r="M3"/>
  <c r="M4"/>
  <c r="M5"/>
  <c r="M6"/>
  <c r="M7"/>
  <c r="M8"/>
  <c r="M9"/>
  <c r="M10"/>
  <c r="M11"/>
  <c r="M12"/>
  <c r="M13"/>
  <c r="M14"/>
  <c r="M15"/>
  <c r="M16"/>
  <c r="L3"/>
  <c r="L4"/>
  <c r="L5"/>
  <c r="L6"/>
  <c r="L7"/>
  <c r="L8"/>
  <c r="L9"/>
  <c r="L10"/>
  <c r="L11"/>
  <c r="L12"/>
  <c r="L13"/>
  <c r="L14"/>
  <c r="L15"/>
  <c r="L16"/>
  <c r="L2"/>
  <c r="M2" s="1"/>
  <c r="J16"/>
  <c r="I16"/>
  <c r="J12"/>
  <c r="I12"/>
  <c r="J6"/>
  <c r="I6"/>
  <c r="J15"/>
  <c r="I15"/>
  <c r="J14"/>
  <c r="I14"/>
  <c r="J13"/>
  <c r="I13"/>
  <c r="J11"/>
  <c r="I11"/>
  <c r="J10"/>
  <c r="I10"/>
  <c r="J9"/>
  <c r="I9"/>
  <c r="J8"/>
  <c r="I8"/>
  <c r="J7"/>
  <c r="I7"/>
  <c r="J5"/>
  <c r="I5"/>
  <c r="J4"/>
  <c r="I4"/>
  <c r="J3"/>
  <c r="I3"/>
  <c r="J2"/>
  <c r="I2"/>
  <c r="I6" i="2"/>
  <c r="K6" s="1"/>
  <c r="I7" s="1"/>
  <c r="K7" s="1"/>
  <c r="F6"/>
  <c r="H6" s="1"/>
  <c r="F7" s="1"/>
  <c r="H7" s="1"/>
  <c r="E6"/>
  <c r="L2" i="19"/>
  <c r="M2" s="1"/>
  <c r="J2"/>
  <c r="I2"/>
  <c r="I8" i="2"/>
  <c r="K8" s="1"/>
  <c r="F8"/>
  <c r="H8" s="1"/>
  <c r="E8"/>
  <c r="M13" i="20"/>
  <c r="N13"/>
  <c r="N3"/>
  <c r="N4"/>
  <c r="N5"/>
  <c r="N6"/>
  <c r="N7"/>
  <c r="N8"/>
  <c r="N9"/>
  <c r="N10"/>
  <c r="N11"/>
  <c r="N12"/>
  <c r="M3"/>
  <c r="M4"/>
  <c r="M5"/>
  <c r="M6"/>
  <c r="M7"/>
  <c r="M8"/>
  <c r="M9"/>
  <c r="M10"/>
  <c r="M11"/>
  <c r="M12"/>
  <c r="L3"/>
  <c r="L4"/>
  <c r="L5"/>
  <c r="L6"/>
  <c r="L7"/>
  <c r="L8"/>
  <c r="L9"/>
  <c r="L10"/>
  <c r="L11"/>
  <c r="L12"/>
  <c r="L2"/>
  <c r="M2" s="1"/>
  <c r="J10"/>
  <c r="I10"/>
  <c r="J8"/>
  <c r="I8"/>
  <c r="J3"/>
  <c r="I3"/>
  <c r="J12"/>
  <c r="I12"/>
  <c r="J11"/>
  <c r="I11"/>
  <c r="J9"/>
  <c r="I9"/>
  <c r="J7"/>
  <c r="I7"/>
  <c r="J6"/>
  <c r="I6"/>
  <c r="J5"/>
  <c r="I5"/>
  <c r="J4"/>
  <c r="I4"/>
  <c r="J2"/>
  <c r="I2"/>
  <c r="I4" i="2"/>
  <c r="K4" s="1"/>
  <c r="I5" s="1"/>
  <c r="F4"/>
  <c r="H4" s="1"/>
  <c r="F5" s="1"/>
  <c r="E4"/>
  <c r="N8" i="18"/>
  <c r="M8"/>
  <c r="N3"/>
  <c r="N4"/>
  <c r="N5"/>
  <c r="N6"/>
  <c r="N7"/>
  <c r="M3"/>
  <c r="M4"/>
  <c r="M5"/>
  <c r="M6"/>
  <c r="M7"/>
  <c r="L3"/>
  <c r="L4"/>
  <c r="L5"/>
  <c r="L6"/>
  <c r="L7"/>
  <c r="L2"/>
  <c r="M2" s="1"/>
  <c r="J6"/>
  <c r="I6"/>
  <c r="J5"/>
  <c r="I5"/>
  <c r="J4"/>
  <c r="I4"/>
  <c r="J7"/>
  <c r="I7"/>
  <c r="J3"/>
  <c r="I3"/>
  <c r="J2"/>
  <c r="I2"/>
  <c r="I2" i="2"/>
  <c r="K2" s="1"/>
  <c r="I3" s="1"/>
  <c r="F2"/>
  <c r="H2" s="1"/>
  <c r="F3" s="1"/>
  <c r="E2"/>
  <c r="N4" i="9"/>
  <c r="M4"/>
  <c r="N3"/>
  <c r="M3"/>
  <c r="L3"/>
  <c r="M2"/>
  <c r="L2"/>
  <c r="N2" s="1"/>
  <c r="J3"/>
  <c r="I3"/>
  <c r="J2"/>
  <c r="I2"/>
  <c r="C4"/>
  <c r="I15" i="2"/>
  <c r="F15"/>
  <c r="E15"/>
  <c r="C4" i="8"/>
  <c r="N4"/>
  <c r="M4"/>
  <c r="N3"/>
  <c r="M3"/>
  <c r="L3"/>
  <c r="L2"/>
  <c r="M2" s="1"/>
  <c r="J3"/>
  <c r="I3"/>
  <c r="J2"/>
  <c r="I2"/>
  <c r="I12" i="2"/>
  <c r="F12"/>
  <c r="E12"/>
  <c r="N4" i="7"/>
  <c r="M4"/>
  <c r="N3"/>
  <c r="M3"/>
  <c r="L3"/>
  <c r="L2"/>
  <c r="M2" s="1"/>
  <c r="J3"/>
  <c r="I3"/>
  <c r="J2"/>
  <c r="I2"/>
  <c r="C4"/>
  <c r="J15" i="2" l="1"/>
  <c r="K15" s="1"/>
  <c r="I16" s="1"/>
  <c r="K16" s="1"/>
  <c r="G15"/>
  <c r="H15" s="1"/>
  <c r="F16" s="1"/>
  <c r="H16" s="1"/>
  <c r="J11"/>
  <c r="G11"/>
  <c r="J10"/>
  <c r="K10" s="1"/>
  <c r="G10"/>
  <c r="J12"/>
  <c r="G12"/>
  <c r="H12" s="1"/>
  <c r="K12"/>
  <c r="H10"/>
  <c r="N2" i="14"/>
  <c r="N2" i="12"/>
  <c r="O2" i="11"/>
  <c r="N2" i="10"/>
  <c r="N2" i="19"/>
  <c r="N2" i="20"/>
  <c r="N2" i="18"/>
  <c r="N2" i="8"/>
  <c r="N2" i="7"/>
  <c r="I11" i="2"/>
  <c r="F11"/>
  <c r="E11"/>
  <c r="N5" i="6"/>
  <c r="M5"/>
  <c r="N3"/>
  <c r="N4"/>
  <c r="M3"/>
  <c r="M4"/>
  <c r="L3"/>
  <c r="L4"/>
  <c r="M2"/>
  <c r="L2"/>
  <c r="N2" s="1"/>
  <c r="J3"/>
  <c r="J4"/>
  <c r="I3"/>
  <c r="I4"/>
  <c r="J2"/>
  <c r="I2"/>
  <c r="C5"/>
  <c r="L2" i="5"/>
  <c r="M2" s="1"/>
  <c r="J2"/>
  <c r="I2"/>
  <c r="E5" i="2"/>
  <c r="N8" i="4"/>
  <c r="M8"/>
  <c r="N3"/>
  <c r="N4"/>
  <c r="N5"/>
  <c r="N6"/>
  <c r="N7"/>
  <c r="M3"/>
  <c r="M4"/>
  <c r="M5"/>
  <c r="M6"/>
  <c r="M7"/>
  <c r="L3"/>
  <c r="L4"/>
  <c r="L5"/>
  <c r="L6"/>
  <c r="L7"/>
  <c r="M2"/>
  <c r="L2"/>
  <c r="N2" s="1"/>
  <c r="J6"/>
  <c r="J5"/>
  <c r="J4"/>
  <c r="I6"/>
  <c r="I5"/>
  <c r="I4"/>
  <c r="J7"/>
  <c r="I7"/>
  <c r="J3"/>
  <c r="I3"/>
  <c r="J2"/>
  <c r="I2"/>
  <c r="E3" i="2"/>
  <c r="N4" i="3"/>
  <c r="M4"/>
  <c r="N3"/>
  <c r="N2"/>
  <c r="M3"/>
  <c r="M2"/>
  <c r="L3"/>
  <c r="L2"/>
  <c r="H11" i="2" l="1"/>
  <c r="F13" s="1"/>
  <c r="H13" s="1"/>
  <c r="F14" s="1"/>
  <c r="H14" s="1"/>
  <c r="K11"/>
  <c r="I13" s="1"/>
  <c r="K13" s="1"/>
  <c r="I14" s="1"/>
  <c r="K14" s="1"/>
  <c r="N2" i="5"/>
  <c r="J3" i="3"/>
  <c r="I3"/>
  <c r="J2"/>
  <c r="I2"/>
  <c r="C11" i="14"/>
  <c r="C9" i="12"/>
  <c r="C13" i="20"/>
  <c r="C8" i="18"/>
  <c r="C8" i="4"/>
  <c r="C4" i="3"/>
  <c r="H20" i="2" l="1"/>
  <c r="K20"/>
</calcChain>
</file>

<file path=xl/sharedStrings.xml><?xml version="1.0" encoding="utf-8"?>
<sst xmlns="http://schemas.openxmlformats.org/spreadsheetml/2006/main" count="465" uniqueCount="99">
  <si>
    <t>Project Number</t>
  </si>
  <si>
    <t>Project Name</t>
  </si>
  <si>
    <t>Project Description</t>
  </si>
  <si>
    <t>33-Ex</t>
  </si>
  <si>
    <t>Pineapple Baffle Box</t>
  </si>
  <si>
    <t>29-EX</t>
  </si>
  <si>
    <t>Orange Baffle Box</t>
  </si>
  <si>
    <t>32-Ex</t>
  </si>
  <si>
    <t>Avacado CDS</t>
  </si>
  <si>
    <t>19-ExA</t>
  </si>
  <si>
    <t>Desoto Exfiltration</t>
  </si>
  <si>
    <t>Exfiltration Pipes</t>
  </si>
  <si>
    <t>19-ExB</t>
  </si>
  <si>
    <t>19-ExC</t>
  </si>
  <si>
    <t>10-ExA</t>
  </si>
  <si>
    <t>Jackson Exfiltration</t>
  </si>
  <si>
    <t>10-ExB</t>
  </si>
  <si>
    <t>10-ExC</t>
  </si>
  <si>
    <t>10-ExD</t>
  </si>
  <si>
    <t>20-Ex</t>
  </si>
  <si>
    <t>Coconut Exfiltration</t>
  </si>
  <si>
    <t>18-Ex</t>
  </si>
  <si>
    <t>Jamaica Blvd Ponds</t>
  </si>
  <si>
    <t>28-EX</t>
  </si>
  <si>
    <t>Desoto Baffle Boxes</t>
  </si>
  <si>
    <t>37-Ex</t>
  </si>
  <si>
    <t>Jamaica Pond Reuse</t>
  </si>
  <si>
    <t>38-Ex</t>
  </si>
  <si>
    <t>Roosevelt Baffle Box</t>
  </si>
  <si>
    <t>Type 2 Baffle Box</t>
  </si>
  <si>
    <t>SB-1</t>
  </si>
  <si>
    <t>SB-2</t>
  </si>
  <si>
    <t>SB-3</t>
  </si>
  <si>
    <t>SB-4</t>
  </si>
  <si>
    <t>SB-5</t>
  </si>
  <si>
    <t>SB-6</t>
  </si>
  <si>
    <t>SB-7</t>
  </si>
  <si>
    <t>SB-8</t>
  </si>
  <si>
    <t>SB-11</t>
  </si>
  <si>
    <t>SB-12</t>
  </si>
  <si>
    <t>SB-13</t>
  </si>
  <si>
    <t>SB-14</t>
  </si>
  <si>
    <t>Type 1 Baffle Box</t>
  </si>
  <si>
    <t>Stormwater Reuse</t>
  </si>
  <si>
    <t>Offline Wet Detention Ponds</t>
  </si>
  <si>
    <t>Number</t>
  </si>
  <si>
    <t>LCCODE</t>
  </si>
  <si>
    <t>C</t>
  </si>
  <si>
    <t>TN_MG_L</t>
  </si>
  <si>
    <t>TP_MG_L</t>
  </si>
  <si>
    <t>VOLUME_M3</t>
  </si>
  <si>
    <t>GRID_CODE</t>
  </si>
  <si>
    <t>AVG_ANNUAL</t>
  </si>
  <si>
    <t>Acres</t>
  </si>
  <si>
    <t xml:space="preserve">Entity </t>
  </si>
  <si>
    <t>EMC TN</t>
  </si>
  <si>
    <t>EMC TP</t>
  </si>
  <si>
    <t>Annual Runoff (m3)</t>
  </si>
  <si>
    <t>TN Load (lbs/yr)</t>
  </si>
  <si>
    <t>TP Load (lbs/yr)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</si>
  <si>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</si>
  <si>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</si>
  <si>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</si>
  <si>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</si>
  <si>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</si>
  <si>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</si>
  <si>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</si>
  <si>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Entity</t>
  </si>
  <si>
    <t>Satellite Beach</t>
  </si>
  <si>
    <t xml:space="preserve">EMC TN </t>
  </si>
  <si>
    <t>inches</t>
  </si>
  <si>
    <t>retention</t>
  </si>
  <si>
    <t>efficiency</t>
  </si>
  <si>
    <t>SB-9</t>
  </si>
  <si>
    <t>SB-10</t>
  </si>
  <si>
    <t>SB-15</t>
  </si>
  <si>
    <t xml:space="preserve">residence time = </t>
  </si>
  <si>
    <t>(wet pond volume)/(annual runoff)</t>
  </si>
  <si>
    <t>wet pond volume:</t>
  </si>
  <si>
    <t>ac-ft</t>
  </si>
  <si>
    <t>annual runoff:</t>
  </si>
  <si>
    <t>ac-ft/yr</t>
  </si>
  <si>
    <t>retention time</t>
  </si>
  <si>
    <t>TN efficiency</t>
  </si>
  <si>
    <t>%</t>
  </si>
  <si>
    <t>TP efficiency</t>
  </si>
  <si>
    <t>Project SB-12</t>
  </si>
  <si>
    <t>Annual Runoff (ac-ft)</t>
  </si>
  <si>
    <t>days</t>
  </si>
  <si>
    <t>Project SB-13</t>
  </si>
  <si>
    <t>reuse</t>
  </si>
  <si>
    <t>annual runoff</t>
  </si>
  <si>
    <t>percent reuse</t>
  </si>
  <si>
    <t>TN (lbs/yr)</t>
  </si>
  <si>
    <t>TP (lbs/yr)</t>
  </si>
  <si>
    <t>Total Credit</t>
  </si>
  <si>
    <t>CDS Unit</t>
  </si>
  <si>
    <t>Type 2 Baffle Boxe</t>
  </si>
  <si>
    <t>No credit - after exfiltration</t>
  </si>
</sst>
</file>

<file path=xl/styles.xml><?xml version="1.0" encoding="utf-8"?>
<styleSheet xmlns="http://schemas.openxmlformats.org/spreadsheetml/2006/main">
  <numFmts count="4">
    <numFmt numFmtId="164" formatCode="0.00000000000"/>
    <numFmt numFmtId="165" formatCode="0.0000000000"/>
    <numFmt numFmtId="166" formatCode="0.000"/>
    <numFmt numFmtId="167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0" xfId="0" applyFont="1"/>
    <xf numFmtId="0" fontId="4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1" xfId="1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4" fillId="4" borderId="1" xfId="1" applyFont="1" applyFill="1" applyBorder="1" applyAlignment="1">
      <alignment horizontal="center" wrapText="1"/>
    </xf>
    <xf numFmtId="0" fontId="5" fillId="4" borderId="1" xfId="1" applyFont="1" applyFill="1" applyBorder="1" applyAlignment="1">
      <alignment horizontal="center" wrapText="1"/>
    </xf>
    <xf numFmtId="0" fontId="0" fillId="5" borderId="1" xfId="0" applyFill="1" applyBorder="1" applyAlignment="1">
      <alignment horizontal="center"/>
    </xf>
    <xf numFmtId="0" fontId="4" fillId="5" borderId="1" xfId="1" applyFont="1" applyFill="1" applyBorder="1" applyAlignment="1">
      <alignment horizontal="center" wrapText="1"/>
    </xf>
    <xf numFmtId="0" fontId="5" fillId="5" borderId="1" xfId="1" applyFont="1" applyFill="1" applyBorder="1" applyAlignment="1">
      <alignment horizontal="center" wrapText="1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16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0" fillId="0" borderId="1" xfId="0" applyFont="1" applyBorder="1"/>
    <xf numFmtId="0" fontId="0" fillId="3" borderId="1" xfId="0" applyFont="1" applyFill="1" applyBorder="1"/>
    <xf numFmtId="0" fontId="0" fillId="4" borderId="1" xfId="0" applyFont="1" applyFill="1" applyBorder="1"/>
    <xf numFmtId="0" fontId="0" fillId="5" borderId="1" xfId="0" applyFont="1" applyFill="1" applyBorder="1"/>
    <xf numFmtId="167" fontId="0" fillId="3" borderId="1" xfId="0" applyNumberFormat="1" applyFont="1" applyFill="1" applyBorder="1"/>
    <xf numFmtId="167" fontId="0" fillId="4" borderId="1" xfId="0" applyNumberFormat="1" applyFont="1" applyFill="1" applyBorder="1"/>
    <xf numFmtId="167" fontId="0" fillId="5" borderId="1" xfId="0" applyNumberFormat="1" applyFont="1" applyFill="1" applyBorder="1"/>
    <xf numFmtId="167" fontId="0" fillId="0" borderId="1" xfId="0" applyNumberFormat="1" applyFont="1" applyBorder="1"/>
    <xf numFmtId="1" fontId="0" fillId="3" borderId="1" xfId="0" applyNumberFormat="1" applyFont="1" applyFill="1" applyBorder="1"/>
    <xf numFmtId="1" fontId="0" fillId="4" borderId="1" xfId="0" applyNumberFormat="1" applyFont="1" applyFill="1" applyBorder="1"/>
    <xf numFmtId="1" fontId="0" fillId="5" borderId="1" xfId="0" applyNumberFormat="1" applyFont="1" applyFill="1" applyBorder="1"/>
    <xf numFmtId="1" fontId="0" fillId="0" borderId="1" xfId="0" applyNumberFormat="1" applyFont="1" applyBorder="1"/>
    <xf numFmtId="0" fontId="0" fillId="6" borderId="1" xfId="0" applyFill="1" applyBorder="1" applyAlignment="1">
      <alignment horizontal="center"/>
    </xf>
    <xf numFmtId="0" fontId="4" fillId="6" borderId="1" xfId="1" applyFont="1" applyFill="1" applyBorder="1" applyAlignment="1">
      <alignment horizontal="center" wrapText="1"/>
    </xf>
    <xf numFmtId="0" fontId="5" fillId="6" borderId="1" xfId="1" applyFont="1" applyFill="1" applyBorder="1" applyAlignment="1">
      <alignment horizontal="center" wrapText="1"/>
    </xf>
    <xf numFmtId="167" fontId="0" fillId="6" borderId="1" xfId="0" applyNumberFormat="1" applyFont="1" applyFill="1" applyBorder="1"/>
    <xf numFmtId="1" fontId="0" fillId="6" borderId="1" xfId="0" applyNumberFormat="1" applyFont="1" applyFill="1" applyBorder="1"/>
    <xf numFmtId="0" fontId="0" fillId="6" borderId="1" xfId="0" applyFont="1" applyFill="1" applyBorder="1"/>
    <xf numFmtId="0" fontId="1" fillId="0" borderId="0" xfId="0" applyFont="1"/>
    <xf numFmtId="1" fontId="0" fillId="0" borderId="0" xfId="0" applyNumberFormat="1" applyFont="1"/>
    <xf numFmtId="0" fontId="1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3" fontId="1" fillId="0" borderId="0" xfId="0" applyNumberFormat="1" applyFont="1" applyFill="1" applyBorder="1"/>
    <xf numFmtId="167" fontId="1" fillId="0" borderId="0" xfId="0" applyNumberFormat="1" applyFont="1"/>
    <xf numFmtId="0" fontId="0" fillId="7" borderId="1" xfId="0" applyFill="1" applyBorder="1" applyAlignment="1">
      <alignment horizontal="center"/>
    </xf>
    <xf numFmtId="0" fontId="5" fillId="7" borderId="1" xfId="1" applyFont="1" applyFill="1" applyBorder="1" applyAlignment="1">
      <alignment horizontal="center" wrapText="1"/>
    </xf>
    <xf numFmtId="167" fontId="0" fillId="7" borderId="1" xfId="0" applyNumberFormat="1" applyFont="1" applyFill="1" applyBorder="1"/>
    <xf numFmtId="1" fontId="0" fillId="7" borderId="1" xfId="0" applyNumberFormat="1" applyFont="1" applyFill="1" applyBorder="1"/>
    <xf numFmtId="0" fontId="0" fillId="7" borderId="1" xfId="0" applyFont="1" applyFill="1" applyBorder="1"/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6" borderId="1" xfId="0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zoomScaleNormal="100" workbookViewId="0">
      <selection activeCell="E23" sqref="E23"/>
    </sheetView>
  </sheetViews>
  <sheetFormatPr defaultRowHeight="15"/>
  <cols>
    <col min="1" max="1" width="9.140625" style="1"/>
    <col min="2" max="2" width="9.42578125" style="1" customWidth="1"/>
    <col min="3" max="3" width="20.85546875" style="1" customWidth="1"/>
    <col min="4" max="4" width="19.7109375" style="1" customWidth="1"/>
    <col min="5" max="5" width="7.85546875" style="1" bestFit="1" customWidth="1"/>
    <col min="6" max="6" width="12.5703125" style="1" bestFit="1" customWidth="1"/>
    <col min="7" max="7" width="15.42578125" style="1" customWidth="1"/>
    <col min="8" max="8" width="10.28515625" style="1" customWidth="1"/>
    <col min="9" max="9" width="12.28515625" style="1" bestFit="1" customWidth="1"/>
    <col min="10" max="10" width="15.85546875" style="1" customWidth="1"/>
    <col min="11" max="11" width="9" style="1" bestFit="1" customWidth="1"/>
    <col min="12" max="16384" width="9.140625" style="1"/>
  </cols>
  <sheetData>
    <row r="1" spans="1:11" ht="30">
      <c r="A1" s="4" t="s">
        <v>45</v>
      </c>
      <c r="B1" s="22" t="s">
        <v>0</v>
      </c>
      <c r="C1" s="22" t="s">
        <v>1</v>
      </c>
      <c r="D1" s="22" t="s">
        <v>2</v>
      </c>
      <c r="E1" s="21" t="s">
        <v>60</v>
      </c>
      <c r="F1" s="21" t="s">
        <v>61</v>
      </c>
      <c r="G1" s="21" t="s">
        <v>62</v>
      </c>
      <c r="H1" s="21" t="s">
        <v>63</v>
      </c>
      <c r="I1" s="21" t="s">
        <v>64</v>
      </c>
      <c r="J1" s="21" t="s">
        <v>65</v>
      </c>
      <c r="K1" s="21" t="s">
        <v>66</v>
      </c>
    </row>
    <row r="2" spans="1:11">
      <c r="A2" s="6" t="s">
        <v>30</v>
      </c>
      <c r="B2" s="7" t="s">
        <v>14</v>
      </c>
      <c r="C2" s="7" t="s">
        <v>15</v>
      </c>
      <c r="D2" s="8" t="s">
        <v>11</v>
      </c>
      <c r="E2" s="27">
        <f>'1 Jackson Exfiltration'!C4</f>
        <v>24.663502758100002</v>
      </c>
      <c r="F2" s="31">
        <f>'1 Jackson Exfiltration'!M4</f>
        <v>314</v>
      </c>
      <c r="G2" s="24">
        <v>3</v>
      </c>
      <c r="H2" s="31">
        <f>ROUND(F2*G2/100,0)</f>
        <v>9</v>
      </c>
      <c r="I2" s="27">
        <f>'1 Jackson Exfiltration'!N4</f>
        <v>72.8</v>
      </c>
      <c r="J2" s="24">
        <v>3</v>
      </c>
      <c r="K2" s="24">
        <f>ROUND(I2*J2/100,1)</f>
        <v>2.2000000000000002</v>
      </c>
    </row>
    <row r="3" spans="1:11" ht="30">
      <c r="A3" s="6" t="s">
        <v>31</v>
      </c>
      <c r="B3" s="7" t="s">
        <v>3</v>
      </c>
      <c r="C3" s="7" t="s">
        <v>4</v>
      </c>
      <c r="D3" s="8" t="s">
        <v>42</v>
      </c>
      <c r="E3" s="27">
        <f>'2 Pineapple Baffle'!C4</f>
        <v>24.663502758100002</v>
      </c>
      <c r="F3" s="31">
        <f>'2 Pineapple Baffle'!M4-H2</f>
        <v>305</v>
      </c>
      <c r="G3" s="54" t="s">
        <v>98</v>
      </c>
      <c r="H3" s="31">
        <v>0</v>
      </c>
      <c r="I3" s="27">
        <f>'2 Pineapple Baffle'!N4-K2</f>
        <v>70.599999999999994</v>
      </c>
      <c r="J3" s="54" t="s">
        <v>98</v>
      </c>
      <c r="K3" s="24">
        <v>0</v>
      </c>
    </row>
    <row r="4" spans="1:11">
      <c r="A4" s="9" t="s">
        <v>32</v>
      </c>
      <c r="B4" s="10" t="s">
        <v>16</v>
      </c>
      <c r="C4" s="10" t="s">
        <v>15</v>
      </c>
      <c r="D4" s="11" t="s">
        <v>11</v>
      </c>
      <c r="E4" s="28">
        <f>'3 Jackson Exfiltration'!C8</f>
        <v>8.2232268415000007</v>
      </c>
      <c r="F4" s="32">
        <f>'3 Jackson Exfiltration'!M8</f>
        <v>79</v>
      </c>
      <c r="G4" s="25">
        <v>7</v>
      </c>
      <c r="H4" s="32">
        <f>ROUND(F4*G4/100,0)</f>
        <v>6</v>
      </c>
      <c r="I4" s="28">
        <f>'3 Jackson Exfiltration'!N8</f>
        <v>11.9</v>
      </c>
      <c r="J4" s="25">
        <v>7</v>
      </c>
      <c r="K4" s="25">
        <f>ROUND(I4*J4/100,1)</f>
        <v>0.8</v>
      </c>
    </row>
    <row r="5" spans="1:11" ht="30">
      <c r="A5" s="9" t="s">
        <v>33</v>
      </c>
      <c r="B5" s="10" t="s">
        <v>5</v>
      </c>
      <c r="C5" s="10" t="s">
        <v>6</v>
      </c>
      <c r="D5" s="11" t="s">
        <v>42</v>
      </c>
      <c r="E5" s="28">
        <f>'4 Orange Baffle'!C8</f>
        <v>8.2232268415000007</v>
      </c>
      <c r="F5" s="32">
        <f>'4 Orange Baffle'!M8-H4</f>
        <v>73</v>
      </c>
      <c r="G5" s="55" t="s">
        <v>98</v>
      </c>
      <c r="H5" s="32">
        <v>0</v>
      </c>
      <c r="I5" s="28">
        <f>'4 Orange Baffle'!N8-K4</f>
        <v>11.1</v>
      </c>
      <c r="J5" s="55" t="s">
        <v>98</v>
      </c>
      <c r="K5" s="25">
        <v>0</v>
      </c>
    </row>
    <row r="6" spans="1:11">
      <c r="A6" s="12" t="s">
        <v>34</v>
      </c>
      <c r="B6" s="13" t="s">
        <v>18</v>
      </c>
      <c r="C6" s="13" t="s">
        <v>15</v>
      </c>
      <c r="D6" s="14" t="s">
        <v>11</v>
      </c>
      <c r="E6" s="29">
        <f>'5 Jackson Exfiltration'!C2</f>
        <v>8.5893689809999998</v>
      </c>
      <c r="F6" s="33">
        <f>'5 Jackson Exfiltration'!M2</f>
        <v>129</v>
      </c>
      <c r="G6" s="26">
        <v>5</v>
      </c>
      <c r="H6" s="33">
        <f>ROUND(F6*G6/100,0)</f>
        <v>6</v>
      </c>
      <c r="I6" s="29">
        <f>'5 Jackson Exfiltration'!N2</f>
        <v>34.1</v>
      </c>
      <c r="J6" s="26">
        <v>5</v>
      </c>
      <c r="K6" s="26">
        <f>ROUND(I6*J6/100,1)</f>
        <v>1.7</v>
      </c>
    </row>
    <row r="7" spans="1:11">
      <c r="A7" s="12" t="s">
        <v>35</v>
      </c>
      <c r="B7" s="13" t="s">
        <v>7</v>
      </c>
      <c r="C7" s="13" t="s">
        <v>8</v>
      </c>
      <c r="D7" s="14" t="s">
        <v>96</v>
      </c>
      <c r="E7" s="29">
        <f>'6 Avacado CDS'!C2</f>
        <v>8.5893689809999998</v>
      </c>
      <c r="F7" s="33">
        <f>'6 Avacado CDS'!M2-H6</f>
        <v>123</v>
      </c>
      <c r="G7" s="26">
        <v>0</v>
      </c>
      <c r="H7" s="33">
        <f t="shared" ref="H7:H16" si="0">ROUND(F7*G7/100,0)</f>
        <v>0</v>
      </c>
      <c r="I7" s="29">
        <f>'6 Avacado CDS'!N2-K6</f>
        <v>32.4</v>
      </c>
      <c r="J7" s="26">
        <v>10</v>
      </c>
      <c r="K7" s="26">
        <f t="shared" ref="K7:K16" si="1">ROUND(I7*J7/100,1)</f>
        <v>3.2</v>
      </c>
    </row>
    <row r="8" spans="1:11">
      <c r="A8" s="5" t="s">
        <v>36</v>
      </c>
      <c r="B8" s="2" t="s">
        <v>17</v>
      </c>
      <c r="C8" s="2" t="s">
        <v>15</v>
      </c>
      <c r="D8" s="3" t="s">
        <v>11</v>
      </c>
      <c r="E8" s="30">
        <f>'7 Jackson Exfiltration'!C13</f>
        <v>11.711601335400001</v>
      </c>
      <c r="F8" s="34">
        <f>'7 Jackson Exfiltration'!M13</f>
        <v>101</v>
      </c>
      <c r="G8" s="23">
        <v>3</v>
      </c>
      <c r="H8" s="34">
        <f>ROUND(F8*G8/100,0)</f>
        <v>3</v>
      </c>
      <c r="I8" s="30">
        <f>'7 Jackson Exfiltration'!N13</f>
        <v>14.699999999999998</v>
      </c>
      <c r="J8" s="23">
        <v>3</v>
      </c>
      <c r="K8" s="23">
        <f>ROUND(I8*J8/100,1)</f>
        <v>0.4</v>
      </c>
    </row>
    <row r="9" spans="1:11">
      <c r="A9" s="49" t="s">
        <v>37</v>
      </c>
      <c r="B9" s="50" t="s">
        <v>27</v>
      </c>
      <c r="C9" s="50" t="s">
        <v>28</v>
      </c>
      <c r="D9" s="50" t="s">
        <v>29</v>
      </c>
      <c r="E9" s="51">
        <f>'8 Roosevelt Baffle'!C11</f>
        <v>55.767989287799999</v>
      </c>
      <c r="F9" s="52">
        <f>'8 Roosevelt Baffle'!M11</f>
        <v>561</v>
      </c>
      <c r="G9" s="53">
        <v>19.05</v>
      </c>
      <c r="H9" s="52">
        <f>ROUND(F9*G9/100,0)</f>
        <v>107</v>
      </c>
      <c r="I9" s="51">
        <f>'8 Roosevelt Baffle'!N11</f>
        <v>93</v>
      </c>
      <c r="J9" s="53">
        <v>15.5</v>
      </c>
      <c r="K9" s="53">
        <f>ROUND(I9*J9/100,1)</f>
        <v>14.4</v>
      </c>
    </row>
    <row r="10" spans="1:11">
      <c r="A10" s="35" t="s">
        <v>73</v>
      </c>
      <c r="B10" s="36" t="s">
        <v>19</v>
      </c>
      <c r="C10" s="36" t="s">
        <v>20</v>
      </c>
      <c r="D10" s="37" t="s">
        <v>11</v>
      </c>
      <c r="E10" s="38">
        <f>'9 Coconut Exfiltration'!C17</f>
        <v>39.717575226699999</v>
      </c>
      <c r="F10" s="39">
        <f>'9 Coconut Exfiltration'!M17</f>
        <v>392</v>
      </c>
      <c r="G10" s="39">
        <f>'Retention Efficiency Calcs'!B19</f>
        <v>7</v>
      </c>
      <c r="H10" s="39">
        <f>ROUND(F10*G10/100,0)</f>
        <v>27</v>
      </c>
      <c r="I10" s="38">
        <f>'9 Coconut Exfiltration'!N17</f>
        <v>65.100000000000009</v>
      </c>
      <c r="J10" s="39">
        <f>'Retention Efficiency Calcs'!B19</f>
        <v>7</v>
      </c>
      <c r="K10" s="40">
        <f>ROUND(I10*J10/100,1)</f>
        <v>4.5999999999999996</v>
      </c>
    </row>
    <row r="11" spans="1:11">
      <c r="A11" s="35" t="s">
        <v>74</v>
      </c>
      <c r="B11" s="36" t="s">
        <v>9</v>
      </c>
      <c r="C11" s="36" t="s">
        <v>10</v>
      </c>
      <c r="D11" s="37" t="s">
        <v>11</v>
      </c>
      <c r="E11" s="38">
        <f>'10 Desoto Exfiltration'!C5</f>
        <v>108.220490372</v>
      </c>
      <c r="F11" s="39">
        <f>'10 Desoto Exfiltration'!M5</f>
        <v>967</v>
      </c>
      <c r="G11" s="39">
        <f>'Retention Efficiency Calcs'!B23</f>
        <v>10</v>
      </c>
      <c r="H11" s="39">
        <f>ROUND(F11*G11/100,0)</f>
        <v>97</v>
      </c>
      <c r="I11" s="38">
        <f>'10 Desoto Exfiltration'!N5</f>
        <v>137.1</v>
      </c>
      <c r="J11" s="39">
        <f>'Retention Efficiency Calcs'!B23</f>
        <v>10</v>
      </c>
      <c r="K11" s="40">
        <f>ROUND(I11*J11/100,1)</f>
        <v>13.7</v>
      </c>
    </row>
    <row r="12" spans="1:11">
      <c r="A12" s="35" t="s">
        <v>38</v>
      </c>
      <c r="B12" s="36" t="s">
        <v>12</v>
      </c>
      <c r="C12" s="36" t="s">
        <v>10</v>
      </c>
      <c r="D12" s="37" t="s">
        <v>11</v>
      </c>
      <c r="E12" s="38">
        <f>'11 Desoto Exfiltration'!C4</f>
        <v>7.7507364818000006</v>
      </c>
      <c r="F12" s="39">
        <f>'11 Desoto Exfiltration'!M4</f>
        <v>64</v>
      </c>
      <c r="G12" s="39">
        <f>'Retention Efficiency Calcs'!B27</f>
        <v>39</v>
      </c>
      <c r="H12" s="39">
        <f t="shared" si="0"/>
        <v>25</v>
      </c>
      <c r="I12" s="38">
        <f>'11 Desoto Exfiltration'!N4</f>
        <v>9.1</v>
      </c>
      <c r="J12" s="39">
        <f>'Retention Efficiency Calcs'!B27</f>
        <v>39</v>
      </c>
      <c r="K12" s="40">
        <f t="shared" si="1"/>
        <v>3.5</v>
      </c>
    </row>
    <row r="13" spans="1:11" ht="30">
      <c r="A13" s="35" t="s">
        <v>39</v>
      </c>
      <c r="B13" s="36" t="s">
        <v>21</v>
      </c>
      <c r="C13" s="36" t="s">
        <v>22</v>
      </c>
      <c r="D13" s="37" t="s">
        <v>44</v>
      </c>
      <c r="E13" s="38">
        <f>'12 Jamaica Ponds'!C31</f>
        <v>216.21714410609994</v>
      </c>
      <c r="F13" s="39">
        <f>'12 Jamaica Ponds'!N31-H10-H11-H12</f>
        <v>1769</v>
      </c>
      <c r="G13" s="39">
        <f>'Wet Pond Efficiency Calcs'!B7</f>
        <v>33.9</v>
      </c>
      <c r="H13" s="39">
        <f>ROUND(F13*G13/100,0)</f>
        <v>600</v>
      </c>
      <c r="I13" s="38">
        <f>'12 Jamaica Ponds'!O31-K10-K11-K12</f>
        <v>257.50000000000006</v>
      </c>
      <c r="J13" s="40">
        <f>'Wet Pond Efficiency Calcs'!B6</f>
        <v>62</v>
      </c>
      <c r="K13" s="40">
        <f>ROUND(I13*J13/100,1)</f>
        <v>159.69999999999999</v>
      </c>
    </row>
    <row r="14" spans="1:11">
      <c r="A14" s="35" t="s">
        <v>40</v>
      </c>
      <c r="B14" s="37" t="s">
        <v>25</v>
      </c>
      <c r="C14" s="37" t="s">
        <v>26</v>
      </c>
      <c r="D14" s="37" t="s">
        <v>43</v>
      </c>
      <c r="E14" s="38">
        <f>'13 Jamaica Reuse'!C31</f>
        <v>216.21714410609994</v>
      </c>
      <c r="F14" s="39">
        <f>'13 Jamaica Reuse'!M31-H13</f>
        <v>1318</v>
      </c>
      <c r="G14" s="40">
        <f>'Wet Pond Efficiency Calcs'!B14</f>
        <v>21</v>
      </c>
      <c r="H14" s="39">
        <f>ROUND(F14*G14/100,0)</f>
        <v>277</v>
      </c>
      <c r="I14" s="38">
        <f>'13 Jamaica Reuse'!N31-K13</f>
        <v>119.60000000000008</v>
      </c>
      <c r="J14" s="40">
        <f>'Wet Pond Efficiency Calcs'!B14</f>
        <v>21</v>
      </c>
      <c r="K14" s="40">
        <f>ROUND(I14*J14/100,1)</f>
        <v>25.1</v>
      </c>
    </row>
    <row r="15" spans="1:11">
      <c r="A15" s="35" t="s">
        <v>41</v>
      </c>
      <c r="B15" s="36" t="s">
        <v>13</v>
      </c>
      <c r="C15" s="36" t="s">
        <v>10</v>
      </c>
      <c r="D15" s="37" t="s">
        <v>11</v>
      </c>
      <c r="E15" s="38">
        <f>'14 Desoto Exfiltration'!C4</f>
        <v>3.5387322377000001</v>
      </c>
      <c r="F15" s="39">
        <f>'14 Desoto Exfiltration'!M4</f>
        <v>32</v>
      </c>
      <c r="G15" s="39">
        <f>'Retention Efficiency Calcs'!B31</f>
        <v>53</v>
      </c>
      <c r="H15" s="39">
        <f t="shared" si="0"/>
        <v>17</v>
      </c>
      <c r="I15" s="38">
        <f>'14 Desoto Exfiltration'!N4</f>
        <v>4.5999999999999996</v>
      </c>
      <c r="J15" s="39">
        <f>'Retention Efficiency Calcs'!B31</f>
        <v>53</v>
      </c>
      <c r="K15" s="40">
        <f t="shared" si="1"/>
        <v>2.4</v>
      </c>
    </row>
    <row r="16" spans="1:11">
      <c r="A16" s="35" t="s">
        <v>75</v>
      </c>
      <c r="B16" s="36" t="s">
        <v>23</v>
      </c>
      <c r="C16" s="36" t="s">
        <v>24</v>
      </c>
      <c r="D16" s="37" t="s">
        <v>97</v>
      </c>
      <c r="E16" s="38">
        <f>'15 Desoto Baffle'!C9</f>
        <v>57.84451138739999</v>
      </c>
      <c r="F16" s="39">
        <f>'15 Desoto Baffle'!M9-H15</f>
        <v>433</v>
      </c>
      <c r="G16" s="56">
        <v>19.05</v>
      </c>
      <c r="H16" s="39">
        <f t="shared" si="0"/>
        <v>82</v>
      </c>
      <c r="I16" s="38">
        <f>'15 Desoto Baffle'!N9-K15</f>
        <v>61</v>
      </c>
      <c r="J16" s="56">
        <v>15.5</v>
      </c>
      <c r="K16" s="40">
        <f t="shared" si="1"/>
        <v>9.5</v>
      </c>
    </row>
    <row r="18" spans="6:11">
      <c r="G18" s="43"/>
      <c r="H18" s="44"/>
      <c r="I18" s="44"/>
      <c r="J18" s="45"/>
    </row>
    <row r="19" spans="6:11">
      <c r="F19" s="46"/>
      <c r="H19" s="43" t="s">
        <v>93</v>
      </c>
      <c r="I19" s="44"/>
      <c r="J19" s="44"/>
      <c r="K19" s="45" t="s">
        <v>94</v>
      </c>
    </row>
    <row r="20" spans="6:11">
      <c r="G20" s="46" t="s">
        <v>95</v>
      </c>
      <c r="H20" s="47">
        <f>SUM(H2:H16)</f>
        <v>1256</v>
      </c>
      <c r="K20" s="48">
        <f>SUM(K2:K16)</f>
        <v>241.2</v>
      </c>
    </row>
  </sheetData>
  <pageMargins left="0.7" right="0.7" top="0.75" bottom="0.75" header="0.3" footer="0.3"/>
  <pageSetup scale="85" orientation="landscape" r:id="rId1"/>
  <headerFooter>
    <oddHeader>&amp;C&amp;"-,Bold"Banana River Lagoon BMAP
Satellite Beach Projects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N13"/>
  <sheetViews>
    <sheetView zoomScaleNormal="100" workbookViewId="0">
      <selection activeCell="N2" sqref="N2"/>
    </sheetView>
  </sheetViews>
  <sheetFormatPr defaultRowHeight="15"/>
  <cols>
    <col min="1" max="1" width="14.28515625" style="15" bestFit="1" customWidth="1"/>
    <col min="2" max="2" width="9.7109375" style="15" customWidth="1"/>
    <col min="3" max="3" width="15.140625" style="15" bestFit="1" customWidth="1"/>
    <col min="4" max="4" width="6.85546875" style="16" bestFit="1" customWidth="1"/>
    <col min="5" max="5" width="13.7109375" style="16" bestFit="1" customWidth="1"/>
    <col min="6" max="6" width="9.42578125" style="16" bestFit="1" customWidth="1"/>
    <col min="7" max="7" width="9.140625" style="16" bestFit="1" customWidth="1"/>
    <col min="8" max="8" width="11.28515625" style="16" bestFit="1" customWidth="1"/>
    <col min="9" max="10" width="9" style="16" customWidth="1"/>
    <col min="11" max="11" width="12.42578125" style="15" bestFit="1" customWidth="1"/>
    <col min="12" max="12" width="13.7109375" style="15" customWidth="1"/>
    <col min="13" max="13" width="8.140625" style="16" bestFit="1" customWidth="1"/>
    <col min="14" max="14" width="7.85546875" style="17" bestFit="1" customWidth="1"/>
  </cols>
  <sheetData>
    <row r="1" spans="1:14" ht="30">
      <c r="A1" s="15" t="s">
        <v>67</v>
      </c>
      <c r="B1" s="15" t="s">
        <v>46</v>
      </c>
      <c r="C1" s="17" t="s">
        <v>53</v>
      </c>
      <c r="D1" s="16" t="s">
        <v>47</v>
      </c>
      <c r="E1" s="16" t="s">
        <v>52</v>
      </c>
      <c r="F1" s="16" t="s">
        <v>48</v>
      </c>
      <c r="G1" s="16" t="s">
        <v>49</v>
      </c>
      <c r="H1" s="15" t="s">
        <v>51</v>
      </c>
      <c r="I1" s="16" t="s">
        <v>55</v>
      </c>
      <c r="J1" s="16" t="s">
        <v>56</v>
      </c>
      <c r="K1" s="15" t="s">
        <v>50</v>
      </c>
      <c r="L1" s="19" t="s">
        <v>57</v>
      </c>
      <c r="M1" s="19" t="s">
        <v>58</v>
      </c>
      <c r="N1" s="19" t="s">
        <v>59</v>
      </c>
    </row>
    <row r="2" spans="1:14">
      <c r="A2" s="15" t="s">
        <v>68</v>
      </c>
      <c r="B2" s="15">
        <v>1400</v>
      </c>
      <c r="C2" s="17">
        <v>0.60155818149999996</v>
      </c>
      <c r="D2" s="18">
        <v>0.88800000000000001</v>
      </c>
      <c r="E2" s="18">
        <v>46.66</v>
      </c>
      <c r="F2" s="18">
        <v>1.93</v>
      </c>
      <c r="G2" s="18">
        <v>0.497</v>
      </c>
      <c r="H2" s="15">
        <v>1</v>
      </c>
      <c r="I2" s="18">
        <f>F2</f>
        <v>1.93</v>
      </c>
      <c r="J2" s="18">
        <f>G2</f>
        <v>0.497</v>
      </c>
      <c r="K2" s="15">
        <v>53916</v>
      </c>
      <c r="L2" s="15">
        <f>ROUND(E2*D2*C2*102.79,0)</f>
        <v>2562</v>
      </c>
      <c r="M2" s="15">
        <f>ROUND(I2*L2*0.002205,0)</f>
        <v>11</v>
      </c>
      <c r="N2" s="20">
        <f>ROUND(J2*L2*0.002205,1)</f>
        <v>2.8</v>
      </c>
    </row>
    <row r="3" spans="1:14">
      <c r="A3" s="15" t="s">
        <v>68</v>
      </c>
      <c r="B3" s="15">
        <v>1400</v>
      </c>
      <c r="C3" s="17">
        <v>0.20513146569999999</v>
      </c>
      <c r="D3" s="18">
        <v>0.88800000000000001</v>
      </c>
      <c r="E3" s="18">
        <v>46.66</v>
      </c>
      <c r="F3" s="18">
        <v>1.93</v>
      </c>
      <c r="G3" s="18">
        <v>0.497</v>
      </c>
      <c r="H3" s="15">
        <v>0</v>
      </c>
      <c r="I3" s="18">
        <f>0.7*F3</f>
        <v>1.351</v>
      </c>
      <c r="J3" s="18">
        <f>0.5*G3</f>
        <v>0.2485</v>
      </c>
      <c r="K3" s="15">
        <v>331</v>
      </c>
      <c r="L3" s="15">
        <f t="shared" ref="L3:L12" si="0">ROUND(E3*D3*C3*102.79,0)</f>
        <v>874</v>
      </c>
      <c r="M3" s="15">
        <f t="shared" ref="M3:M12" si="1">ROUND(I3*L3*0.002205,0)</f>
        <v>3</v>
      </c>
      <c r="N3" s="20">
        <f t="shared" ref="N3:N12" si="2">ROUND(J3*L3*0.002205,1)</f>
        <v>0.5</v>
      </c>
    </row>
    <row r="4" spans="1:14">
      <c r="A4" s="15" t="s">
        <v>68</v>
      </c>
      <c r="B4" s="15">
        <v>1200</v>
      </c>
      <c r="C4" s="17">
        <v>8.1712750285000002</v>
      </c>
      <c r="D4" s="18">
        <v>0.38900000000000001</v>
      </c>
      <c r="E4" s="18">
        <v>46.66</v>
      </c>
      <c r="F4" s="18">
        <v>2.23</v>
      </c>
      <c r="G4" s="18">
        <v>0.316</v>
      </c>
      <c r="H4" s="15">
        <v>1</v>
      </c>
      <c r="I4" s="18">
        <f t="shared" ref="I4:I7" si="3">F4</f>
        <v>2.23</v>
      </c>
      <c r="J4" s="18">
        <f t="shared" ref="J4:J7" si="4">G4</f>
        <v>0.316</v>
      </c>
      <c r="K4" s="15">
        <v>447612</v>
      </c>
      <c r="L4" s="15">
        <f t="shared" si="0"/>
        <v>15245</v>
      </c>
      <c r="M4" s="15">
        <f t="shared" si="1"/>
        <v>75</v>
      </c>
      <c r="N4" s="20">
        <f t="shared" si="2"/>
        <v>10.6</v>
      </c>
    </row>
    <row r="5" spans="1:14">
      <c r="A5" s="15" t="s">
        <v>68</v>
      </c>
      <c r="B5" s="15">
        <v>3100</v>
      </c>
      <c r="C5" s="17">
        <v>5.6540765E-2</v>
      </c>
      <c r="D5" s="18">
        <v>0.3</v>
      </c>
      <c r="E5" s="18">
        <v>46.66</v>
      </c>
      <c r="F5" s="18">
        <v>1.2</v>
      </c>
      <c r="G5" s="18">
        <v>6.4000000000000001E-2</v>
      </c>
      <c r="H5" s="15">
        <v>1</v>
      </c>
      <c r="I5" s="18">
        <f t="shared" si="3"/>
        <v>1.2</v>
      </c>
      <c r="J5" s="18">
        <f t="shared" si="4"/>
        <v>6.4000000000000001E-2</v>
      </c>
      <c r="K5" s="15">
        <v>29</v>
      </c>
      <c r="L5" s="15">
        <f t="shared" si="0"/>
        <v>81</v>
      </c>
      <c r="M5" s="15">
        <f t="shared" si="1"/>
        <v>0</v>
      </c>
      <c r="N5" s="20">
        <f t="shared" si="2"/>
        <v>0</v>
      </c>
    </row>
    <row r="6" spans="1:14">
      <c r="A6" s="15" t="s">
        <v>68</v>
      </c>
      <c r="B6" s="15">
        <v>3100</v>
      </c>
      <c r="C6" s="17">
        <v>0.52803493930000001</v>
      </c>
      <c r="D6" s="18">
        <v>0.3</v>
      </c>
      <c r="E6" s="18">
        <v>46.66</v>
      </c>
      <c r="F6" s="18">
        <v>1.2</v>
      </c>
      <c r="G6" s="18">
        <v>6.4000000000000001E-2</v>
      </c>
      <c r="H6" s="15">
        <v>1</v>
      </c>
      <c r="I6" s="18">
        <f t="shared" si="3"/>
        <v>1.2</v>
      </c>
      <c r="J6" s="18">
        <f t="shared" si="4"/>
        <v>6.4000000000000001E-2</v>
      </c>
      <c r="K6" s="15">
        <v>266</v>
      </c>
      <c r="L6" s="15">
        <f t="shared" si="0"/>
        <v>760</v>
      </c>
      <c r="M6" s="15">
        <f t="shared" si="1"/>
        <v>2</v>
      </c>
      <c r="N6" s="20">
        <f t="shared" si="2"/>
        <v>0.1</v>
      </c>
    </row>
    <row r="7" spans="1:14">
      <c r="A7" s="15" t="s">
        <v>68</v>
      </c>
      <c r="B7" s="15">
        <v>3100</v>
      </c>
      <c r="C7" s="17">
        <v>1.1153996412</v>
      </c>
      <c r="D7" s="18">
        <v>0.3</v>
      </c>
      <c r="E7" s="18">
        <v>46.66</v>
      </c>
      <c r="F7" s="18">
        <v>1.2</v>
      </c>
      <c r="G7" s="18">
        <v>6.4000000000000001E-2</v>
      </c>
      <c r="H7" s="15">
        <v>1</v>
      </c>
      <c r="I7" s="18">
        <f t="shared" si="3"/>
        <v>1.2</v>
      </c>
      <c r="J7" s="18">
        <f t="shared" si="4"/>
        <v>6.4000000000000001E-2</v>
      </c>
      <c r="K7" s="15">
        <v>572</v>
      </c>
      <c r="L7" s="15">
        <f t="shared" si="0"/>
        <v>1605</v>
      </c>
      <c r="M7" s="15">
        <f t="shared" si="1"/>
        <v>4</v>
      </c>
      <c r="N7" s="20">
        <f t="shared" si="2"/>
        <v>0.2</v>
      </c>
    </row>
    <row r="8" spans="1:14">
      <c r="A8" s="15" t="s">
        <v>68</v>
      </c>
      <c r="B8" s="15">
        <v>1200</v>
      </c>
      <c r="C8" s="17">
        <v>0.35410806389999999</v>
      </c>
      <c r="D8" s="18">
        <v>0.38900000000000001</v>
      </c>
      <c r="E8" s="18">
        <v>46.66</v>
      </c>
      <c r="F8" s="18">
        <v>2.23</v>
      </c>
      <c r="G8" s="18">
        <v>0.316</v>
      </c>
      <c r="H8" s="15">
        <v>0</v>
      </c>
      <c r="I8" s="18">
        <f>0.7*F8</f>
        <v>1.5609999999999999</v>
      </c>
      <c r="J8" s="18">
        <f>0.5*G8</f>
        <v>0.158</v>
      </c>
      <c r="K8" s="15">
        <v>231</v>
      </c>
      <c r="L8" s="15">
        <f t="shared" si="0"/>
        <v>661</v>
      </c>
      <c r="M8" s="15">
        <f t="shared" si="1"/>
        <v>2</v>
      </c>
      <c r="N8" s="20">
        <f t="shared" si="2"/>
        <v>0.2</v>
      </c>
    </row>
    <row r="9" spans="1:14">
      <c r="A9" s="15" t="s">
        <v>68</v>
      </c>
      <c r="B9" s="15">
        <v>3100</v>
      </c>
      <c r="C9" s="17">
        <v>0.14584071679999999</v>
      </c>
      <c r="D9" s="18">
        <v>0.3</v>
      </c>
      <c r="E9" s="18">
        <v>46.66</v>
      </c>
      <c r="F9" s="18">
        <v>1.2</v>
      </c>
      <c r="G9" s="18">
        <v>6.4000000000000001E-2</v>
      </c>
      <c r="H9" s="15">
        <v>1</v>
      </c>
      <c r="I9" s="18">
        <f>F9</f>
        <v>1.2</v>
      </c>
      <c r="J9" s="18">
        <f>G9</f>
        <v>6.4000000000000001E-2</v>
      </c>
      <c r="K9" s="15">
        <v>74</v>
      </c>
      <c r="L9" s="15">
        <f t="shared" si="0"/>
        <v>210</v>
      </c>
      <c r="M9" s="15">
        <f t="shared" si="1"/>
        <v>1</v>
      </c>
      <c r="N9" s="20">
        <f t="shared" si="2"/>
        <v>0</v>
      </c>
    </row>
    <row r="10" spans="1:14">
      <c r="A10" s="15" t="s">
        <v>68</v>
      </c>
      <c r="B10" s="15">
        <v>1200</v>
      </c>
      <c r="C10" s="17">
        <v>0.4685894773</v>
      </c>
      <c r="D10" s="18">
        <v>0.38900000000000001</v>
      </c>
      <c r="E10" s="18">
        <v>46.66</v>
      </c>
      <c r="F10" s="18">
        <v>2.23</v>
      </c>
      <c r="G10" s="18">
        <v>0.316</v>
      </c>
      <c r="H10" s="15">
        <v>0</v>
      </c>
      <c r="I10" s="18">
        <f>0.7*F10</f>
        <v>1.5609999999999999</v>
      </c>
      <c r="J10" s="18">
        <f>0.5*G10</f>
        <v>0.158</v>
      </c>
      <c r="K10" s="15">
        <v>744</v>
      </c>
      <c r="L10" s="15">
        <f t="shared" si="0"/>
        <v>874</v>
      </c>
      <c r="M10" s="15">
        <f t="shared" si="1"/>
        <v>3</v>
      </c>
      <c r="N10" s="20">
        <f t="shared" si="2"/>
        <v>0.3</v>
      </c>
    </row>
    <row r="11" spans="1:14">
      <c r="A11" s="15" t="s">
        <v>68</v>
      </c>
      <c r="B11" s="15">
        <v>3100</v>
      </c>
      <c r="C11" s="17">
        <v>2.9571531000000002E-2</v>
      </c>
      <c r="D11" s="18">
        <v>0.3</v>
      </c>
      <c r="E11" s="18">
        <v>46.66</v>
      </c>
      <c r="F11" s="18">
        <v>1.2</v>
      </c>
      <c r="G11" s="18">
        <v>6.4000000000000001E-2</v>
      </c>
      <c r="H11" s="15">
        <v>1</v>
      </c>
      <c r="I11" s="18">
        <f t="shared" ref="I11:I12" si="5">F11</f>
        <v>1.2</v>
      </c>
      <c r="J11" s="18">
        <f t="shared" ref="J11:J12" si="6">G11</f>
        <v>6.4000000000000001E-2</v>
      </c>
      <c r="K11" s="15">
        <v>15</v>
      </c>
      <c r="L11" s="15">
        <f t="shared" si="0"/>
        <v>43</v>
      </c>
      <c r="M11" s="15">
        <f t="shared" si="1"/>
        <v>0</v>
      </c>
      <c r="N11" s="20">
        <f t="shared" si="2"/>
        <v>0</v>
      </c>
    </row>
    <row r="12" spans="1:14">
      <c r="A12" s="15" t="s">
        <v>68</v>
      </c>
      <c r="B12" s="15">
        <v>3100</v>
      </c>
      <c r="C12" s="17">
        <v>3.5551525200000003E-2</v>
      </c>
      <c r="D12" s="18">
        <v>0.3</v>
      </c>
      <c r="E12" s="18">
        <v>46.66</v>
      </c>
      <c r="F12" s="18">
        <v>1.2</v>
      </c>
      <c r="G12" s="18">
        <v>6.4000000000000001E-2</v>
      </c>
      <c r="H12" s="15">
        <v>1</v>
      </c>
      <c r="I12" s="18">
        <f t="shared" si="5"/>
        <v>1.2</v>
      </c>
      <c r="J12" s="18">
        <f t="shared" si="6"/>
        <v>6.4000000000000001E-2</v>
      </c>
      <c r="K12" s="15">
        <v>63</v>
      </c>
      <c r="L12" s="15">
        <f t="shared" si="0"/>
        <v>51</v>
      </c>
      <c r="M12" s="15">
        <f t="shared" si="1"/>
        <v>0</v>
      </c>
      <c r="N12" s="20">
        <f t="shared" si="2"/>
        <v>0</v>
      </c>
    </row>
    <row r="13" spans="1:14">
      <c r="C13" s="17">
        <f>SUM(C2:C12)</f>
        <v>11.711601335400001</v>
      </c>
      <c r="M13" s="15">
        <f>SUM(M2:M12)</f>
        <v>101</v>
      </c>
      <c r="N13" s="20">
        <f>SUM(N2:N12)</f>
        <v>14.699999999999998</v>
      </c>
    </row>
  </sheetData>
  <pageMargins left="0.7" right="0.7" top="0.75" bottom="0.75" header="0.3" footer="0.3"/>
  <pageSetup scale="8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1"/>
  <sheetViews>
    <sheetView zoomScaleNormal="100" workbookViewId="0">
      <selection activeCell="N2" sqref="N2"/>
    </sheetView>
  </sheetViews>
  <sheetFormatPr defaultRowHeight="15"/>
  <cols>
    <col min="1" max="2" width="9.7109375" style="15" customWidth="1"/>
    <col min="3" max="3" width="16.5703125" style="15" bestFit="1" customWidth="1"/>
    <col min="4" max="4" width="6.85546875" style="16" bestFit="1" customWidth="1"/>
    <col min="5" max="5" width="13.7109375" style="16" bestFit="1" customWidth="1"/>
    <col min="6" max="6" width="9.42578125" style="16" bestFit="1" customWidth="1"/>
    <col min="7" max="7" width="9.140625" style="16" bestFit="1" customWidth="1"/>
    <col min="8" max="8" width="11.28515625" style="16" bestFit="1" customWidth="1"/>
    <col min="9" max="10" width="9" style="16" customWidth="1"/>
    <col min="11" max="11" width="12.42578125" style="15" bestFit="1" customWidth="1"/>
    <col min="12" max="12" width="14.140625" style="15" customWidth="1"/>
    <col min="13" max="13" width="11" style="16" customWidth="1"/>
    <col min="14" max="14" width="9.7109375" style="17" customWidth="1"/>
  </cols>
  <sheetData>
    <row r="1" spans="1:14" ht="30">
      <c r="A1" s="15" t="s">
        <v>67</v>
      </c>
      <c r="B1" s="15" t="s">
        <v>46</v>
      </c>
      <c r="C1" s="17" t="s">
        <v>53</v>
      </c>
      <c r="D1" s="16" t="s">
        <v>47</v>
      </c>
      <c r="E1" s="16" t="s">
        <v>52</v>
      </c>
      <c r="F1" s="16" t="s">
        <v>48</v>
      </c>
      <c r="G1" s="16" t="s">
        <v>49</v>
      </c>
      <c r="H1" s="15" t="s">
        <v>51</v>
      </c>
      <c r="I1" s="16" t="s">
        <v>69</v>
      </c>
      <c r="J1" s="16" t="s">
        <v>56</v>
      </c>
      <c r="K1" s="15" t="s">
        <v>50</v>
      </c>
      <c r="L1" s="19" t="s">
        <v>57</v>
      </c>
      <c r="M1" s="19" t="s">
        <v>58</v>
      </c>
      <c r="N1" s="19" t="s">
        <v>59</v>
      </c>
    </row>
    <row r="2" spans="1:14">
      <c r="A2" s="15">
        <v>32062</v>
      </c>
      <c r="B2" s="15">
        <v>1400</v>
      </c>
      <c r="C2" s="17">
        <v>2.4233103526000002</v>
      </c>
      <c r="D2" s="18">
        <v>0.88800000000000001</v>
      </c>
      <c r="E2" s="18">
        <v>46.66</v>
      </c>
      <c r="F2" s="18">
        <v>1.93</v>
      </c>
      <c r="G2" s="18">
        <v>0.497</v>
      </c>
      <c r="H2" s="15">
        <v>1</v>
      </c>
      <c r="I2" s="18">
        <f>F2</f>
        <v>1.93</v>
      </c>
      <c r="J2" s="18">
        <f>G2</f>
        <v>0.497</v>
      </c>
      <c r="K2" s="15">
        <v>53916</v>
      </c>
      <c r="L2" s="15">
        <f>ROUND(E2*D2*C2*102.79,0)</f>
        <v>10321</v>
      </c>
      <c r="M2" s="15">
        <f>ROUND(I2*L2*0.002205,0)</f>
        <v>44</v>
      </c>
      <c r="N2" s="20">
        <f>ROUND(J2*L2*0.002205,1)</f>
        <v>11.3</v>
      </c>
    </row>
    <row r="3" spans="1:14">
      <c r="A3" s="15">
        <v>32258</v>
      </c>
      <c r="B3" s="15">
        <v>1200</v>
      </c>
      <c r="C3" s="17">
        <v>45.657309341599998</v>
      </c>
      <c r="D3" s="18">
        <v>0.38900000000000001</v>
      </c>
      <c r="E3" s="18">
        <v>46.66</v>
      </c>
      <c r="F3" s="18">
        <v>2.23</v>
      </c>
      <c r="G3" s="18">
        <v>0.316</v>
      </c>
      <c r="H3" s="15">
        <v>1</v>
      </c>
      <c r="I3" s="18">
        <f t="shared" ref="I3:I4" si="0">F3</f>
        <v>2.23</v>
      </c>
      <c r="J3" s="18">
        <f t="shared" ref="J3:J4" si="1">G3</f>
        <v>0.316</v>
      </c>
      <c r="K3" s="15">
        <v>447612</v>
      </c>
      <c r="L3" s="15">
        <f t="shared" ref="L3:L10" si="2">ROUND(E3*D3*C3*102.79,0)</f>
        <v>85184</v>
      </c>
      <c r="M3" s="15">
        <f t="shared" ref="M3:M10" si="3">ROUND(I3*L3*0.002205,0)</f>
        <v>419</v>
      </c>
      <c r="N3" s="20">
        <f t="shared" ref="N3:N10" si="4">ROUND(J3*L3*0.002205,1)</f>
        <v>59.4</v>
      </c>
    </row>
    <row r="4" spans="1:14">
      <c r="A4" s="15">
        <v>32352</v>
      </c>
      <c r="B4" s="15">
        <v>1300</v>
      </c>
      <c r="C4" s="17">
        <v>5.5962912583</v>
      </c>
      <c r="D4" s="18">
        <v>0.69199999999999995</v>
      </c>
      <c r="E4" s="18">
        <v>46.66</v>
      </c>
      <c r="F4" s="18">
        <v>2.1</v>
      </c>
      <c r="G4" s="18">
        <v>0.51600000000000001</v>
      </c>
      <c r="H4" s="15">
        <v>1</v>
      </c>
      <c r="I4" s="18">
        <f t="shared" si="0"/>
        <v>2.1</v>
      </c>
      <c r="J4" s="18">
        <f t="shared" si="1"/>
        <v>0.51600000000000001</v>
      </c>
      <c r="K4" s="15">
        <v>8333</v>
      </c>
      <c r="L4" s="15">
        <f t="shared" si="2"/>
        <v>18574</v>
      </c>
      <c r="M4" s="15">
        <f t="shared" si="3"/>
        <v>86</v>
      </c>
      <c r="N4" s="20">
        <f t="shared" si="4"/>
        <v>21.1</v>
      </c>
    </row>
    <row r="5" spans="1:14">
      <c r="A5" s="15">
        <v>32405</v>
      </c>
      <c r="B5" s="15">
        <v>1200</v>
      </c>
      <c r="C5" s="17">
        <v>0.72769732549999999</v>
      </c>
      <c r="D5" s="18">
        <v>0.38900000000000001</v>
      </c>
      <c r="E5" s="18">
        <v>46.66</v>
      </c>
      <c r="F5" s="18">
        <v>2.23</v>
      </c>
      <c r="G5" s="18">
        <v>0.316</v>
      </c>
      <c r="H5" s="15">
        <v>0</v>
      </c>
      <c r="I5" s="18">
        <f>0.7*F5</f>
        <v>1.5609999999999999</v>
      </c>
      <c r="J5" s="18">
        <f>0.5*G5</f>
        <v>0.158</v>
      </c>
      <c r="K5" s="15">
        <v>533</v>
      </c>
      <c r="L5" s="15">
        <f t="shared" si="2"/>
        <v>1358</v>
      </c>
      <c r="M5" s="15">
        <f t="shared" si="3"/>
        <v>5</v>
      </c>
      <c r="N5" s="20">
        <f t="shared" si="4"/>
        <v>0.5</v>
      </c>
    </row>
    <row r="6" spans="1:14">
      <c r="A6" s="15">
        <v>32409</v>
      </c>
      <c r="B6" s="15">
        <v>3100</v>
      </c>
      <c r="C6" s="17">
        <v>0.33866328099999998</v>
      </c>
      <c r="D6" s="18">
        <v>0.3</v>
      </c>
      <c r="E6" s="18">
        <v>46.66</v>
      </c>
      <c r="F6" s="18">
        <v>1.2</v>
      </c>
      <c r="G6" s="18">
        <v>6.4000000000000001E-2</v>
      </c>
      <c r="H6" s="15">
        <v>1</v>
      </c>
      <c r="I6" s="18">
        <f t="shared" ref="I6:I8" si="5">F6</f>
        <v>1.2</v>
      </c>
      <c r="J6" s="18">
        <f t="shared" ref="J6:J8" si="6">G6</f>
        <v>6.4000000000000001E-2</v>
      </c>
      <c r="K6" s="15">
        <v>301</v>
      </c>
      <c r="L6" s="15">
        <f t="shared" si="2"/>
        <v>487</v>
      </c>
      <c r="M6" s="15">
        <f t="shared" si="3"/>
        <v>1</v>
      </c>
      <c r="N6" s="20">
        <f t="shared" si="4"/>
        <v>0.1</v>
      </c>
    </row>
    <row r="7" spans="1:14">
      <c r="A7" s="15">
        <v>32413</v>
      </c>
      <c r="B7" s="15">
        <v>3100</v>
      </c>
      <c r="C7" s="17">
        <v>6.8161852199999998E-2</v>
      </c>
      <c r="D7" s="18">
        <v>0.41099999999999998</v>
      </c>
      <c r="E7" s="18">
        <v>46.66</v>
      </c>
      <c r="F7" s="18">
        <v>1.2</v>
      </c>
      <c r="G7" s="18">
        <v>6.4000000000000001E-2</v>
      </c>
      <c r="H7" s="15">
        <v>1</v>
      </c>
      <c r="I7" s="18">
        <f t="shared" si="5"/>
        <v>1.2</v>
      </c>
      <c r="J7" s="18">
        <f t="shared" si="6"/>
        <v>6.4000000000000001E-2</v>
      </c>
      <c r="K7" s="15">
        <v>235</v>
      </c>
      <c r="L7" s="15">
        <f t="shared" si="2"/>
        <v>134</v>
      </c>
      <c r="M7" s="15">
        <f t="shared" si="3"/>
        <v>0</v>
      </c>
      <c r="N7" s="20">
        <f t="shared" si="4"/>
        <v>0</v>
      </c>
    </row>
    <row r="8" spans="1:14">
      <c r="A8" s="15">
        <v>32416</v>
      </c>
      <c r="B8" s="15">
        <v>3100</v>
      </c>
      <c r="C8" s="17">
        <v>2.4910458000000002E-3</v>
      </c>
      <c r="D8" s="18">
        <v>0.41099999999999998</v>
      </c>
      <c r="E8" s="18">
        <v>46.66</v>
      </c>
      <c r="F8" s="18">
        <v>1.2</v>
      </c>
      <c r="G8" s="18">
        <v>6.4000000000000001E-2</v>
      </c>
      <c r="H8" s="15">
        <v>1</v>
      </c>
      <c r="I8" s="18">
        <f t="shared" si="5"/>
        <v>1.2</v>
      </c>
      <c r="J8" s="18">
        <f t="shared" si="6"/>
        <v>6.4000000000000001E-2</v>
      </c>
      <c r="K8" s="15">
        <v>1414</v>
      </c>
      <c r="L8" s="15">
        <f t="shared" si="2"/>
        <v>5</v>
      </c>
      <c r="M8" s="15">
        <f t="shared" si="3"/>
        <v>0</v>
      </c>
      <c r="N8" s="20">
        <f t="shared" si="4"/>
        <v>0</v>
      </c>
    </row>
    <row r="9" spans="1:14">
      <c r="A9" s="15">
        <v>32457</v>
      </c>
      <c r="B9" s="15">
        <v>1200</v>
      </c>
      <c r="C9" s="17">
        <v>0.94164340660000001</v>
      </c>
      <c r="D9" s="18">
        <v>0.38900000000000001</v>
      </c>
      <c r="E9" s="18">
        <v>46.66</v>
      </c>
      <c r="F9" s="18">
        <v>2.23</v>
      </c>
      <c r="G9" s="18">
        <v>0.316</v>
      </c>
      <c r="H9" s="15">
        <v>0</v>
      </c>
      <c r="I9" s="18">
        <f>0.7*F9</f>
        <v>1.5609999999999999</v>
      </c>
      <c r="J9" s="18">
        <f>0.5*G9</f>
        <v>0.158</v>
      </c>
      <c r="K9" s="15">
        <v>654</v>
      </c>
      <c r="L9" s="15">
        <f t="shared" si="2"/>
        <v>1757</v>
      </c>
      <c r="M9" s="15">
        <f t="shared" si="3"/>
        <v>6</v>
      </c>
      <c r="N9" s="20">
        <f t="shared" si="4"/>
        <v>0.6</v>
      </c>
    </row>
    <row r="10" spans="1:14">
      <c r="A10" s="15">
        <v>32488</v>
      </c>
      <c r="B10" s="15">
        <v>3100</v>
      </c>
      <c r="C10" s="17">
        <v>1.24214242E-2</v>
      </c>
      <c r="D10" s="18">
        <v>0.3</v>
      </c>
      <c r="E10" s="18">
        <v>46.66</v>
      </c>
      <c r="F10" s="18">
        <v>1.2</v>
      </c>
      <c r="G10" s="18">
        <v>6.4000000000000001E-2</v>
      </c>
      <c r="H10" s="15">
        <v>1</v>
      </c>
      <c r="I10" s="18">
        <f>F10</f>
        <v>1.2</v>
      </c>
      <c r="J10" s="18">
        <f>G10</f>
        <v>6.4000000000000001E-2</v>
      </c>
      <c r="K10" s="15">
        <v>21</v>
      </c>
      <c r="L10" s="15">
        <f t="shared" si="2"/>
        <v>18</v>
      </c>
      <c r="M10" s="15">
        <f t="shared" si="3"/>
        <v>0</v>
      </c>
      <c r="N10" s="20">
        <f t="shared" si="4"/>
        <v>0</v>
      </c>
    </row>
    <row r="11" spans="1:14">
      <c r="C11" s="17">
        <f>SUM(C2:C10)</f>
        <v>55.767989287799999</v>
      </c>
      <c r="M11" s="15">
        <f>SUM(M2:M10)</f>
        <v>561</v>
      </c>
      <c r="N11" s="20">
        <f>SUM(N2:N10)</f>
        <v>93</v>
      </c>
    </row>
  </sheetData>
  <pageMargins left="0.7" right="0.7" top="0.75" bottom="0.75" header="0.3" footer="0.3"/>
  <pageSetup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17"/>
  <sheetViews>
    <sheetView zoomScaleNormal="100" workbookViewId="0">
      <selection activeCell="N2" sqref="N2"/>
    </sheetView>
  </sheetViews>
  <sheetFormatPr defaultRowHeight="15"/>
  <cols>
    <col min="1" max="1" width="14.28515625" style="15" bestFit="1" customWidth="1"/>
    <col min="2" max="2" width="9.7109375" style="15" customWidth="1"/>
    <col min="3" max="3" width="15.42578125" style="15" bestFit="1" customWidth="1"/>
    <col min="4" max="4" width="6.85546875" style="16" bestFit="1" customWidth="1"/>
    <col min="5" max="5" width="13.7109375" style="16" bestFit="1" customWidth="1"/>
    <col min="6" max="6" width="9.42578125" style="16" bestFit="1" customWidth="1"/>
    <col min="7" max="7" width="9.140625" style="16" bestFit="1" customWidth="1"/>
    <col min="8" max="8" width="11.28515625" style="16" bestFit="1" customWidth="1"/>
    <col min="9" max="10" width="9" style="16" customWidth="1"/>
    <col min="11" max="11" width="12.42578125" style="15" bestFit="1" customWidth="1"/>
    <col min="12" max="12" width="15.7109375" style="15" customWidth="1"/>
    <col min="13" max="13" width="10.42578125" style="16" customWidth="1"/>
    <col min="14" max="14" width="9.7109375" style="17" customWidth="1"/>
  </cols>
  <sheetData>
    <row r="1" spans="1:14" ht="30">
      <c r="A1" s="15" t="s">
        <v>67</v>
      </c>
      <c r="B1" s="15" t="s">
        <v>46</v>
      </c>
      <c r="C1" s="17" t="s">
        <v>53</v>
      </c>
      <c r="D1" s="16" t="s">
        <v>47</v>
      </c>
      <c r="E1" s="16" t="s">
        <v>52</v>
      </c>
      <c r="F1" s="16" t="s">
        <v>48</v>
      </c>
      <c r="G1" s="16" t="s">
        <v>49</v>
      </c>
      <c r="H1" s="15" t="s">
        <v>51</v>
      </c>
      <c r="I1" s="16" t="s">
        <v>55</v>
      </c>
      <c r="J1" s="16" t="s">
        <v>56</v>
      </c>
      <c r="K1" s="15" t="s">
        <v>50</v>
      </c>
      <c r="L1" s="19" t="s">
        <v>57</v>
      </c>
      <c r="M1" s="19" t="s">
        <v>58</v>
      </c>
      <c r="N1" s="19" t="s">
        <v>59</v>
      </c>
    </row>
    <row r="2" spans="1:14">
      <c r="A2" s="15" t="s">
        <v>68</v>
      </c>
      <c r="B2" s="15">
        <v>1200</v>
      </c>
      <c r="C2" s="17">
        <v>31.724607647100001</v>
      </c>
      <c r="D2" s="18">
        <v>0.38900000000000001</v>
      </c>
      <c r="E2" s="18">
        <v>46.66</v>
      </c>
      <c r="F2" s="18">
        <v>2.23</v>
      </c>
      <c r="G2" s="18">
        <v>0.316</v>
      </c>
      <c r="H2" s="15">
        <v>1</v>
      </c>
      <c r="I2" s="18">
        <f>F2</f>
        <v>2.23</v>
      </c>
      <c r="J2" s="18">
        <f>G2</f>
        <v>0.316</v>
      </c>
      <c r="K2" s="15">
        <v>447612</v>
      </c>
      <c r="L2" s="15">
        <f>ROUND(E2*D2*C2*102.79,0)</f>
        <v>59189</v>
      </c>
      <c r="M2" s="15">
        <f>ROUND(I2*L2*0.002205,0)</f>
        <v>291</v>
      </c>
      <c r="N2" s="20">
        <f>ROUND(J2*L2*0.002205,1)</f>
        <v>41.2</v>
      </c>
    </row>
    <row r="3" spans="1:14">
      <c r="A3" s="15" t="s">
        <v>68</v>
      </c>
      <c r="B3" s="15">
        <v>1200</v>
      </c>
      <c r="C3" s="17">
        <v>0.2570216199</v>
      </c>
      <c r="D3" s="18">
        <v>0.22</v>
      </c>
      <c r="E3" s="18">
        <v>46.66</v>
      </c>
      <c r="F3" s="18">
        <v>2.23</v>
      </c>
      <c r="G3" s="18">
        <v>0.316</v>
      </c>
      <c r="H3" s="15">
        <v>1</v>
      </c>
      <c r="I3" s="18">
        <f t="shared" ref="I3:I5" si="0">F3</f>
        <v>2.23</v>
      </c>
      <c r="J3" s="18">
        <f t="shared" ref="J3:J5" si="1">G3</f>
        <v>0.316</v>
      </c>
      <c r="K3" s="15">
        <v>314</v>
      </c>
      <c r="L3" s="15">
        <f t="shared" ref="L3:L16" si="2">ROUND(E3*D3*C3*102.79,0)</f>
        <v>271</v>
      </c>
      <c r="M3" s="15">
        <f t="shared" ref="M3:M16" si="3">ROUND(I3*L3*0.002205,0)</f>
        <v>1</v>
      </c>
      <c r="N3" s="20">
        <f t="shared" ref="N3:N16" si="4">ROUND(J3*L3*0.002205,1)</f>
        <v>0.2</v>
      </c>
    </row>
    <row r="4" spans="1:14">
      <c r="A4" s="15" t="s">
        <v>68</v>
      </c>
      <c r="B4" s="15">
        <v>1300</v>
      </c>
      <c r="C4" s="17">
        <v>0.19040478299999999</v>
      </c>
      <c r="D4" s="18">
        <v>0.69199999999999995</v>
      </c>
      <c r="E4" s="18">
        <v>46.66</v>
      </c>
      <c r="F4" s="18">
        <v>2.1</v>
      </c>
      <c r="G4" s="18">
        <v>0.51600000000000001</v>
      </c>
      <c r="H4" s="15">
        <v>1</v>
      </c>
      <c r="I4" s="18">
        <f t="shared" si="0"/>
        <v>2.1</v>
      </c>
      <c r="J4" s="18">
        <f t="shared" si="1"/>
        <v>0.51600000000000001</v>
      </c>
      <c r="K4" s="15">
        <v>5174</v>
      </c>
      <c r="L4" s="15">
        <f t="shared" si="2"/>
        <v>632</v>
      </c>
      <c r="M4" s="15">
        <f t="shared" si="3"/>
        <v>3</v>
      </c>
      <c r="N4" s="20">
        <f t="shared" si="4"/>
        <v>0.7</v>
      </c>
    </row>
    <row r="5" spans="1:14">
      <c r="A5" s="15" t="s">
        <v>68</v>
      </c>
      <c r="B5" s="15">
        <v>1400</v>
      </c>
      <c r="C5" s="17">
        <v>4.2625967700000003E-2</v>
      </c>
      <c r="D5" s="18">
        <v>0.88800000000000001</v>
      </c>
      <c r="E5" s="18">
        <v>46.66</v>
      </c>
      <c r="F5" s="18">
        <v>1.93</v>
      </c>
      <c r="G5" s="18">
        <v>0.497</v>
      </c>
      <c r="H5" s="15">
        <v>1</v>
      </c>
      <c r="I5" s="18">
        <f t="shared" si="0"/>
        <v>1.93</v>
      </c>
      <c r="J5" s="18">
        <f t="shared" si="1"/>
        <v>0.497</v>
      </c>
      <c r="K5" s="15">
        <v>1503</v>
      </c>
      <c r="L5" s="15">
        <f t="shared" si="2"/>
        <v>182</v>
      </c>
      <c r="M5" s="15">
        <f t="shared" si="3"/>
        <v>1</v>
      </c>
      <c r="N5" s="20">
        <f t="shared" si="4"/>
        <v>0.2</v>
      </c>
    </row>
    <row r="6" spans="1:14">
      <c r="A6" s="15" t="s">
        <v>68</v>
      </c>
      <c r="B6" s="15">
        <v>1400</v>
      </c>
      <c r="C6" s="17">
        <v>1.98254348E-2</v>
      </c>
      <c r="D6" s="18">
        <v>0.88800000000000001</v>
      </c>
      <c r="E6" s="18">
        <v>46.66</v>
      </c>
      <c r="F6" s="18">
        <v>1.93</v>
      </c>
      <c r="G6" s="18">
        <v>0.497</v>
      </c>
      <c r="H6" s="15">
        <v>0</v>
      </c>
      <c r="I6" s="18">
        <f>0.7*F6</f>
        <v>1.351</v>
      </c>
      <c r="J6" s="18">
        <f>0.5*G6</f>
        <v>0.2485</v>
      </c>
      <c r="K6" s="15">
        <v>2274</v>
      </c>
      <c r="L6" s="15">
        <f t="shared" si="2"/>
        <v>84</v>
      </c>
      <c r="M6" s="15">
        <f t="shared" si="3"/>
        <v>0</v>
      </c>
      <c r="N6" s="20">
        <f t="shared" si="4"/>
        <v>0</v>
      </c>
    </row>
    <row r="7" spans="1:14">
      <c r="A7" s="15" t="s">
        <v>68</v>
      </c>
      <c r="B7" s="15">
        <v>1400</v>
      </c>
      <c r="C7" s="17">
        <v>4.4385236490000004</v>
      </c>
      <c r="D7" s="18">
        <v>0.88800000000000001</v>
      </c>
      <c r="E7" s="18">
        <v>46.66</v>
      </c>
      <c r="F7" s="18">
        <v>1.93</v>
      </c>
      <c r="G7" s="18">
        <v>0.497</v>
      </c>
      <c r="H7" s="15">
        <v>1</v>
      </c>
      <c r="I7" s="18">
        <f t="shared" ref="I7:I11" si="5">F7</f>
        <v>1.93</v>
      </c>
      <c r="J7" s="18">
        <f t="shared" ref="J7:J11" si="6">G7</f>
        <v>0.497</v>
      </c>
      <c r="K7" s="15">
        <v>10169</v>
      </c>
      <c r="L7" s="15">
        <f t="shared" si="2"/>
        <v>18904</v>
      </c>
      <c r="M7" s="15">
        <f t="shared" si="3"/>
        <v>80</v>
      </c>
      <c r="N7" s="20">
        <f t="shared" si="4"/>
        <v>20.7</v>
      </c>
    </row>
    <row r="8" spans="1:14">
      <c r="A8" s="15" t="s">
        <v>68</v>
      </c>
      <c r="B8" s="15">
        <v>1200</v>
      </c>
      <c r="C8" s="17">
        <v>2.7063193484000001</v>
      </c>
      <c r="D8" s="18">
        <v>0.22</v>
      </c>
      <c r="E8" s="18">
        <v>46.66</v>
      </c>
      <c r="F8" s="18">
        <v>2.23</v>
      </c>
      <c r="G8" s="18">
        <v>0.316</v>
      </c>
      <c r="H8" s="15">
        <v>1</v>
      </c>
      <c r="I8" s="18">
        <f t="shared" si="5"/>
        <v>2.23</v>
      </c>
      <c r="J8" s="18">
        <f t="shared" si="6"/>
        <v>0.316</v>
      </c>
      <c r="K8" s="15">
        <v>21084</v>
      </c>
      <c r="L8" s="15">
        <f t="shared" si="2"/>
        <v>2856</v>
      </c>
      <c r="M8" s="15">
        <f t="shared" si="3"/>
        <v>14</v>
      </c>
      <c r="N8" s="20">
        <f t="shared" si="4"/>
        <v>2</v>
      </c>
    </row>
    <row r="9" spans="1:14">
      <c r="A9" s="15" t="s">
        <v>68</v>
      </c>
      <c r="B9" s="15">
        <v>1400</v>
      </c>
      <c r="C9" s="17">
        <v>2.0038044999999998E-3</v>
      </c>
      <c r="D9" s="18">
        <v>0.88600000000000001</v>
      </c>
      <c r="E9" s="18">
        <v>46.66</v>
      </c>
      <c r="F9" s="18">
        <v>1.93</v>
      </c>
      <c r="G9" s="18">
        <v>0.497</v>
      </c>
      <c r="H9" s="15">
        <v>1</v>
      </c>
      <c r="I9" s="18">
        <f t="shared" si="5"/>
        <v>1.93</v>
      </c>
      <c r="J9" s="18">
        <f t="shared" si="6"/>
        <v>0.497</v>
      </c>
      <c r="K9" s="15">
        <v>3</v>
      </c>
      <c r="L9" s="15">
        <f t="shared" si="2"/>
        <v>9</v>
      </c>
      <c r="M9" s="15">
        <f t="shared" si="3"/>
        <v>0</v>
      </c>
      <c r="N9" s="20">
        <f t="shared" si="4"/>
        <v>0</v>
      </c>
    </row>
    <row r="10" spans="1:14">
      <c r="A10" s="15" t="s">
        <v>68</v>
      </c>
      <c r="B10" s="15">
        <v>3100</v>
      </c>
      <c r="C10" s="17">
        <v>2.1821434999999998E-3</v>
      </c>
      <c r="D10" s="18">
        <v>0.1</v>
      </c>
      <c r="E10" s="18">
        <v>46.66</v>
      </c>
      <c r="F10" s="18">
        <v>1.2</v>
      </c>
      <c r="G10" s="18">
        <v>6.4000000000000001E-2</v>
      </c>
      <c r="H10" s="15">
        <v>1</v>
      </c>
      <c r="I10" s="18">
        <f t="shared" si="5"/>
        <v>1.2</v>
      </c>
      <c r="J10" s="18">
        <f t="shared" si="6"/>
        <v>6.4000000000000001E-2</v>
      </c>
      <c r="K10" s="15">
        <v>0</v>
      </c>
      <c r="L10" s="15">
        <f t="shared" si="2"/>
        <v>1</v>
      </c>
      <c r="M10" s="15">
        <f t="shared" si="3"/>
        <v>0</v>
      </c>
      <c r="N10" s="20">
        <f t="shared" si="4"/>
        <v>0</v>
      </c>
    </row>
    <row r="11" spans="1:14">
      <c r="A11" s="15" t="s">
        <v>68</v>
      </c>
      <c r="B11" s="15">
        <v>3100</v>
      </c>
      <c r="C11" s="17">
        <v>0.15958649729999999</v>
      </c>
      <c r="D11" s="18">
        <v>0.3</v>
      </c>
      <c r="E11" s="18">
        <v>46.66</v>
      </c>
      <c r="F11" s="18">
        <v>1.2</v>
      </c>
      <c r="G11" s="18">
        <v>6.4000000000000001E-2</v>
      </c>
      <c r="H11" s="15">
        <v>1</v>
      </c>
      <c r="I11" s="18">
        <f t="shared" si="5"/>
        <v>1.2</v>
      </c>
      <c r="J11" s="18">
        <f t="shared" si="6"/>
        <v>6.4000000000000001E-2</v>
      </c>
      <c r="K11" s="15">
        <v>310</v>
      </c>
      <c r="L11" s="15">
        <f t="shared" si="2"/>
        <v>230</v>
      </c>
      <c r="M11" s="15">
        <f t="shared" si="3"/>
        <v>1</v>
      </c>
      <c r="N11" s="20">
        <f t="shared" si="4"/>
        <v>0</v>
      </c>
    </row>
    <row r="12" spans="1:14">
      <c r="A12" s="15" t="s">
        <v>68</v>
      </c>
      <c r="B12" s="15">
        <v>1200</v>
      </c>
      <c r="C12" s="17">
        <v>3.4931339800000002E-2</v>
      </c>
      <c r="D12" s="18">
        <v>0.22</v>
      </c>
      <c r="E12" s="18">
        <v>46.66</v>
      </c>
      <c r="F12" s="18">
        <v>2.23</v>
      </c>
      <c r="G12" s="18">
        <v>0.316</v>
      </c>
      <c r="H12" s="15">
        <v>0</v>
      </c>
      <c r="I12" s="18">
        <f>0.7*F12</f>
        <v>1.5609999999999999</v>
      </c>
      <c r="J12" s="18">
        <f>0.5*G12</f>
        <v>0.158</v>
      </c>
      <c r="K12" s="15">
        <v>178</v>
      </c>
      <c r="L12" s="15">
        <f t="shared" si="2"/>
        <v>37</v>
      </c>
      <c r="M12" s="15">
        <f t="shared" si="3"/>
        <v>0</v>
      </c>
      <c r="N12" s="20">
        <f t="shared" si="4"/>
        <v>0</v>
      </c>
    </row>
    <row r="13" spans="1:14">
      <c r="A13" s="15" t="s">
        <v>68</v>
      </c>
      <c r="B13" s="15">
        <v>3100</v>
      </c>
      <c r="C13" s="17">
        <v>3.1983628E-3</v>
      </c>
      <c r="D13" s="18">
        <v>0.1</v>
      </c>
      <c r="E13" s="18">
        <v>46.66</v>
      </c>
      <c r="F13" s="18">
        <v>1.2</v>
      </c>
      <c r="G13" s="18">
        <v>6.4000000000000001E-2</v>
      </c>
      <c r="H13" s="15">
        <v>1</v>
      </c>
      <c r="I13" s="18">
        <f t="shared" ref="I13:I15" si="7">F13</f>
        <v>1.2</v>
      </c>
      <c r="J13" s="18">
        <f t="shared" ref="J13:J15" si="8">G13</f>
        <v>6.4000000000000001E-2</v>
      </c>
      <c r="K13" s="15">
        <v>24</v>
      </c>
      <c r="L13" s="15">
        <f t="shared" si="2"/>
        <v>2</v>
      </c>
      <c r="M13" s="15">
        <f t="shared" si="3"/>
        <v>0</v>
      </c>
      <c r="N13" s="20">
        <f t="shared" si="4"/>
        <v>0</v>
      </c>
    </row>
    <row r="14" spans="1:14">
      <c r="A14" s="15" t="s">
        <v>68</v>
      </c>
      <c r="B14" s="15">
        <v>3100</v>
      </c>
      <c r="C14" s="17">
        <v>1.79124201E-2</v>
      </c>
      <c r="D14" s="18">
        <v>0.3</v>
      </c>
      <c r="E14" s="18">
        <v>46.66</v>
      </c>
      <c r="F14" s="18">
        <v>1.2</v>
      </c>
      <c r="G14" s="18">
        <v>6.4000000000000001E-2</v>
      </c>
      <c r="H14" s="15">
        <v>1</v>
      </c>
      <c r="I14" s="18">
        <f t="shared" si="7"/>
        <v>1.2</v>
      </c>
      <c r="J14" s="18">
        <f t="shared" si="8"/>
        <v>6.4000000000000001E-2</v>
      </c>
      <c r="K14" s="15">
        <v>27</v>
      </c>
      <c r="L14" s="15">
        <f t="shared" si="2"/>
        <v>26</v>
      </c>
      <c r="M14" s="15">
        <f t="shared" si="3"/>
        <v>0</v>
      </c>
      <c r="N14" s="20">
        <f t="shared" si="4"/>
        <v>0</v>
      </c>
    </row>
    <row r="15" spans="1:14">
      <c r="A15" s="15" t="s">
        <v>68</v>
      </c>
      <c r="B15" s="15">
        <v>3100</v>
      </c>
      <c r="C15" s="17">
        <v>7.16815269E-2</v>
      </c>
      <c r="D15" s="18">
        <v>0.3</v>
      </c>
      <c r="E15" s="18">
        <v>46.66</v>
      </c>
      <c r="F15" s="18">
        <v>1.2</v>
      </c>
      <c r="G15" s="18">
        <v>6.4000000000000001E-2</v>
      </c>
      <c r="H15" s="15">
        <v>1</v>
      </c>
      <c r="I15" s="18">
        <f t="shared" si="7"/>
        <v>1.2</v>
      </c>
      <c r="J15" s="18">
        <f t="shared" si="8"/>
        <v>6.4000000000000001E-2</v>
      </c>
      <c r="K15" s="15">
        <v>88</v>
      </c>
      <c r="L15" s="15">
        <f t="shared" si="2"/>
        <v>103</v>
      </c>
      <c r="M15" s="15">
        <f t="shared" si="3"/>
        <v>0</v>
      </c>
      <c r="N15" s="20">
        <f t="shared" si="4"/>
        <v>0</v>
      </c>
    </row>
    <row r="16" spans="1:14">
      <c r="A16" s="15" t="s">
        <v>68</v>
      </c>
      <c r="B16" s="15">
        <v>1400</v>
      </c>
      <c r="C16" s="17">
        <v>4.67506819E-2</v>
      </c>
      <c r="D16" s="18">
        <v>0.88800000000000001</v>
      </c>
      <c r="E16" s="18">
        <v>46.66</v>
      </c>
      <c r="F16" s="18">
        <v>1.93</v>
      </c>
      <c r="G16" s="18">
        <v>0.497</v>
      </c>
      <c r="H16" s="15">
        <v>0</v>
      </c>
      <c r="I16" s="18">
        <f>0.7*F16</f>
        <v>1.351</v>
      </c>
      <c r="J16" s="18">
        <f>0.5*G16</f>
        <v>0.2485</v>
      </c>
      <c r="K16" s="15">
        <v>112</v>
      </c>
      <c r="L16" s="15">
        <f t="shared" si="2"/>
        <v>199</v>
      </c>
      <c r="M16" s="15">
        <f t="shared" si="3"/>
        <v>1</v>
      </c>
      <c r="N16" s="20">
        <f t="shared" si="4"/>
        <v>0.1</v>
      </c>
    </row>
    <row r="17" spans="3:14">
      <c r="C17" s="15">
        <f>SUM(C2:C16)</f>
        <v>39.717575226699999</v>
      </c>
      <c r="M17" s="15">
        <f>SUM(M2:M16)</f>
        <v>392</v>
      </c>
      <c r="N17" s="20">
        <f>SUM(N2:N16)</f>
        <v>65.100000000000009</v>
      </c>
    </row>
  </sheetData>
  <pageMargins left="0.7" right="0.7" top="0.75" bottom="0.75" header="0.3" footer="0.3"/>
  <pageSetup scale="7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5"/>
  <sheetViews>
    <sheetView zoomScaleNormal="100" workbookViewId="0">
      <selection activeCell="N2" sqref="N2"/>
    </sheetView>
  </sheetViews>
  <sheetFormatPr defaultRowHeight="15"/>
  <cols>
    <col min="1" max="1" width="14.28515625" style="15" bestFit="1" customWidth="1"/>
    <col min="2" max="2" width="8" style="15" bestFit="1" customWidth="1"/>
    <col min="3" max="3" width="16.28515625" style="15" bestFit="1" customWidth="1"/>
    <col min="4" max="4" width="6.85546875" style="16" bestFit="1" customWidth="1"/>
    <col min="5" max="5" width="13.7109375" style="16" bestFit="1" customWidth="1"/>
    <col min="6" max="6" width="9.42578125" style="16" bestFit="1" customWidth="1"/>
    <col min="7" max="7" width="9.140625" style="16" bestFit="1" customWidth="1"/>
    <col min="8" max="8" width="11.28515625" style="16" bestFit="1" customWidth="1"/>
    <col min="9" max="10" width="9" style="16" customWidth="1"/>
    <col min="11" max="11" width="12.42578125" style="15" bestFit="1" customWidth="1"/>
    <col min="12" max="12" width="13.85546875" style="15" customWidth="1"/>
    <col min="13" max="13" width="10.85546875" style="16" customWidth="1"/>
    <col min="14" max="14" width="10.7109375" style="17" customWidth="1"/>
  </cols>
  <sheetData>
    <row r="1" spans="1:14" ht="30">
      <c r="A1" s="15" t="s">
        <v>67</v>
      </c>
      <c r="B1" s="15" t="s">
        <v>46</v>
      </c>
      <c r="C1" s="17" t="s">
        <v>53</v>
      </c>
      <c r="D1" s="16" t="s">
        <v>47</v>
      </c>
      <c r="E1" s="16" t="s">
        <v>52</v>
      </c>
      <c r="F1" s="16" t="s">
        <v>48</v>
      </c>
      <c r="G1" s="16" t="s">
        <v>49</v>
      </c>
      <c r="H1" s="15" t="s">
        <v>51</v>
      </c>
      <c r="I1" s="16" t="s">
        <v>55</v>
      </c>
      <c r="J1" s="16" t="s">
        <v>56</v>
      </c>
      <c r="K1" s="15" t="s">
        <v>50</v>
      </c>
      <c r="L1" s="19" t="s">
        <v>57</v>
      </c>
      <c r="M1" s="19" t="s">
        <v>58</v>
      </c>
      <c r="N1" s="19" t="s">
        <v>59</v>
      </c>
    </row>
    <row r="2" spans="1:14">
      <c r="A2" s="15" t="s">
        <v>68</v>
      </c>
      <c r="B2" s="15">
        <v>1200</v>
      </c>
      <c r="C2" s="17">
        <v>101.80739730160001</v>
      </c>
      <c r="D2" s="18">
        <v>0.38900000000000001</v>
      </c>
      <c r="E2" s="18">
        <v>46.66</v>
      </c>
      <c r="F2" s="18">
        <v>2.23</v>
      </c>
      <c r="G2" s="18">
        <v>0.316</v>
      </c>
      <c r="H2" s="15">
        <v>1</v>
      </c>
      <c r="I2" s="18">
        <f>F2</f>
        <v>2.23</v>
      </c>
      <c r="J2" s="18">
        <f>G2</f>
        <v>0.316</v>
      </c>
      <c r="K2" s="15">
        <v>447612</v>
      </c>
      <c r="L2" s="15">
        <f>ROUND(E2*D2*C2*102.79,0)</f>
        <v>189944</v>
      </c>
      <c r="M2" s="15">
        <f>ROUND(I2*L2*0.002205,0)</f>
        <v>934</v>
      </c>
      <c r="N2" s="20">
        <f>ROUND(J2*L2*0.002205,1)</f>
        <v>132.30000000000001</v>
      </c>
    </row>
    <row r="3" spans="1:14">
      <c r="A3" s="15" t="s">
        <v>68</v>
      </c>
      <c r="B3" s="15">
        <v>1200</v>
      </c>
      <c r="C3" s="17">
        <v>8.3108882999999995E-2</v>
      </c>
      <c r="D3" s="18">
        <v>0.22</v>
      </c>
      <c r="E3" s="18">
        <v>46.66</v>
      </c>
      <c r="F3" s="18">
        <v>2.23</v>
      </c>
      <c r="G3" s="18">
        <v>0.316</v>
      </c>
      <c r="H3" s="15">
        <v>1</v>
      </c>
      <c r="I3" s="18">
        <f t="shared" ref="I3:I4" si="0">F3</f>
        <v>2.23</v>
      </c>
      <c r="J3" s="18">
        <f t="shared" ref="J3:J4" si="1">G3</f>
        <v>0.316</v>
      </c>
      <c r="K3" s="15">
        <v>314</v>
      </c>
      <c r="L3" s="15">
        <f t="shared" ref="L3:L4" si="2">ROUND(E3*D3*C3*102.79,0)</f>
        <v>88</v>
      </c>
      <c r="M3" s="15">
        <f t="shared" ref="M3:M4" si="3">ROUND(I3*L3*0.002205,0)</f>
        <v>0</v>
      </c>
      <c r="N3" s="20">
        <f t="shared" ref="N3:N4" si="4">ROUND(J3*L3*0.002205,1)</f>
        <v>0.1</v>
      </c>
    </row>
    <row r="4" spans="1:14">
      <c r="A4" s="15" t="s">
        <v>68</v>
      </c>
      <c r="B4" s="15">
        <v>1200</v>
      </c>
      <c r="C4" s="17">
        <v>6.3299841874</v>
      </c>
      <c r="D4" s="18">
        <v>0.22</v>
      </c>
      <c r="E4" s="18">
        <v>46.66</v>
      </c>
      <c r="F4" s="18">
        <v>2.23</v>
      </c>
      <c r="G4" s="18">
        <v>0.316</v>
      </c>
      <c r="H4" s="15">
        <v>1</v>
      </c>
      <c r="I4" s="18">
        <f t="shared" si="0"/>
        <v>2.23</v>
      </c>
      <c r="J4" s="18">
        <f t="shared" si="1"/>
        <v>0.316</v>
      </c>
      <c r="K4" s="15">
        <v>10613</v>
      </c>
      <c r="L4" s="15">
        <f t="shared" si="2"/>
        <v>6679</v>
      </c>
      <c r="M4" s="15">
        <f t="shared" si="3"/>
        <v>33</v>
      </c>
      <c r="N4" s="20">
        <f t="shared" si="4"/>
        <v>4.7</v>
      </c>
    </row>
    <row r="5" spans="1:14">
      <c r="C5" s="15">
        <f>SUM(C2:C4)</f>
        <v>108.220490372</v>
      </c>
      <c r="M5" s="15">
        <f>SUM(M2:M4)</f>
        <v>967</v>
      </c>
      <c r="N5" s="20">
        <f>SUM(N2:N4)</f>
        <v>137.1</v>
      </c>
    </row>
  </sheetData>
  <pageMargins left="0.7" right="0.7" top="0.75" bottom="0.75" header="0.3" footer="0.3"/>
  <pageSetup scale="7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4"/>
  <sheetViews>
    <sheetView zoomScaleNormal="100" workbookViewId="0">
      <selection activeCell="N2" sqref="N2"/>
    </sheetView>
  </sheetViews>
  <sheetFormatPr defaultRowHeight="15"/>
  <cols>
    <col min="1" max="1" width="14.28515625" style="15" bestFit="1" customWidth="1"/>
    <col min="2" max="2" width="9.7109375" style="15" customWidth="1"/>
    <col min="3" max="3" width="15.140625" style="15" bestFit="1" customWidth="1"/>
    <col min="4" max="4" width="6.85546875" style="16" bestFit="1" customWidth="1"/>
    <col min="5" max="5" width="13.7109375" style="16" bestFit="1" customWidth="1"/>
    <col min="6" max="6" width="9.42578125" style="16" bestFit="1" customWidth="1"/>
    <col min="7" max="7" width="9.140625" style="16" bestFit="1" customWidth="1"/>
    <col min="8" max="8" width="11.28515625" style="16" bestFit="1" customWidth="1"/>
    <col min="9" max="9" width="7.85546875" style="16" bestFit="1" customWidth="1"/>
    <col min="10" max="10" width="7.5703125" style="16" bestFit="1" customWidth="1"/>
    <col min="11" max="11" width="12.42578125" style="15" bestFit="1" customWidth="1"/>
    <col min="12" max="12" width="14.42578125" style="15" customWidth="1"/>
    <col min="13" max="13" width="11.28515625" style="16" customWidth="1"/>
    <col min="14" max="14" width="10" style="17" customWidth="1"/>
  </cols>
  <sheetData>
    <row r="1" spans="1:14" ht="30">
      <c r="A1" s="15" t="s">
        <v>67</v>
      </c>
      <c r="B1" s="15" t="s">
        <v>46</v>
      </c>
      <c r="C1" s="17" t="s">
        <v>53</v>
      </c>
      <c r="D1" s="16" t="s">
        <v>47</v>
      </c>
      <c r="E1" s="16" t="s">
        <v>52</v>
      </c>
      <c r="F1" s="16" t="s">
        <v>48</v>
      </c>
      <c r="G1" s="16" t="s">
        <v>49</v>
      </c>
      <c r="H1" s="15" t="s">
        <v>51</v>
      </c>
      <c r="I1" s="16" t="s">
        <v>55</v>
      </c>
      <c r="J1" s="16" t="s">
        <v>56</v>
      </c>
      <c r="K1" s="15" t="s">
        <v>50</v>
      </c>
      <c r="L1" s="19" t="s">
        <v>57</v>
      </c>
      <c r="M1" s="19" t="s">
        <v>58</v>
      </c>
      <c r="N1" s="19" t="s">
        <v>59</v>
      </c>
    </row>
    <row r="2" spans="1:14">
      <c r="A2" s="15" t="s">
        <v>68</v>
      </c>
      <c r="B2" s="15">
        <v>1200</v>
      </c>
      <c r="C2" s="17">
        <v>6.0079352965000004</v>
      </c>
      <c r="D2" s="18">
        <v>0.38900000000000001</v>
      </c>
      <c r="E2" s="18">
        <v>46.66</v>
      </c>
      <c r="F2" s="18">
        <v>2.23</v>
      </c>
      <c r="G2" s="18">
        <v>0.316</v>
      </c>
      <c r="H2" s="15">
        <v>1</v>
      </c>
      <c r="I2" s="18">
        <f>F2</f>
        <v>2.23</v>
      </c>
      <c r="J2" s="18">
        <f>G2</f>
        <v>0.316</v>
      </c>
      <c r="K2" s="15">
        <v>447612</v>
      </c>
      <c r="L2" s="15">
        <f>ROUND(E2*D2*C2*102.79,0)</f>
        <v>11209</v>
      </c>
      <c r="M2" s="15">
        <f>ROUND(I2*L2*0.002205,0)</f>
        <v>55</v>
      </c>
      <c r="N2" s="20">
        <f>ROUND(J2*L2*0.002205,1)</f>
        <v>7.8</v>
      </c>
    </row>
    <row r="3" spans="1:14">
      <c r="A3" s="15" t="s">
        <v>68</v>
      </c>
      <c r="B3" s="15">
        <v>1200</v>
      </c>
      <c r="C3" s="17">
        <v>1.7428011853000001</v>
      </c>
      <c r="D3" s="18">
        <v>0.22</v>
      </c>
      <c r="E3" s="18">
        <v>46.66</v>
      </c>
      <c r="F3" s="18">
        <v>2.23</v>
      </c>
      <c r="G3" s="18">
        <v>0.316</v>
      </c>
      <c r="H3" s="15">
        <v>1</v>
      </c>
      <c r="I3" s="18">
        <f>F3</f>
        <v>2.23</v>
      </c>
      <c r="J3" s="18">
        <f>G3</f>
        <v>0.316</v>
      </c>
      <c r="K3" s="15">
        <v>10613</v>
      </c>
      <c r="L3" s="15">
        <f>ROUND(E3*D3*C3*102.79,0)</f>
        <v>1839</v>
      </c>
      <c r="M3" s="15">
        <f>ROUND(I3*L3*0.002205,0)</f>
        <v>9</v>
      </c>
      <c r="N3" s="20">
        <f>ROUND(J3*L3*0.002205,1)</f>
        <v>1.3</v>
      </c>
    </row>
    <row r="4" spans="1:14">
      <c r="C4" s="15">
        <f>SUM(C2:C3)</f>
        <v>7.7507364818000006</v>
      </c>
      <c r="M4" s="15">
        <f>SUM(M2:M3)</f>
        <v>64</v>
      </c>
      <c r="N4" s="15">
        <f>SUM(N2:N3)</f>
        <v>9.1</v>
      </c>
    </row>
  </sheetData>
  <pageMargins left="0.7" right="0.7" top="0.75" bottom="0.75" header="0.3" footer="0.3"/>
  <pageSetup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31"/>
  <sheetViews>
    <sheetView zoomScaleNormal="100" workbookViewId="0">
      <selection activeCell="O2" sqref="O2"/>
    </sheetView>
  </sheetViews>
  <sheetFormatPr defaultRowHeight="15"/>
  <cols>
    <col min="1" max="1" width="14.28515625" style="15" bestFit="1" customWidth="1"/>
    <col min="2" max="2" width="8" style="15" bestFit="1" customWidth="1"/>
    <col min="3" max="3" width="17.28515625" style="17" bestFit="1" customWidth="1"/>
    <col min="4" max="4" width="6.85546875" style="16" bestFit="1" customWidth="1"/>
    <col min="5" max="5" width="13.7109375" style="16" bestFit="1" customWidth="1"/>
    <col min="6" max="6" width="9.42578125" style="16" bestFit="1" customWidth="1"/>
    <col min="7" max="7" width="9.140625" style="16" bestFit="1" customWidth="1"/>
    <col min="8" max="8" width="11.28515625" style="15" bestFit="1" customWidth="1"/>
    <col min="9" max="10" width="9" style="16" customWidth="1"/>
    <col min="11" max="11" width="12.42578125" style="15" bestFit="1" customWidth="1"/>
    <col min="12" max="12" width="15.28515625" style="15" customWidth="1"/>
    <col min="13" max="13" width="14.7109375" customWidth="1"/>
    <col min="14" max="14" width="8.140625" bestFit="1" customWidth="1"/>
    <col min="15" max="15" width="7.85546875" bestFit="1" customWidth="1"/>
  </cols>
  <sheetData>
    <row r="1" spans="1:15" ht="30">
      <c r="A1" s="15" t="s">
        <v>54</v>
      </c>
      <c r="B1" s="15" t="s">
        <v>46</v>
      </c>
      <c r="C1" s="17" t="s">
        <v>53</v>
      </c>
      <c r="D1" s="16" t="s">
        <v>47</v>
      </c>
      <c r="E1" s="16" t="s">
        <v>52</v>
      </c>
      <c r="F1" s="16" t="s">
        <v>48</v>
      </c>
      <c r="G1" s="16" t="s">
        <v>49</v>
      </c>
      <c r="H1" s="15" t="s">
        <v>51</v>
      </c>
      <c r="I1" s="16" t="s">
        <v>55</v>
      </c>
      <c r="J1" s="16" t="s">
        <v>56</v>
      </c>
      <c r="K1" s="15" t="s">
        <v>50</v>
      </c>
      <c r="L1" s="19" t="s">
        <v>87</v>
      </c>
      <c r="M1" s="19" t="s">
        <v>57</v>
      </c>
      <c r="N1" s="19" t="s">
        <v>58</v>
      </c>
      <c r="O1" s="19" t="s">
        <v>59</v>
      </c>
    </row>
    <row r="2" spans="1:15">
      <c r="A2" s="15" t="s">
        <v>68</v>
      </c>
      <c r="B2" s="15">
        <v>1200</v>
      </c>
      <c r="C2" s="17">
        <v>188.32037927799999</v>
      </c>
      <c r="D2" s="18">
        <v>0.38900000000000001</v>
      </c>
      <c r="E2" s="18">
        <v>46.66</v>
      </c>
      <c r="F2" s="18">
        <v>2.23</v>
      </c>
      <c r="G2" s="18">
        <v>0.316</v>
      </c>
      <c r="H2" s="15">
        <v>1</v>
      </c>
      <c r="I2" s="18">
        <f>F2</f>
        <v>2.23</v>
      </c>
      <c r="J2" s="18">
        <f>G2</f>
        <v>0.316</v>
      </c>
      <c r="K2" s="15">
        <v>447612</v>
      </c>
      <c r="L2" s="15">
        <f>E2*D2*C2/12</f>
        <v>284.84618674803045</v>
      </c>
      <c r="M2" s="15">
        <f>ROUND(E2*D2*C2*102.79,0)</f>
        <v>351352</v>
      </c>
      <c r="N2" s="15">
        <f>ROUND(I2*M2*0.002205,0)</f>
        <v>1728</v>
      </c>
      <c r="O2" s="20">
        <f>ROUND(J2*M2*0.002205,1)</f>
        <v>244.8</v>
      </c>
    </row>
    <row r="3" spans="1:15">
      <c r="A3" s="15" t="s">
        <v>68</v>
      </c>
      <c r="B3" s="15">
        <v>1200</v>
      </c>
      <c r="C3" s="17">
        <v>0.34013050239999998</v>
      </c>
      <c r="D3" s="18">
        <v>0.22</v>
      </c>
      <c r="E3" s="18">
        <v>46.66</v>
      </c>
      <c r="F3" s="18">
        <v>2.23</v>
      </c>
      <c r="G3" s="18">
        <v>0.316</v>
      </c>
      <c r="H3" s="15">
        <v>1</v>
      </c>
      <c r="I3" s="18">
        <f t="shared" ref="I3:I6" si="0">F3</f>
        <v>2.23</v>
      </c>
      <c r="J3" s="18">
        <f t="shared" ref="J3:J6" si="1">G3</f>
        <v>0.316</v>
      </c>
      <c r="K3" s="15">
        <v>314</v>
      </c>
      <c r="L3" s="15">
        <f t="shared" ref="L3:L30" si="2">E3*D3*C3/12</f>
        <v>0.29095896943637328</v>
      </c>
      <c r="M3" s="15">
        <f t="shared" ref="M3:M30" si="3">ROUND(E3*D3*C3*102.79,0)</f>
        <v>359</v>
      </c>
      <c r="N3" s="15">
        <f t="shared" ref="N3:N30" si="4">ROUND(I3*M3*0.002205,0)</f>
        <v>2</v>
      </c>
      <c r="O3" s="20">
        <f t="shared" ref="O3:O30" si="5">ROUND(J3*M3*0.002205,1)</f>
        <v>0.3</v>
      </c>
    </row>
    <row r="4" spans="1:15">
      <c r="A4" s="15" t="s">
        <v>68</v>
      </c>
      <c r="B4" s="15">
        <v>1200</v>
      </c>
      <c r="C4" s="17">
        <v>8.0727850705000002</v>
      </c>
      <c r="D4" s="18">
        <v>0.22</v>
      </c>
      <c r="E4" s="18">
        <v>46.66</v>
      </c>
      <c r="F4" s="18">
        <v>2.23</v>
      </c>
      <c r="G4" s="18">
        <v>0.316</v>
      </c>
      <c r="H4" s="15">
        <v>1</v>
      </c>
      <c r="I4" s="18">
        <f t="shared" si="0"/>
        <v>2.23</v>
      </c>
      <c r="J4" s="18">
        <f t="shared" si="1"/>
        <v>0.316</v>
      </c>
      <c r="K4" s="15">
        <v>10613</v>
      </c>
      <c r="L4" s="15">
        <f t="shared" si="2"/>
        <v>6.9057294421413831</v>
      </c>
      <c r="M4" s="15">
        <f t="shared" si="3"/>
        <v>8518</v>
      </c>
      <c r="N4" s="15">
        <f t="shared" si="4"/>
        <v>42</v>
      </c>
      <c r="O4" s="20">
        <f t="shared" si="5"/>
        <v>5.9</v>
      </c>
    </row>
    <row r="5" spans="1:15">
      <c r="A5" s="15" t="s">
        <v>68</v>
      </c>
      <c r="B5" s="15">
        <v>1300</v>
      </c>
      <c r="C5" s="17">
        <v>0.19161952409999999</v>
      </c>
      <c r="D5" s="18">
        <v>0.69199999999999995</v>
      </c>
      <c r="E5" s="18">
        <v>46.66</v>
      </c>
      <c r="F5" s="18">
        <v>2.1</v>
      </c>
      <c r="G5" s="18">
        <v>0.51600000000000001</v>
      </c>
      <c r="H5" s="15">
        <v>1</v>
      </c>
      <c r="I5" s="18">
        <f t="shared" si="0"/>
        <v>2.1</v>
      </c>
      <c r="J5" s="18">
        <f t="shared" si="1"/>
        <v>0.51600000000000001</v>
      </c>
      <c r="K5" s="15">
        <v>5174</v>
      </c>
      <c r="L5" s="15">
        <f t="shared" si="2"/>
        <v>0.51559576334984591</v>
      </c>
      <c r="M5" s="15">
        <f t="shared" si="3"/>
        <v>636</v>
      </c>
      <c r="N5" s="15">
        <f t="shared" si="4"/>
        <v>3</v>
      </c>
      <c r="O5" s="20">
        <f t="shared" si="5"/>
        <v>0.7</v>
      </c>
    </row>
    <row r="6" spans="1:15">
      <c r="A6" s="15" t="s">
        <v>68</v>
      </c>
      <c r="B6" s="15">
        <v>1400</v>
      </c>
      <c r="C6" s="17">
        <v>4.2919436300000002E-2</v>
      </c>
      <c r="D6" s="18">
        <v>0.88800000000000001</v>
      </c>
      <c r="E6" s="18">
        <v>46.66</v>
      </c>
      <c r="F6" s="18">
        <v>1.93</v>
      </c>
      <c r="G6" s="18">
        <v>0.497</v>
      </c>
      <c r="H6" s="15">
        <v>1</v>
      </c>
      <c r="I6" s="18">
        <f t="shared" si="0"/>
        <v>1.93</v>
      </c>
      <c r="J6" s="18">
        <f t="shared" si="1"/>
        <v>0.497</v>
      </c>
      <c r="K6" s="15">
        <v>1503</v>
      </c>
      <c r="L6" s="15">
        <f t="shared" si="2"/>
        <v>0.14819394643409198</v>
      </c>
      <c r="M6" s="15">
        <f t="shared" si="3"/>
        <v>183</v>
      </c>
      <c r="N6" s="15">
        <f t="shared" si="4"/>
        <v>1</v>
      </c>
      <c r="O6" s="20">
        <f t="shared" si="5"/>
        <v>0.2</v>
      </c>
    </row>
    <row r="7" spans="1:15">
      <c r="A7" s="15" t="s">
        <v>68</v>
      </c>
      <c r="B7" s="15">
        <v>1400</v>
      </c>
      <c r="C7" s="17">
        <v>1.99129935E-2</v>
      </c>
      <c r="D7" s="18">
        <v>0.88800000000000001</v>
      </c>
      <c r="E7" s="18">
        <v>46.66</v>
      </c>
      <c r="F7" s="18">
        <v>1.93</v>
      </c>
      <c r="G7" s="18">
        <v>0.497</v>
      </c>
      <c r="H7" s="15">
        <v>0</v>
      </c>
      <c r="I7" s="18">
        <f>0.7*F7</f>
        <v>1.351</v>
      </c>
      <c r="J7" s="18">
        <f>0.5*G7</f>
        <v>0.2485</v>
      </c>
      <c r="K7" s="15">
        <v>2274</v>
      </c>
      <c r="L7" s="15">
        <f t="shared" si="2"/>
        <v>6.8756380476539994E-2</v>
      </c>
      <c r="M7" s="15">
        <f t="shared" si="3"/>
        <v>85</v>
      </c>
      <c r="N7" s="15">
        <f t="shared" si="4"/>
        <v>0</v>
      </c>
      <c r="O7" s="20">
        <f t="shared" si="5"/>
        <v>0</v>
      </c>
    </row>
    <row r="8" spans="1:15">
      <c r="A8" s="15" t="s">
        <v>68</v>
      </c>
      <c r="B8" s="15">
        <v>1400</v>
      </c>
      <c r="C8" s="17">
        <v>4.4385565570000001</v>
      </c>
      <c r="D8" s="18">
        <v>0.88800000000000001</v>
      </c>
      <c r="E8" s="18">
        <v>46.66</v>
      </c>
      <c r="F8" s="18">
        <v>1.93</v>
      </c>
      <c r="G8" s="18">
        <v>0.497</v>
      </c>
      <c r="H8" s="15">
        <v>1</v>
      </c>
      <c r="I8" s="18">
        <f t="shared" ref="I8:I12" si="6">F8</f>
        <v>1.93</v>
      </c>
      <c r="J8" s="18">
        <f t="shared" ref="J8:J12" si="7">G8</f>
        <v>0.497</v>
      </c>
      <c r="K8" s="15">
        <v>10169</v>
      </c>
      <c r="L8" s="15">
        <f t="shared" si="2"/>
        <v>15.325625622271879</v>
      </c>
      <c r="M8" s="15">
        <f t="shared" si="3"/>
        <v>18904</v>
      </c>
      <c r="N8" s="15">
        <f t="shared" si="4"/>
        <v>80</v>
      </c>
      <c r="O8" s="20">
        <f t="shared" si="5"/>
        <v>20.7</v>
      </c>
    </row>
    <row r="9" spans="1:15">
      <c r="A9" s="15" t="s">
        <v>68</v>
      </c>
      <c r="B9" s="15">
        <v>1200</v>
      </c>
      <c r="C9" s="17">
        <v>2.7063194066</v>
      </c>
      <c r="D9" s="18">
        <v>0.22</v>
      </c>
      <c r="E9" s="18">
        <v>46.66</v>
      </c>
      <c r="F9" s="18">
        <v>2.23</v>
      </c>
      <c r="G9" s="18">
        <v>0.316</v>
      </c>
      <c r="H9" s="15">
        <v>1</v>
      </c>
      <c r="I9" s="18">
        <f t="shared" si="6"/>
        <v>2.23</v>
      </c>
      <c r="J9" s="18">
        <f t="shared" si="7"/>
        <v>0.316</v>
      </c>
      <c r="K9" s="15">
        <v>21084</v>
      </c>
      <c r="L9" s="15">
        <f t="shared" si="2"/>
        <v>2.315075831052527</v>
      </c>
      <c r="M9" s="15">
        <f t="shared" si="3"/>
        <v>2856</v>
      </c>
      <c r="N9" s="15">
        <f t="shared" si="4"/>
        <v>14</v>
      </c>
      <c r="O9" s="20">
        <f t="shared" si="5"/>
        <v>2</v>
      </c>
    </row>
    <row r="10" spans="1:15">
      <c r="A10" s="15" t="s">
        <v>68</v>
      </c>
      <c r="B10" s="15">
        <v>1400</v>
      </c>
      <c r="C10" s="17">
        <v>2.0038044999999998E-3</v>
      </c>
      <c r="D10" s="18">
        <v>0.88600000000000001</v>
      </c>
      <c r="E10" s="18">
        <v>46.66</v>
      </c>
      <c r="F10" s="18">
        <v>1.93</v>
      </c>
      <c r="G10" s="18">
        <v>0.497</v>
      </c>
      <c r="H10" s="15">
        <v>1</v>
      </c>
      <c r="I10" s="18">
        <f t="shared" si="6"/>
        <v>1.93</v>
      </c>
      <c r="J10" s="18">
        <f t="shared" si="7"/>
        <v>0.497</v>
      </c>
      <c r="K10" s="15">
        <v>3</v>
      </c>
      <c r="L10" s="15">
        <f t="shared" si="2"/>
        <v>6.9032334101183325E-3</v>
      </c>
      <c r="M10" s="15">
        <f t="shared" si="3"/>
        <v>9</v>
      </c>
      <c r="N10" s="15">
        <f t="shared" si="4"/>
        <v>0</v>
      </c>
      <c r="O10" s="20">
        <f t="shared" si="5"/>
        <v>0</v>
      </c>
    </row>
    <row r="11" spans="1:15">
      <c r="A11" s="15" t="s">
        <v>68</v>
      </c>
      <c r="B11" s="15">
        <v>3100</v>
      </c>
      <c r="C11" s="17">
        <v>2.1821434999999998E-3</v>
      </c>
      <c r="D11" s="18">
        <v>0.1</v>
      </c>
      <c r="E11" s="18">
        <v>46.66</v>
      </c>
      <c r="F11" s="18">
        <v>1.2</v>
      </c>
      <c r="G11" s="18">
        <v>6.4000000000000001E-2</v>
      </c>
      <c r="H11" s="15">
        <v>1</v>
      </c>
      <c r="I11" s="18">
        <f t="shared" si="6"/>
        <v>1.2</v>
      </c>
      <c r="J11" s="18">
        <f t="shared" si="7"/>
        <v>6.4000000000000001E-2</v>
      </c>
      <c r="K11" s="15">
        <v>0</v>
      </c>
      <c r="L11" s="15">
        <f t="shared" si="2"/>
        <v>8.4849013091666643E-4</v>
      </c>
      <c r="M11" s="15">
        <f t="shared" si="3"/>
        <v>1</v>
      </c>
      <c r="N11" s="15">
        <f t="shared" si="4"/>
        <v>0</v>
      </c>
      <c r="O11" s="20">
        <f t="shared" si="5"/>
        <v>0</v>
      </c>
    </row>
    <row r="12" spans="1:15">
      <c r="A12" s="15" t="s">
        <v>68</v>
      </c>
      <c r="B12" s="15">
        <v>3100</v>
      </c>
      <c r="C12" s="17">
        <v>0.15958650220000001</v>
      </c>
      <c r="D12" s="18">
        <v>0.3</v>
      </c>
      <c r="E12" s="18">
        <v>46.66</v>
      </c>
      <c r="F12" s="18">
        <v>1.2</v>
      </c>
      <c r="G12" s="18">
        <v>6.4000000000000001E-2</v>
      </c>
      <c r="H12" s="15">
        <v>1</v>
      </c>
      <c r="I12" s="18">
        <f t="shared" si="6"/>
        <v>1.2</v>
      </c>
      <c r="J12" s="18">
        <f t="shared" si="7"/>
        <v>6.4000000000000001E-2</v>
      </c>
      <c r="K12" s="15">
        <v>310</v>
      </c>
      <c r="L12" s="15">
        <f t="shared" si="2"/>
        <v>0.18615765481630001</v>
      </c>
      <c r="M12" s="15">
        <f t="shared" si="3"/>
        <v>230</v>
      </c>
      <c r="N12" s="15">
        <f t="shared" si="4"/>
        <v>1</v>
      </c>
      <c r="O12" s="20">
        <f t="shared" si="5"/>
        <v>0</v>
      </c>
    </row>
    <row r="13" spans="1:15">
      <c r="A13" s="15" t="s">
        <v>68</v>
      </c>
      <c r="B13" s="15">
        <v>1200</v>
      </c>
      <c r="C13" s="17">
        <v>3.49313417E-2</v>
      </c>
      <c r="D13" s="18">
        <v>0.22</v>
      </c>
      <c r="E13" s="18">
        <v>46.66</v>
      </c>
      <c r="F13" s="18">
        <v>2.23</v>
      </c>
      <c r="G13" s="18">
        <v>0.316</v>
      </c>
      <c r="H13" s="15">
        <v>0</v>
      </c>
      <c r="I13" s="18">
        <f>0.7*F13</f>
        <v>1.5609999999999999</v>
      </c>
      <c r="J13" s="18">
        <f>0.5*G13</f>
        <v>0.158</v>
      </c>
      <c r="K13" s="15">
        <v>178</v>
      </c>
      <c r="L13" s="15">
        <f t="shared" si="2"/>
        <v>2.9881434068236668E-2</v>
      </c>
      <c r="M13" s="15">
        <f t="shared" si="3"/>
        <v>37</v>
      </c>
      <c r="N13" s="15">
        <f t="shared" si="4"/>
        <v>0</v>
      </c>
      <c r="O13" s="20">
        <f t="shared" si="5"/>
        <v>0</v>
      </c>
    </row>
    <row r="14" spans="1:15">
      <c r="A14" s="15" t="s">
        <v>68</v>
      </c>
      <c r="B14" s="15">
        <v>3100</v>
      </c>
      <c r="C14" s="17">
        <v>3.1983632000000001E-3</v>
      </c>
      <c r="D14" s="18">
        <v>0.1</v>
      </c>
      <c r="E14" s="18">
        <v>46.66</v>
      </c>
      <c r="F14" s="18">
        <v>1.2</v>
      </c>
      <c r="G14" s="18">
        <v>6.4000000000000001E-2</v>
      </c>
      <c r="H14" s="15">
        <v>1</v>
      </c>
      <c r="I14" s="18">
        <f t="shared" ref="I14:I16" si="8">F14</f>
        <v>1.2</v>
      </c>
      <c r="J14" s="18">
        <f t="shared" ref="J14:J16" si="9">G14</f>
        <v>6.4000000000000001E-2</v>
      </c>
      <c r="K14" s="15">
        <v>24</v>
      </c>
      <c r="L14" s="15">
        <f t="shared" si="2"/>
        <v>1.2436302242666666E-3</v>
      </c>
      <c r="M14" s="15">
        <f t="shared" si="3"/>
        <v>2</v>
      </c>
      <c r="N14" s="15">
        <f t="shared" si="4"/>
        <v>0</v>
      </c>
      <c r="O14" s="20">
        <f t="shared" si="5"/>
        <v>0</v>
      </c>
    </row>
    <row r="15" spans="1:15">
      <c r="A15" s="15" t="s">
        <v>68</v>
      </c>
      <c r="B15" s="15">
        <v>3100</v>
      </c>
      <c r="C15" s="17">
        <v>1.7912422300000001E-2</v>
      </c>
      <c r="D15" s="18">
        <v>0.3</v>
      </c>
      <c r="E15" s="18">
        <v>46.66</v>
      </c>
      <c r="F15" s="18">
        <v>1.2</v>
      </c>
      <c r="G15" s="18">
        <v>6.4000000000000001E-2</v>
      </c>
      <c r="H15" s="15">
        <v>1</v>
      </c>
      <c r="I15" s="18">
        <f t="shared" si="8"/>
        <v>1.2</v>
      </c>
      <c r="J15" s="18">
        <f t="shared" si="9"/>
        <v>6.4000000000000001E-2</v>
      </c>
      <c r="K15" s="15">
        <v>27</v>
      </c>
      <c r="L15" s="15">
        <f t="shared" si="2"/>
        <v>2.0894840612949998E-2</v>
      </c>
      <c r="M15" s="15">
        <f t="shared" si="3"/>
        <v>26</v>
      </c>
      <c r="N15" s="15">
        <f t="shared" si="4"/>
        <v>0</v>
      </c>
      <c r="O15" s="20">
        <f t="shared" si="5"/>
        <v>0</v>
      </c>
    </row>
    <row r="16" spans="1:15">
      <c r="A16" s="15" t="s">
        <v>68</v>
      </c>
      <c r="B16" s="15">
        <v>3100</v>
      </c>
      <c r="C16" s="17">
        <v>7.1681527499999995E-2</v>
      </c>
      <c r="D16" s="18">
        <v>0.3</v>
      </c>
      <c r="E16" s="18">
        <v>46.66</v>
      </c>
      <c r="F16" s="18">
        <v>1.2</v>
      </c>
      <c r="G16" s="18">
        <v>6.4000000000000001E-2</v>
      </c>
      <c r="H16" s="15">
        <v>1</v>
      </c>
      <c r="I16" s="18">
        <f t="shared" si="8"/>
        <v>1.2</v>
      </c>
      <c r="J16" s="18">
        <f t="shared" si="9"/>
        <v>6.4000000000000001E-2</v>
      </c>
      <c r="K16" s="15">
        <v>88</v>
      </c>
      <c r="L16" s="15">
        <f t="shared" si="2"/>
        <v>8.3616501828749981E-2</v>
      </c>
      <c r="M16" s="15">
        <f t="shared" si="3"/>
        <v>103</v>
      </c>
      <c r="N16" s="15">
        <f t="shared" si="4"/>
        <v>0</v>
      </c>
      <c r="O16" s="20">
        <f t="shared" si="5"/>
        <v>0</v>
      </c>
    </row>
    <row r="17" spans="1:15">
      <c r="A17" s="15" t="s">
        <v>68</v>
      </c>
      <c r="B17" s="15">
        <v>1400</v>
      </c>
      <c r="C17" s="17">
        <v>4.6750685E-2</v>
      </c>
      <c r="D17" s="18">
        <v>0.88800000000000001</v>
      </c>
      <c r="E17" s="18">
        <v>46.66</v>
      </c>
      <c r="F17" s="18">
        <v>1.93</v>
      </c>
      <c r="G17" s="18">
        <v>0.497</v>
      </c>
      <c r="H17" s="15">
        <v>0</v>
      </c>
      <c r="I17" s="18">
        <f>0.7*F17</f>
        <v>1.351</v>
      </c>
      <c r="J17" s="18">
        <f>0.5*G17</f>
        <v>0.2485</v>
      </c>
      <c r="K17" s="15">
        <v>112</v>
      </c>
      <c r="L17" s="15">
        <f t="shared" si="2"/>
        <v>0.16142263519539998</v>
      </c>
      <c r="M17" s="15">
        <f t="shared" si="3"/>
        <v>199</v>
      </c>
      <c r="N17" s="15">
        <f t="shared" si="4"/>
        <v>1</v>
      </c>
      <c r="O17" s="20">
        <f t="shared" si="5"/>
        <v>0.1</v>
      </c>
    </row>
    <row r="18" spans="1:15">
      <c r="A18" s="15" t="s">
        <v>68</v>
      </c>
      <c r="B18" s="15">
        <v>1400</v>
      </c>
      <c r="C18" s="17">
        <v>0.18688208589999999</v>
      </c>
      <c r="D18" s="18">
        <v>0.88800000000000001</v>
      </c>
      <c r="E18" s="18">
        <v>46.66</v>
      </c>
      <c r="F18" s="18">
        <v>1.93</v>
      </c>
      <c r="G18" s="18">
        <v>0.497</v>
      </c>
      <c r="H18" s="15">
        <v>1</v>
      </c>
      <c r="I18" s="18">
        <f t="shared" ref="I18:I20" si="10">F18</f>
        <v>1.93</v>
      </c>
      <c r="J18" s="18">
        <f t="shared" ref="J18:J20" si="11">G18</f>
        <v>0.497</v>
      </c>
      <c r="K18" s="15">
        <v>16467</v>
      </c>
      <c r="L18" s="15">
        <f t="shared" si="2"/>
        <v>0.64527394147895589</v>
      </c>
      <c r="M18" s="15">
        <f t="shared" si="3"/>
        <v>796</v>
      </c>
      <c r="N18" s="15">
        <f t="shared" si="4"/>
        <v>3</v>
      </c>
      <c r="O18" s="20">
        <f t="shared" si="5"/>
        <v>0.9</v>
      </c>
    </row>
    <row r="19" spans="1:15">
      <c r="A19" s="15" t="s">
        <v>68</v>
      </c>
      <c r="B19" s="15">
        <v>3300</v>
      </c>
      <c r="C19" s="17">
        <v>0.96929374989999995</v>
      </c>
      <c r="D19" s="18">
        <v>0.28699999999999998</v>
      </c>
      <c r="E19" s="18">
        <v>46.66</v>
      </c>
      <c r="F19" s="18">
        <v>1.2</v>
      </c>
      <c r="G19" s="18">
        <v>6.4000000000000001E-2</v>
      </c>
      <c r="H19" s="15">
        <v>1</v>
      </c>
      <c r="I19" s="18">
        <f t="shared" si="10"/>
        <v>1.2</v>
      </c>
      <c r="J19" s="18">
        <f t="shared" si="11"/>
        <v>6.4000000000000001E-2</v>
      </c>
      <c r="K19" s="15">
        <v>470</v>
      </c>
      <c r="L19" s="15">
        <f t="shared" si="2"/>
        <v>1.0816849756904878</v>
      </c>
      <c r="M19" s="15">
        <f t="shared" si="3"/>
        <v>1334</v>
      </c>
      <c r="N19" s="15">
        <f t="shared" si="4"/>
        <v>4</v>
      </c>
      <c r="O19" s="20">
        <f t="shared" si="5"/>
        <v>0.2</v>
      </c>
    </row>
    <row r="20" spans="1:15">
      <c r="A20" s="15" t="s">
        <v>68</v>
      </c>
      <c r="B20" s="15">
        <v>3300</v>
      </c>
      <c r="C20" s="17">
        <v>3.3462440918</v>
      </c>
      <c r="D20" s="18">
        <v>0.28699999999999998</v>
      </c>
      <c r="E20" s="18">
        <v>46.66</v>
      </c>
      <c r="F20" s="18">
        <v>1.2</v>
      </c>
      <c r="G20" s="18">
        <v>6.4000000000000001E-2</v>
      </c>
      <c r="H20" s="15">
        <v>1</v>
      </c>
      <c r="I20" s="18">
        <f t="shared" si="10"/>
        <v>1.2</v>
      </c>
      <c r="J20" s="18">
        <f t="shared" si="11"/>
        <v>6.4000000000000001E-2</v>
      </c>
      <c r="K20" s="15">
        <v>2397</v>
      </c>
      <c r="L20" s="15">
        <f t="shared" si="2"/>
        <v>3.7342466713176958</v>
      </c>
      <c r="M20" s="15">
        <f t="shared" si="3"/>
        <v>4606</v>
      </c>
      <c r="N20" s="15">
        <f t="shared" si="4"/>
        <v>12</v>
      </c>
      <c r="O20" s="20">
        <f t="shared" si="5"/>
        <v>0.6</v>
      </c>
    </row>
    <row r="21" spans="1:15">
      <c r="A21" s="15" t="s">
        <v>68</v>
      </c>
      <c r="B21" s="15">
        <v>1200</v>
      </c>
      <c r="C21" s="17">
        <v>1.42118138E-2</v>
      </c>
      <c r="D21" s="18">
        <v>0.38900000000000001</v>
      </c>
      <c r="E21" s="18">
        <v>46.66</v>
      </c>
      <c r="F21" s="18">
        <v>2.23</v>
      </c>
      <c r="G21" s="18">
        <v>0.316</v>
      </c>
      <c r="H21" s="15">
        <v>0</v>
      </c>
      <c r="I21" s="18">
        <f>0.7*F21</f>
        <v>1.5609999999999999</v>
      </c>
      <c r="J21" s="18">
        <f>0.5*G21</f>
        <v>0.158</v>
      </c>
      <c r="K21" s="15">
        <v>131</v>
      </c>
      <c r="L21" s="15">
        <f t="shared" si="2"/>
        <v>2.1496244767684334E-2</v>
      </c>
      <c r="M21" s="15">
        <f t="shared" si="3"/>
        <v>27</v>
      </c>
      <c r="N21" s="15">
        <f t="shared" si="4"/>
        <v>0</v>
      </c>
      <c r="O21" s="20">
        <f t="shared" si="5"/>
        <v>0</v>
      </c>
    </row>
    <row r="22" spans="1:15">
      <c r="A22" s="15" t="s">
        <v>68</v>
      </c>
      <c r="B22" s="15">
        <v>3300</v>
      </c>
      <c r="C22" s="17">
        <v>2.8392467420999998</v>
      </c>
      <c r="D22" s="18">
        <v>0.28699999999999998</v>
      </c>
      <c r="E22" s="18">
        <v>46.66</v>
      </c>
      <c r="F22" s="18">
        <v>1.2</v>
      </c>
      <c r="G22" s="18">
        <v>6.4000000000000001E-2</v>
      </c>
      <c r="H22" s="15">
        <v>1</v>
      </c>
      <c r="I22" s="18">
        <f t="shared" ref="I22:I25" si="12">F22</f>
        <v>1.2</v>
      </c>
      <c r="J22" s="18">
        <f t="shared" ref="J22:J25" si="13">G22</f>
        <v>6.4000000000000001E-2</v>
      </c>
      <c r="K22" s="15">
        <v>1889</v>
      </c>
      <c r="L22" s="15">
        <f t="shared" si="2"/>
        <v>3.1684621339243981</v>
      </c>
      <c r="M22" s="15">
        <f t="shared" si="3"/>
        <v>3908</v>
      </c>
      <c r="N22" s="15">
        <f t="shared" si="4"/>
        <v>10</v>
      </c>
      <c r="O22" s="20">
        <f t="shared" si="5"/>
        <v>0.6</v>
      </c>
    </row>
    <row r="23" spans="1:15">
      <c r="A23" s="15" t="s">
        <v>68</v>
      </c>
      <c r="B23" s="15">
        <v>1700</v>
      </c>
      <c r="C23" s="17">
        <v>0.287864815</v>
      </c>
      <c r="D23" s="18">
        <v>0.78600000000000003</v>
      </c>
      <c r="E23" s="18">
        <v>46.66</v>
      </c>
      <c r="F23" s="18">
        <v>1.8</v>
      </c>
      <c r="G23" s="18">
        <v>0.47799999999999998</v>
      </c>
      <c r="H23" s="15">
        <v>1</v>
      </c>
      <c r="I23" s="18">
        <f t="shared" si="12"/>
        <v>1.8</v>
      </c>
      <c r="J23" s="18">
        <f t="shared" si="13"/>
        <v>0.47799999999999998</v>
      </c>
      <c r="K23" s="15">
        <v>4457</v>
      </c>
      <c r="L23" s="15">
        <f t="shared" si="2"/>
        <v>0.87978108354744988</v>
      </c>
      <c r="M23" s="15">
        <f t="shared" si="3"/>
        <v>1085</v>
      </c>
      <c r="N23" s="15">
        <f t="shared" si="4"/>
        <v>4</v>
      </c>
      <c r="O23" s="20">
        <f t="shared" si="5"/>
        <v>1.1000000000000001</v>
      </c>
    </row>
    <row r="24" spans="1:15">
      <c r="A24" s="15" t="s">
        <v>68</v>
      </c>
      <c r="B24" s="15">
        <v>7400</v>
      </c>
      <c r="C24" s="17">
        <v>1.6904756616000001</v>
      </c>
      <c r="D24" s="18">
        <v>0.20200000000000001</v>
      </c>
      <c r="E24" s="18">
        <v>46.66</v>
      </c>
      <c r="F24" s="18">
        <v>1.38</v>
      </c>
      <c r="G24" s="18">
        <v>0.109</v>
      </c>
      <c r="H24" s="15">
        <v>1</v>
      </c>
      <c r="I24" s="18">
        <f t="shared" si="12"/>
        <v>1.38</v>
      </c>
      <c r="J24" s="18">
        <f t="shared" si="13"/>
        <v>0.109</v>
      </c>
      <c r="K24" s="15">
        <v>677</v>
      </c>
      <c r="L24" s="15">
        <f t="shared" si="2"/>
        <v>1.3277728385659759</v>
      </c>
      <c r="M24" s="15">
        <f t="shared" si="3"/>
        <v>1638</v>
      </c>
      <c r="N24" s="15">
        <f t="shared" si="4"/>
        <v>5</v>
      </c>
      <c r="O24" s="20">
        <f t="shared" si="5"/>
        <v>0.4</v>
      </c>
    </row>
    <row r="25" spans="1:15">
      <c r="A25" s="15" t="s">
        <v>68</v>
      </c>
      <c r="B25" s="15">
        <v>7400</v>
      </c>
      <c r="C25" s="17">
        <v>9.8402297799999996E-2</v>
      </c>
      <c r="D25" s="18">
        <v>0.20200000000000001</v>
      </c>
      <c r="E25" s="18">
        <v>46.66</v>
      </c>
      <c r="F25" s="18">
        <v>1.38</v>
      </c>
      <c r="G25" s="18">
        <v>0.109</v>
      </c>
      <c r="H25" s="15">
        <v>1</v>
      </c>
      <c r="I25" s="18">
        <f t="shared" si="12"/>
        <v>1.38</v>
      </c>
      <c r="J25" s="18">
        <f t="shared" si="13"/>
        <v>0.109</v>
      </c>
      <c r="K25" s="15">
        <v>33</v>
      </c>
      <c r="L25" s="15">
        <f t="shared" si="2"/>
        <v>7.7289428791691331E-2</v>
      </c>
      <c r="M25" s="15">
        <f t="shared" si="3"/>
        <v>95</v>
      </c>
      <c r="N25" s="15">
        <f t="shared" si="4"/>
        <v>0</v>
      </c>
      <c r="O25" s="20">
        <f t="shared" si="5"/>
        <v>0</v>
      </c>
    </row>
    <row r="26" spans="1:15">
      <c r="A26" s="15" t="s">
        <v>68</v>
      </c>
      <c r="B26" s="15">
        <v>1700</v>
      </c>
      <c r="C26" s="17">
        <v>0.15157108650000001</v>
      </c>
      <c r="D26" s="18">
        <v>0.78600000000000003</v>
      </c>
      <c r="E26" s="18">
        <v>46.66</v>
      </c>
      <c r="F26" s="18">
        <v>1.8</v>
      </c>
      <c r="G26" s="18">
        <v>0.47799999999999998</v>
      </c>
      <c r="H26" s="15">
        <v>0</v>
      </c>
      <c r="I26" s="18">
        <f>0.7*F26</f>
        <v>1.26</v>
      </c>
      <c r="J26" s="18">
        <f>0.5*G26</f>
        <v>0.23899999999999999</v>
      </c>
      <c r="K26" s="15">
        <v>196</v>
      </c>
      <c r="L26" s="15">
        <f t="shared" si="2"/>
        <v>0.46323610169389501</v>
      </c>
      <c r="M26" s="15">
        <f t="shared" si="3"/>
        <v>571</v>
      </c>
      <c r="N26" s="15">
        <f t="shared" si="4"/>
        <v>2</v>
      </c>
      <c r="O26" s="20">
        <f t="shared" si="5"/>
        <v>0.3</v>
      </c>
    </row>
    <row r="27" spans="1:15">
      <c r="A27" s="15" t="s">
        <v>68</v>
      </c>
      <c r="B27" s="15">
        <v>7400</v>
      </c>
      <c r="C27" s="17">
        <v>0.12313279019999999</v>
      </c>
      <c r="D27" s="18">
        <v>0.191</v>
      </c>
      <c r="E27" s="18">
        <v>46.66</v>
      </c>
      <c r="F27" s="18">
        <v>1.38</v>
      </c>
      <c r="G27" s="18">
        <v>0.109</v>
      </c>
      <c r="H27" s="15">
        <v>1</v>
      </c>
      <c r="I27" s="18">
        <f t="shared" ref="I27:I30" si="14">F27</f>
        <v>1.38</v>
      </c>
      <c r="J27" s="18">
        <f t="shared" ref="J27:J30" si="15">G27</f>
        <v>0.109</v>
      </c>
      <c r="K27" s="15">
        <v>46</v>
      </c>
      <c r="L27" s="15">
        <f t="shared" si="2"/>
        <v>9.1447234519151002E-2</v>
      </c>
      <c r="M27" s="15">
        <f t="shared" si="3"/>
        <v>113</v>
      </c>
      <c r="N27" s="15">
        <f t="shared" si="4"/>
        <v>0</v>
      </c>
      <c r="O27" s="20">
        <f t="shared" si="5"/>
        <v>0</v>
      </c>
    </row>
    <row r="28" spans="1:15">
      <c r="A28" s="15" t="s">
        <v>68</v>
      </c>
      <c r="B28" s="15">
        <v>7400</v>
      </c>
      <c r="C28" s="17">
        <v>0.29275030950000003</v>
      </c>
      <c r="D28" s="18">
        <v>0.20200000000000001</v>
      </c>
      <c r="E28" s="18">
        <v>46.66</v>
      </c>
      <c r="F28" s="18">
        <v>1.38</v>
      </c>
      <c r="G28" s="18">
        <v>0.109</v>
      </c>
      <c r="H28" s="15">
        <v>1</v>
      </c>
      <c r="I28" s="18">
        <f t="shared" si="14"/>
        <v>1.38</v>
      </c>
      <c r="J28" s="18">
        <f t="shared" si="15"/>
        <v>0.109</v>
      </c>
      <c r="K28" s="15">
        <v>4404</v>
      </c>
      <c r="L28" s="15">
        <f t="shared" si="2"/>
        <v>0.22993877892804501</v>
      </c>
      <c r="M28" s="15">
        <f t="shared" si="3"/>
        <v>284</v>
      </c>
      <c r="N28" s="15">
        <f t="shared" si="4"/>
        <v>1</v>
      </c>
      <c r="O28" s="20">
        <f t="shared" si="5"/>
        <v>0.1</v>
      </c>
    </row>
    <row r="29" spans="1:15">
      <c r="A29" s="15" t="s">
        <v>68</v>
      </c>
      <c r="B29" s="15">
        <v>7400</v>
      </c>
      <c r="C29" s="17">
        <v>1.6330681229999999</v>
      </c>
      <c r="D29" s="18">
        <v>0.191</v>
      </c>
      <c r="E29" s="18">
        <v>46.66</v>
      </c>
      <c r="F29" s="18">
        <v>1.38</v>
      </c>
      <c r="G29" s="18">
        <v>0.109</v>
      </c>
      <c r="H29" s="15">
        <v>1</v>
      </c>
      <c r="I29" s="18">
        <f t="shared" si="14"/>
        <v>1.38</v>
      </c>
      <c r="J29" s="18">
        <f t="shared" si="15"/>
        <v>0.109</v>
      </c>
      <c r="K29" s="15">
        <v>789</v>
      </c>
      <c r="L29" s="15">
        <f t="shared" si="2"/>
        <v>1.212833424688615</v>
      </c>
      <c r="M29" s="15">
        <f t="shared" si="3"/>
        <v>1496</v>
      </c>
      <c r="N29" s="15">
        <f t="shared" si="4"/>
        <v>5</v>
      </c>
      <c r="O29" s="20">
        <f t="shared" si="5"/>
        <v>0.4</v>
      </c>
    </row>
    <row r="30" spans="1:15">
      <c r="A30" s="15" t="s">
        <v>68</v>
      </c>
      <c r="B30" s="15">
        <v>7400</v>
      </c>
      <c r="C30" s="17">
        <v>0.11313098069999999</v>
      </c>
      <c r="D30" s="18">
        <v>0.20200000000000001</v>
      </c>
      <c r="E30" s="18">
        <v>46.66</v>
      </c>
      <c r="F30" s="18">
        <v>1.38</v>
      </c>
      <c r="G30" s="18">
        <v>0.109</v>
      </c>
      <c r="H30" s="15">
        <v>1</v>
      </c>
      <c r="I30" s="18">
        <f t="shared" si="14"/>
        <v>1.38</v>
      </c>
      <c r="J30" s="18">
        <f t="shared" si="15"/>
        <v>0.109</v>
      </c>
      <c r="K30" s="15">
        <v>94</v>
      </c>
      <c r="L30" s="15">
        <f t="shared" si="2"/>
        <v>8.885797458427698E-2</v>
      </c>
      <c r="M30" s="15">
        <f t="shared" si="3"/>
        <v>110</v>
      </c>
      <c r="N30" s="15">
        <f t="shared" si="4"/>
        <v>0</v>
      </c>
      <c r="O30" s="20">
        <f t="shared" si="5"/>
        <v>0</v>
      </c>
    </row>
    <row r="31" spans="1:15">
      <c r="C31" s="17">
        <f>SUM(C2:C30)</f>
        <v>216.21714410609994</v>
      </c>
      <c r="L31" s="15">
        <f>SUM(L2:L30)</f>
        <v>323.92941195597831</v>
      </c>
      <c r="N31" s="15">
        <f>SUM(N2:N30)</f>
        <v>1918</v>
      </c>
      <c r="O31" s="20">
        <f>SUM(O2:O30)</f>
        <v>279.30000000000007</v>
      </c>
    </row>
  </sheetData>
  <pageMargins left="0.7" right="0.7" top="0.75" bottom="0.75" header="0.3" footer="0.3"/>
  <pageSetup scale="7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31"/>
  <sheetViews>
    <sheetView zoomScaleNormal="100" workbookViewId="0">
      <selection activeCell="N2" sqref="N2"/>
    </sheetView>
  </sheetViews>
  <sheetFormatPr defaultRowHeight="15"/>
  <cols>
    <col min="1" max="1" width="14.28515625" style="15" bestFit="1" customWidth="1"/>
    <col min="2" max="2" width="8" style="15" bestFit="1" customWidth="1"/>
    <col min="3" max="3" width="17.28515625" style="17" bestFit="1" customWidth="1"/>
    <col min="4" max="4" width="6.85546875" style="16" bestFit="1" customWidth="1"/>
    <col min="5" max="5" width="13.7109375" style="16" bestFit="1" customWidth="1"/>
    <col min="6" max="6" width="9.42578125" style="16" bestFit="1" customWidth="1"/>
    <col min="7" max="7" width="9.140625" style="16" bestFit="1" customWidth="1"/>
    <col min="8" max="8" width="11.28515625" style="15" bestFit="1" customWidth="1"/>
    <col min="9" max="10" width="9" style="16" customWidth="1"/>
    <col min="11" max="11" width="12.42578125" style="15" bestFit="1" customWidth="1"/>
    <col min="12" max="12" width="14.7109375" customWidth="1"/>
    <col min="13" max="13" width="8.140625" bestFit="1" customWidth="1"/>
    <col min="14" max="14" width="7.85546875" bestFit="1" customWidth="1"/>
  </cols>
  <sheetData>
    <row r="1" spans="1:14" ht="30">
      <c r="A1" s="15" t="s">
        <v>54</v>
      </c>
      <c r="B1" s="15" t="s">
        <v>46</v>
      </c>
      <c r="C1" s="17" t="s">
        <v>53</v>
      </c>
      <c r="D1" s="16" t="s">
        <v>47</v>
      </c>
      <c r="E1" s="16" t="s">
        <v>52</v>
      </c>
      <c r="F1" s="16" t="s">
        <v>48</v>
      </c>
      <c r="G1" s="16" t="s">
        <v>49</v>
      </c>
      <c r="H1" s="15" t="s">
        <v>51</v>
      </c>
      <c r="I1" s="16" t="s">
        <v>55</v>
      </c>
      <c r="J1" s="16" t="s">
        <v>56</v>
      </c>
      <c r="K1" s="15" t="s">
        <v>50</v>
      </c>
      <c r="L1" s="19" t="s">
        <v>57</v>
      </c>
      <c r="M1" s="19" t="s">
        <v>58</v>
      </c>
      <c r="N1" s="19" t="s">
        <v>59</v>
      </c>
    </row>
    <row r="2" spans="1:14">
      <c r="A2" s="15" t="s">
        <v>68</v>
      </c>
      <c r="B2" s="15">
        <v>1200</v>
      </c>
      <c r="C2" s="17">
        <v>188.32037927799999</v>
      </c>
      <c r="D2" s="18">
        <v>0.38900000000000001</v>
      </c>
      <c r="E2" s="18">
        <v>46.66</v>
      </c>
      <c r="F2" s="18">
        <v>2.23</v>
      </c>
      <c r="G2" s="18">
        <v>0.316</v>
      </c>
      <c r="H2" s="15">
        <v>1</v>
      </c>
      <c r="I2" s="18">
        <f>F2</f>
        <v>2.23</v>
      </c>
      <c r="J2" s="18">
        <f>G2</f>
        <v>0.316</v>
      </c>
      <c r="K2" s="15">
        <v>447612</v>
      </c>
      <c r="L2" s="15">
        <f>ROUND(E2*D2*C2*102.79,0)</f>
        <v>351352</v>
      </c>
      <c r="M2" s="15">
        <f>ROUND(I2*L2*0.002205,0)</f>
        <v>1728</v>
      </c>
      <c r="N2" s="20">
        <f>ROUND(J2*L2*0.002205,1)</f>
        <v>244.8</v>
      </c>
    </row>
    <row r="3" spans="1:14">
      <c r="A3" s="15" t="s">
        <v>68</v>
      </c>
      <c r="B3" s="15">
        <v>1200</v>
      </c>
      <c r="C3" s="17">
        <v>0.34013050239999998</v>
      </c>
      <c r="D3" s="18">
        <v>0.22</v>
      </c>
      <c r="E3" s="18">
        <v>46.66</v>
      </c>
      <c r="F3" s="18">
        <v>2.23</v>
      </c>
      <c r="G3" s="18">
        <v>0.316</v>
      </c>
      <c r="H3" s="15">
        <v>1</v>
      </c>
      <c r="I3" s="18">
        <f t="shared" ref="I3:J6" si="0">F3</f>
        <v>2.23</v>
      </c>
      <c r="J3" s="18">
        <f t="shared" si="0"/>
        <v>0.316</v>
      </c>
      <c r="K3" s="15">
        <v>314</v>
      </c>
      <c r="L3" s="15">
        <f t="shared" ref="L3:L30" si="1">ROUND(E3*D3*C3*102.79,0)</f>
        <v>359</v>
      </c>
      <c r="M3" s="15">
        <f t="shared" ref="M3:M30" si="2">ROUND(I3*L3*0.002205,0)</f>
        <v>2</v>
      </c>
      <c r="N3" s="20">
        <f t="shared" ref="N3:N30" si="3">ROUND(J3*L3*0.002205,1)</f>
        <v>0.3</v>
      </c>
    </row>
    <row r="4" spans="1:14">
      <c r="A4" s="15" t="s">
        <v>68</v>
      </c>
      <c r="B4" s="15">
        <v>1200</v>
      </c>
      <c r="C4" s="17">
        <v>8.0727850705000002</v>
      </c>
      <c r="D4" s="18">
        <v>0.22</v>
      </c>
      <c r="E4" s="18">
        <v>46.66</v>
      </c>
      <c r="F4" s="18">
        <v>2.23</v>
      </c>
      <c r="G4" s="18">
        <v>0.316</v>
      </c>
      <c r="H4" s="15">
        <v>1</v>
      </c>
      <c r="I4" s="18">
        <f t="shared" si="0"/>
        <v>2.23</v>
      </c>
      <c r="J4" s="18">
        <f t="shared" si="0"/>
        <v>0.316</v>
      </c>
      <c r="K4" s="15">
        <v>10613</v>
      </c>
      <c r="L4" s="15">
        <f t="shared" si="1"/>
        <v>8518</v>
      </c>
      <c r="M4" s="15">
        <f t="shared" si="2"/>
        <v>42</v>
      </c>
      <c r="N4" s="20">
        <f t="shared" si="3"/>
        <v>5.9</v>
      </c>
    </row>
    <row r="5" spans="1:14">
      <c r="A5" s="15" t="s">
        <v>68</v>
      </c>
      <c r="B5" s="15">
        <v>1300</v>
      </c>
      <c r="C5" s="17">
        <v>0.19161952409999999</v>
      </c>
      <c r="D5" s="18">
        <v>0.69199999999999995</v>
      </c>
      <c r="E5" s="18">
        <v>46.66</v>
      </c>
      <c r="F5" s="18">
        <v>2.1</v>
      </c>
      <c r="G5" s="18">
        <v>0.51600000000000001</v>
      </c>
      <c r="H5" s="15">
        <v>1</v>
      </c>
      <c r="I5" s="18">
        <f t="shared" si="0"/>
        <v>2.1</v>
      </c>
      <c r="J5" s="18">
        <f t="shared" si="0"/>
        <v>0.51600000000000001</v>
      </c>
      <c r="K5" s="15">
        <v>5174</v>
      </c>
      <c r="L5" s="15">
        <f t="shared" si="1"/>
        <v>636</v>
      </c>
      <c r="M5" s="15">
        <f t="shared" si="2"/>
        <v>3</v>
      </c>
      <c r="N5" s="20">
        <f t="shared" si="3"/>
        <v>0.7</v>
      </c>
    </row>
    <row r="6" spans="1:14">
      <c r="A6" s="15" t="s">
        <v>68</v>
      </c>
      <c r="B6" s="15">
        <v>1400</v>
      </c>
      <c r="C6" s="17">
        <v>4.2919436300000002E-2</v>
      </c>
      <c r="D6" s="18">
        <v>0.88800000000000001</v>
      </c>
      <c r="E6" s="18">
        <v>46.66</v>
      </c>
      <c r="F6" s="18">
        <v>1.93</v>
      </c>
      <c r="G6" s="18">
        <v>0.497</v>
      </c>
      <c r="H6" s="15">
        <v>1</v>
      </c>
      <c r="I6" s="18">
        <f t="shared" si="0"/>
        <v>1.93</v>
      </c>
      <c r="J6" s="18">
        <f t="shared" si="0"/>
        <v>0.497</v>
      </c>
      <c r="K6" s="15">
        <v>1503</v>
      </c>
      <c r="L6" s="15">
        <f t="shared" si="1"/>
        <v>183</v>
      </c>
      <c r="M6" s="15">
        <f t="shared" si="2"/>
        <v>1</v>
      </c>
      <c r="N6" s="20">
        <f t="shared" si="3"/>
        <v>0.2</v>
      </c>
    </row>
    <row r="7" spans="1:14">
      <c r="A7" s="15" t="s">
        <v>68</v>
      </c>
      <c r="B7" s="15">
        <v>1400</v>
      </c>
      <c r="C7" s="17">
        <v>1.99129935E-2</v>
      </c>
      <c r="D7" s="18">
        <v>0.88800000000000001</v>
      </c>
      <c r="E7" s="18">
        <v>46.66</v>
      </c>
      <c r="F7" s="18">
        <v>1.93</v>
      </c>
      <c r="G7" s="18">
        <v>0.497</v>
      </c>
      <c r="H7" s="15">
        <v>0</v>
      </c>
      <c r="I7" s="18">
        <f>0.7*F7</f>
        <v>1.351</v>
      </c>
      <c r="J7" s="18">
        <f>0.5*G7</f>
        <v>0.2485</v>
      </c>
      <c r="K7" s="15">
        <v>2274</v>
      </c>
      <c r="L7" s="15">
        <f t="shared" si="1"/>
        <v>85</v>
      </c>
      <c r="M7" s="15">
        <f t="shared" si="2"/>
        <v>0</v>
      </c>
      <c r="N7" s="20">
        <f t="shared" si="3"/>
        <v>0</v>
      </c>
    </row>
    <row r="8" spans="1:14">
      <c r="A8" s="15" t="s">
        <v>68</v>
      </c>
      <c r="B8" s="15">
        <v>1400</v>
      </c>
      <c r="C8" s="17">
        <v>4.4385565570000001</v>
      </c>
      <c r="D8" s="18">
        <v>0.88800000000000001</v>
      </c>
      <c r="E8" s="18">
        <v>46.66</v>
      </c>
      <c r="F8" s="18">
        <v>1.93</v>
      </c>
      <c r="G8" s="18">
        <v>0.497</v>
      </c>
      <c r="H8" s="15">
        <v>1</v>
      </c>
      <c r="I8" s="18">
        <f t="shared" ref="I8:J12" si="4">F8</f>
        <v>1.93</v>
      </c>
      <c r="J8" s="18">
        <f t="shared" si="4"/>
        <v>0.497</v>
      </c>
      <c r="K8" s="15">
        <v>10169</v>
      </c>
      <c r="L8" s="15">
        <f t="shared" si="1"/>
        <v>18904</v>
      </c>
      <c r="M8" s="15">
        <f t="shared" si="2"/>
        <v>80</v>
      </c>
      <c r="N8" s="20">
        <f t="shared" si="3"/>
        <v>20.7</v>
      </c>
    </row>
    <row r="9" spans="1:14">
      <c r="A9" s="15" t="s">
        <v>68</v>
      </c>
      <c r="B9" s="15">
        <v>1200</v>
      </c>
      <c r="C9" s="17">
        <v>2.7063194066</v>
      </c>
      <c r="D9" s="18">
        <v>0.22</v>
      </c>
      <c r="E9" s="18">
        <v>46.66</v>
      </c>
      <c r="F9" s="18">
        <v>2.23</v>
      </c>
      <c r="G9" s="18">
        <v>0.316</v>
      </c>
      <c r="H9" s="15">
        <v>1</v>
      </c>
      <c r="I9" s="18">
        <f t="shared" si="4"/>
        <v>2.23</v>
      </c>
      <c r="J9" s="18">
        <f t="shared" si="4"/>
        <v>0.316</v>
      </c>
      <c r="K9" s="15">
        <v>21084</v>
      </c>
      <c r="L9" s="15">
        <f t="shared" si="1"/>
        <v>2856</v>
      </c>
      <c r="M9" s="15">
        <f t="shared" si="2"/>
        <v>14</v>
      </c>
      <c r="N9" s="20">
        <f t="shared" si="3"/>
        <v>2</v>
      </c>
    </row>
    <row r="10" spans="1:14">
      <c r="A10" s="15" t="s">
        <v>68</v>
      </c>
      <c r="B10" s="15">
        <v>1400</v>
      </c>
      <c r="C10" s="17">
        <v>2.0038044999999998E-3</v>
      </c>
      <c r="D10" s="18">
        <v>0.88600000000000001</v>
      </c>
      <c r="E10" s="18">
        <v>46.66</v>
      </c>
      <c r="F10" s="18">
        <v>1.93</v>
      </c>
      <c r="G10" s="18">
        <v>0.497</v>
      </c>
      <c r="H10" s="15">
        <v>1</v>
      </c>
      <c r="I10" s="18">
        <f t="shared" si="4"/>
        <v>1.93</v>
      </c>
      <c r="J10" s="18">
        <f t="shared" si="4"/>
        <v>0.497</v>
      </c>
      <c r="K10" s="15">
        <v>3</v>
      </c>
      <c r="L10" s="15">
        <f t="shared" si="1"/>
        <v>9</v>
      </c>
      <c r="M10" s="15">
        <f t="shared" si="2"/>
        <v>0</v>
      </c>
      <c r="N10" s="20">
        <f t="shared" si="3"/>
        <v>0</v>
      </c>
    </row>
    <row r="11" spans="1:14">
      <c r="A11" s="15" t="s">
        <v>68</v>
      </c>
      <c r="B11" s="15">
        <v>3100</v>
      </c>
      <c r="C11" s="17">
        <v>2.1821434999999998E-3</v>
      </c>
      <c r="D11" s="18">
        <v>0.1</v>
      </c>
      <c r="E11" s="18">
        <v>46.66</v>
      </c>
      <c r="F11" s="18">
        <v>1.2</v>
      </c>
      <c r="G11" s="18">
        <v>6.4000000000000001E-2</v>
      </c>
      <c r="H11" s="15">
        <v>1</v>
      </c>
      <c r="I11" s="18">
        <f t="shared" si="4"/>
        <v>1.2</v>
      </c>
      <c r="J11" s="18">
        <f t="shared" si="4"/>
        <v>6.4000000000000001E-2</v>
      </c>
      <c r="K11" s="15">
        <v>0</v>
      </c>
      <c r="L11" s="15">
        <f t="shared" si="1"/>
        <v>1</v>
      </c>
      <c r="M11" s="15">
        <f t="shared" si="2"/>
        <v>0</v>
      </c>
      <c r="N11" s="20">
        <f t="shared" si="3"/>
        <v>0</v>
      </c>
    </row>
    <row r="12" spans="1:14">
      <c r="A12" s="15" t="s">
        <v>68</v>
      </c>
      <c r="B12" s="15">
        <v>3100</v>
      </c>
      <c r="C12" s="17">
        <v>0.15958650220000001</v>
      </c>
      <c r="D12" s="18">
        <v>0.3</v>
      </c>
      <c r="E12" s="18">
        <v>46.66</v>
      </c>
      <c r="F12" s="18">
        <v>1.2</v>
      </c>
      <c r="G12" s="18">
        <v>6.4000000000000001E-2</v>
      </c>
      <c r="H12" s="15">
        <v>1</v>
      </c>
      <c r="I12" s="18">
        <f t="shared" si="4"/>
        <v>1.2</v>
      </c>
      <c r="J12" s="18">
        <f t="shared" si="4"/>
        <v>6.4000000000000001E-2</v>
      </c>
      <c r="K12" s="15">
        <v>310</v>
      </c>
      <c r="L12" s="15">
        <f t="shared" si="1"/>
        <v>230</v>
      </c>
      <c r="M12" s="15">
        <f t="shared" si="2"/>
        <v>1</v>
      </c>
      <c r="N12" s="20">
        <f t="shared" si="3"/>
        <v>0</v>
      </c>
    </row>
    <row r="13" spans="1:14">
      <c r="A13" s="15" t="s">
        <v>68</v>
      </c>
      <c r="B13" s="15">
        <v>1200</v>
      </c>
      <c r="C13" s="17">
        <v>3.49313417E-2</v>
      </c>
      <c r="D13" s="18">
        <v>0.22</v>
      </c>
      <c r="E13" s="18">
        <v>46.66</v>
      </c>
      <c r="F13" s="18">
        <v>2.23</v>
      </c>
      <c r="G13" s="18">
        <v>0.316</v>
      </c>
      <c r="H13" s="15">
        <v>0</v>
      </c>
      <c r="I13" s="18">
        <f>0.7*F13</f>
        <v>1.5609999999999999</v>
      </c>
      <c r="J13" s="18">
        <f>0.5*G13</f>
        <v>0.158</v>
      </c>
      <c r="K13" s="15">
        <v>178</v>
      </c>
      <c r="L13" s="15">
        <f t="shared" si="1"/>
        <v>37</v>
      </c>
      <c r="M13" s="15">
        <f t="shared" si="2"/>
        <v>0</v>
      </c>
      <c r="N13" s="20">
        <f t="shared" si="3"/>
        <v>0</v>
      </c>
    </row>
    <row r="14" spans="1:14">
      <c r="A14" s="15" t="s">
        <v>68</v>
      </c>
      <c r="B14" s="15">
        <v>3100</v>
      </c>
      <c r="C14" s="17">
        <v>3.1983632000000001E-3</v>
      </c>
      <c r="D14" s="18">
        <v>0.1</v>
      </c>
      <c r="E14" s="18">
        <v>46.66</v>
      </c>
      <c r="F14" s="18">
        <v>1.2</v>
      </c>
      <c r="G14" s="18">
        <v>6.4000000000000001E-2</v>
      </c>
      <c r="H14" s="15">
        <v>1</v>
      </c>
      <c r="I14" s="18">
        <f t="shared" ref="I14:J16" si="5">F14</f>
        <v>1.2</v>
      </c>
      <c r="J14" s="18">
        <f t="shared" si="5"/>
        <v>6.4000000000000001E-2</v>
      </c>
      <c r="K14" s="15">
        <v>24</v>
      </c>
      <c r="L14" s="15">
        <f t="shared" si="1"/>
        <v>2</v>
      </c>
      <c r="M14" s="15">
        <f t="shared" si="2"/>
        <v>0</v>
      </c>
      <c r="N14" s="20">
        <f t="shared" si="3"/>
        <v>0</v>
      </c>
    </row>
    <row r="15" spans="1:14">
      <c r="A15" s="15" t="s">
        <v>68</v>
      </c>
      <c r="B15" s="15">
        <v>3100</v>
      </c>
      <c r="C15" s="17">
        <v>1.7912422300000001E-2</v>
      </c>
      <c r="D15" s="18">
        <v>0.3</v>
      </c>
      <c r="E15" s="18">
        <v>46.66</v>
      </c>
      <c r="F15" s="18">
        <v>1.2</v>
      </c>
      <c r="G15" s="18">
        <v>6.4000000000000001E-2</v>
      </c>
      <c r="H15" s="15">
        <v>1</v>
      </c>
      <c r="I15" s="18">
        <f t="shared" si="5"/>
        <v>1.2</v>
      </c>
      <c r="J15" s="18">
        <f t="shared" si="5"/>
        <v>6.4000000000000001E-2</v>
      </c>
      <c r="K15" s="15">
        <v>27</v>
      </c>
      <c r="L15" s="15">
        <f t="shared" si="1"/>
        <v>26</v>
      </c>
      <c r="M15" s="15">
        <f t="shared" si="2"/>
        <v>0</v>
      </c>
      <c r="N15" s="20">
        <f t="shared" si="3"/>
        <v>0</v>
      </c>
    </row>
    <row r="16" spans="1:14">
      <c r="A16" s="15" t="s">
        <v>68</v>
      </c>
      <c r="B16" s="15">
        <v>3100</v>
      </c>
      <c r="C16" s="17">
        <v>7.1681527499999995E-2</v>
      </c>
      <c r="D16" s="18">
        <v>0.3</v>
      </c>
      <c r="E16" s="18">
        <v>46.66</v>
      </c>
      <c r="F16" s="18">
        <v>1.2</v>
      </c>
      <c r="G16" s="18">
        <v>6.4000000000000001E-2</v>
      </c>
      <c r="H16" s="15">
        <v>1</v>
      </c>
      <c r="I16" s="18">
        <f t="shared" si="5"/>
        <v>1.2</v>
      </c>
      <c r="J16" s="18">
        <f t="shared" si="5"/>
        <v>6.4000000000000001E-2</v>
      </c>
      <c r="K16" s="15">
        <v>88</v>
      </c>
      <c r="L16" s="15">
        <f t="shared" si="1"/>
        <v>103</v>
      </c>
      <c r="M16" s="15">
        <f t="shared" si="2"/>
        <v>0</v>
      </c>
      <c r="N16" s="20">
        <f t="shared" si="3"/>
        <v>0</v>
      </c>
    </row>
    <row r="17" spans="1:14">
      <c r="A17" s="15" t="s">
        <v>68</v>
      </c>
      <c r="B17" s="15">
        <v>1400</v>
      </c>
      <c r="C17" s="17">
        <v>4.6750685E-2</v>
      </c>
      <c r="D17" s="18">
        <v>0.88800000000000001</v>
      </c>
      <c r="E17" s="18">
        <v>46.66</v>
      </c>
      <c r="F17" s="18">
        <v>1.93</v>
      </c>
      <c r="G17" s="18">
        <v>0.497</v>
      </c>
      <c r="H17" s="15">
        <v>0</v>
      </c>
      <c r="I17" s="18">
        <f>0.7*F17</f>
        <v>1.351</v>
      </c>
      <c r="J17" s="18">
        <f>0.5*G17</f>
        <v>0.2485</v>
      </c>
      <c r="K17" s="15">
        <v>112</v>
      </c>
      <c r="L17" s="15">
        <f t="shared" si="1"/>
        <v>199</v>
      </c>
      <c r="M17" s="15">
        <f t="shared" si="2"/>
        <v>1</v>
      </c>
      <c r="N17" s="20">
        <f t="shared" si="3"/>
        <v>0.1</v>
      </c>
    </row>
    <row r="18" spans="1:14">
      <c r="A18" s="15" t="s">
        <v>68</v>
      </c>
      <c r="B18" s="15">
        <v>1400</v>
      </c>
      <c r="C18" s="17">
        <v>0.18688208589999999</v>
      </c>
      <c r="D18" s="18">
        <v>0.88800000000000001</v>
      </c>
      <c r="E18" s="18">
        <v>46.66</v>
      </c>
      <c r="F18" s="18">
        <v>1.93</v>
      </c>
      <c r="G18" s="18">
        <v>0.497</v>
      </c>
      <c r="H18" s="15">
        <v>1</v>
      </c>
      <c r="I18" s="18">
        <f t="shared" ref="I18:J20" si="6">F18</f>
        <v>1.93</v>
      </c>
      <c r="J18" s="18">
        <f t="shared" si="6"/>
        <v>0.497</v>
      </c>
      <c r="K18" s="15">
        <v>16467</v>
      </c>
      <c r="L18" s="15">
        <f t="shared" si="1"/>
        <v>796</v>
      </c>
      <c r="M18" s="15">
        <f t="shared" si="2"/>
        <v>3</v>
      </c>
      <c r="N18" s="20">
        <f t="shared" si="3"/>
        <v>0.9</v>
      </c>
    </row>
    <row r="19" spans="1:14">
      <c r="A19" s="15" t="s">
        <v>68</v>
      </c>
      <c r="B19" s="15">
        <v>3300</v>
      </c>
      <c r="C19" s="17">
        <v>0.96929374989999995</v>
      </c>
      <c r="D19" s="18">
        <v>0.28699999999999998</v>
      </c>
      <c r="E19" s="18">
        <v>46.66</v>
      </c>
      <c r="F19" s="18">
        <v>1.2</v>
      </c>
      <c r="G19" s="18">
        <v>6.4000000000000001E-2</v>
      </c>
      <c r="H19" s="15">
        <v>1</v>
      </c>
      <c r="I19" s="18">
        <f t="shared" si="6"/>
        <v>1.2</v>
      </c>
      <c r="J19" s="18">
        <f t="shared" si="6"/>
        <v>6.4000000000000001E-2</v>
      </c>
      <c r="K19" s="15">
        <v>470</v>
      </c>
      <c r="L19" s="15">
        <f t="shared" si="1"/>
        <v>1334</v>
      </c>
      <c r="M19" s="15">
        <f t="shared" si="2"/>
        <v>4</v>
      </c>
      <c r="N19" s="20">
        <f t="shared" si="3"/>
        <v>0.2</v>
      </c>
    </row>
    <row r="20" spans="1:14">
      <c r="A20" s="15" t="s">
        <v>68</v>
      </c>
      <c r="B20" s="15">
        <v>3300</v>
      </c>
      <c r="C20" s="17">
        <v>3.3462440918</v>
      </c>
      <c r="D20" s="18">
        <v>0.28699999999999998</v>
      </c>
      <c r="E20" s="18">
        <v>46.66</v>
      </c>
      <c r="F20" s="18">
        <v>1.2</v>
      </c>
      <c r="G20" s="18">
        <v>6.4000000000000001E-2</v>
      </c>
      <c r="H20" s="15">
        <v>1</v>
      </c>
      <c r="I20" s="18">
        <f t="shared" si="6"/>
        <v>1.2</v>
      </c>
      <c r="J20" s="18">
        <f t="shared" si="6"/>
        <v>6.4000000000000001E-2</v>
      </c>
      <c r="K20" s="15">
        <v>2397</v>
      </c>
      <c r="L20" s="15">
        <f t="shared" si="1"/>
        <v>4606</v>
      </c>
      <c r="M20" s="15">
        <f t="shared" si="2"/>
        <v>12</v>
      </c>
      <c r="N20" s="20">
        <f t="shared" si="3"/>
        <v>0.6</v>
      </c>
    </row>
    <row r="21" spans="1:14">
      <c r="A21" s="15" t="s">
        <v>68</v>
      </c>
      <c r="B21" s="15">
        <v>1200</v>
      </c>
      <c r="C21" s="17">
        <v>1.42118138E-2</v>
      </c>
      <c r="D21" s="18">
        <v>0.38900000000000001</v>
      </c>
      <c r="E21" s="18">
        <v>46.66</v>
      </c>
      <c r="F21" s="18">
        <v>2.23</v>
      </c>
      <c r="G21" s="18">
        <v>0.316</v>
      </c>
      <c r="H21" s="15">
        <v>0</v>
      </c>
      <c r="I21" s="18">
        <f>0.7*F21</f>
        <v>1.5609999999999999</v>
      </c>
      <c r="J21" s="18">
        <f>0.5*G21</f>
        <v>0.158</v>
      </c>
      <c r="K21" s="15">
        <v>131</v>
      </c>
      <c r="L21" s="15">
        <f t="shared" si="1"/>
        <v>27</v>
      </c>
      <c r="M21" s="15">
        <f t="shared" si="2"/>
        <v>0</v>
      </c>
      <c r="N21" s="20">
        <f t="shared" si="3"/>
        <v>0</v>
      </c>
    </row>
    <row r="22" spans="1:14">
      <c r="A22" s="15" t="s">
        <v>68</v>
      </c>
      <c r="B22" s="15">
        <v>3300</v>
      </c>
      <c r="C22" s="17">
        <v>2.8392467420999998</v>
      </c>
      <c r="D22" s="18">
        <v>0.28699999999999998</v>
      </c>
      <c r="E22" s="18">
        <v>46.66</v>
      </c>
      <c r="F22" s="18">
        <v>1.2</v>
      </c>
      <c r="G22" s="18">
        <v>6.4000000000000001E-2</v>
      </c>
      <c r="H22" s="15">
        <v>1</v>
      </c>
      <c r="I22" s="18">
        <f t="shared" ref="I22:J25" si="7">F22</f>
        <v>1.2</v>
      </c>
      <c r="J22" s="18">
        <f t="shared" si="7"/>
        <v>6.4000000000000001E-2</v>
      </c>
      <c r="K22" s="15">
        <v>1889</v>
      </c>
      <c r="L22" s="15">
        <f t="shared" si="1"/>
        <v>3908</v>
      </c>
      <c r="M22" s="15">
        <f t="shared" si="2"/>
        <v>10</v>
      </c>
      <c r="N22" s="20">
        <f t="shared" si="3"/>
        <v>0.6</v>
      </c>
    </row>
    <row r="23" spans="1:14">
      <c r="A23" s="15" t="s">
        <v>68</v>
      </c>
      <c r="B23" s="15">
        <v>1700</v>
      </c>
      <c r="C23" s="17">
        <v>0.287864815</v>
      </c>
      <c r="D23" s="18">
        <v>0.78600000000000003</v>
      </c>
      <c r="E23" s="18">
        <v>46.66</v>
      </c>
      <c r="F23" s="18">
        <v>1.8</v>
      </c>
      <c r="G23" s="18">
        <v>0.47799999999999998</v>
      </c>
      <c r="H23" s="15">
        <v>1</v>
      </c>
      <c r="I23" s="18">
        <f t="shared" si="7"/>
        <v>1.8</v>
      </c>
      <c r="J23" s="18">
        <f t="shared" si="7"/>
        <v>0.47799999999999998</v>
      </c>
      <c r="K23" s="15">
        <v>4457</v>
      </c>
      <c r="L23" s="15">
        <f t="shared" si="1"/>
        <v>1085</v>
      </c>
      <c r="M23" s="15">
        <f t="shared" si="2"/>
        <v>4</v>
      </c>
      <c r="N23" s="20">
        <f t="shared" si="3"/>
        <v>1.1000000000000001</v>
      </c>
    </row>
    <row r="24" spans="1:14">
      <c r="A24" s="15" t="s">
        <v>68</v>
      </c>
      <c r="B24" s="15">
        <v>7400</v>
      </c>
      <c r="C24" s="17">
        <v>1.6904756616000001</v>
      </c>
      <c r="D24" s="18">
        <v>0.20200000000000001</v>
      </c>
      <c r="E24" s="18">
        <v>46.66</v>
      </c>
      <c r="F24" s="18">
        <v>1.38</v>
      </c>
      <c r="G24" s="18">
        <v>0.109</v>
      </c>
      <c r="H24" s="15">
        <v>1</v>
      </c>
      <c r="I24" s="18">
        <f t="shared" si="7"/>
        <v>1.38</v>
      </c>
      <c r="J24" s="18">
        <f t="shared" si="7"/>
        <v>0.109</v>
      </c>
      <c r="K24" s="15">
        <v>677</v>
      </c>
      <c r="L24" s="15">
        <f t="shared" si="1"/>
        <v>1638</v>
      </c>
      <c r="M24" s="15">
        <f t="shared" si="2"/>
        <v>5</v>
      </c>
      <c r="N24" s="20">
        <f t="shared" si="3"/>
        <v>0.4</v>
      </c>
    </row>
    <row r="25" spans="1:14">
      <c r="A25" s="15" t="s">
        <v>68</v>
      </c>
      <c r="B25" s="15">
        <v>7400</v>
      </c>
      <c r="C25" s="17">
        <v>9.8402297799999996E-2</v>
      </c>
      <c r="D25" s="18">
        <v>0.20200000000000001</v>
      </c>
      <c r="E25" s="18">
        <v>46.66</v>
      </c>
      <c r="F25" s="18">
        <v>1.38</v>
      </c>
      <c r="G25" s="18">
        <v>0.109</v>
      </c>
      <c r="H25" s="15">
        <v>1</v>
      </c>
      <c r="I25" s="18">
        <f t="shared" si="7"/>
        <v>1.38</v>
      </c>
      <c r="J25" s="18">
        <f t="shared" si="7"/>
        <v>0.109</v>
      </c>
      <c r="K25" s="15">
        <v>33</v>
      </c>
      <c r="L25" s="15">
        <f t="shared" si="1"/>
        <v>95</v>
      </c>
      <c r="M25" s="15">
        <f t="shared" si="2"/>
        <v>0</v>
      </c>
      <c r="N25" s="20">
        <f t="shared" si="3"/>
        <v>0</v>
      </c>
    </row>
    <row r="26" spans="1:14">
      <c r="A26" s="15" t="s">
        <v>68</v>
      </c>
      <c r="B26" s="15">
        <v>1700</v>
      </c>
      <c r="C26" s="17">
        <v>0.15157108650000001</v>
      </c>
      <c r="D26" s="18">
        <v>0.78600000000000003</v>
      </c>
      <c r="E26" s="18">
        <v>46.66</v>
      </c>
      <c r="F26" s="18">
        <v>1.8</v>
      </c>
      <c r="G26" s="18">
        <v>0.47799999999999998</v>
      </c>
      <c r="H26" s="15">
        <v>0</v>
      </c>
      <c r="I26" s="18">
        <f>0.7*F26</f>
        <v>1.26</v>
      </c>
      <c r="J26" s="18">
        <f>0.5*G26</f>
        <v>0.23899999999999999</v>
      </c>
      <c r="K26" s="15">
        <v>196</v>
      </c>
      <c r="L26" s="15">
        <f t="shared" si="1"/>
        <v>571</v>
      </c>
      <c r="M26" s="15">
        <f t="shared" si="2"/>
        <v>2</v>
      </c>
      <c r="N26" s="20">
        <f t="shared" si="3"/>
        <v>0.3</v>
      </c>
    </row>
    <row r="27" spans="1:14">
      <c r="A27" s="15" t="s">
        <v>68</v>
      </c>
      <c r="B27" s="15">
        <v>7400</v>
      </c>
      <c r="C27" s="17">
        <v>0.12313279019999999</v>
      </c>
      <c r="D27" s="18">
        <v>0.191</v>
      </c>
      <c r="E27" s="18">
        <v>46.66</v>
      </c>
      <c r="F27" s="18">
        <v>1.38</v>
      </c>
      <c r="G27" s="18">
        <v>0.109</v>
      </c>
      <c r="H27" s="15">
        <v>1</v>
      </c>
      <c r="I27" s="18">
        <f t="shared" ref="I27:J30" si="8">F27</f>
        <v>1.38</v>
      </c>
      <c r="J27" s="18">
        <f t="shared" si="8"/>
        <v>0.109</v>
      </c>
      <c r="K27" s="15">
        <v>46</v>
      </c>
      <c r="L27" s="15">
        <f t="shared" si="1"/>
        <v>113</v>
      </c>
      <c r="M27" s="15">
        <f t="shared" si="2"/>
        <v>0</v>
      </c>
      <c r="N27" s="20">
        <f t="shared" si="3"/>
        <v>0</v>
      </c>
    </row>
    <row r="28" spans="1:14">
      <c r="A28" s="15" t="s">
        <v>68</v>
      </c>
      <c r="B28" s="15">
        <v>7400</v>
      </c>
      <c r="C28" s="17">
        <v>0.29275030950000003</v>
      </c>
      <c r="D28" s="18">
        <v>0.20200000000000001</v>
      </c>
      <c r="E28" s="18">
        <v>46.66</v>
      </c>
      <c r="F28" s="18">
        <v>1.38</v>
      </c>
      <c r="G28" s="18">
        <v>0.109</v>
      </c>
      <c r="H28" s="15">
        <v>1</v>
      </c>
      <c r="I28" s="18">
        <f t="shared" si="8"/>
        <v>1.38</v>
      </c>
      <c r="J28" s="18">
        <f t="shared" si="8"/>
        <v>0.109</v>
      </c>
      <c r="K28" s="15">
        <v>4404</v>
      </c>
      <c r="L28" s="15">
        <f t="shared" si="1"/>
        <v>284</v>
      </c>
      <c r="M28" s="15">
        <f t="shared" si="2"/>
        <v>1</v>
      </c>
      <c r="N28" s="20">
        <f t="shared" si="3"/>
        <v>0.1</v>
      </c>
    </row>
    <row r="29" spans="1:14">
      <c r="A29" s="15" t="s">
        <v>68</v>
      </c>
      <c r="B29" s="15">
        <v>7400</v>
      </c>
      <c r="C29" s="17">
        <v>1.6330681229999999</v>
      </c>
      <c r="D29" s="18">
        <v>0.191</v>
      </c>
      <c r="E29" s="18">
        <v>46.66</v>
      </c>
      <c r="F29" s="18">
        <v>1.38</v>
      </c>
      <c r="G29" s="18">
        <v>0.109</v>
      </c>
      <c r="H29" s="15">
        <v>1</v>
      </c>
      <c r="I29" s="18">
        <f t="shared" si="8"/>
        <v>1.38</v>
      </c>
      <c r="J29" s="18">
        <f t="shared" si="8"/>
        <v>0.109</v>
      </c>
      <c r="K29" s="15">
        <v>789</v>
      </c>
      <c r="L29" s="15">
        <f t="shared" si="1"/>
        <v>1496</v>
      </c>
      <c r="M29" s="15">
        <f t="shared" si="2"/>
        <v>5</v>
      </c>
      <c r="N29" s="20">
        <f t="shared" si="3"/>
        <v>0.4</v>
      </c>
    </row>
    <row r="30" spans="1:14">
      <c r="A30" s="15" t="s">
        <v>68</v>
      </c>
      <c r="B30" s="15">
        <v>7400</v>
      </c>
      <c r="C30" s="17">
        <v>0.11313098069999999</v>
      </c>
      <c r="D30" s="18">
        <v>0.20200000000000001</v>
      </c>
      <c r="E30" s="18">
        <v>46.66</v>
      </c>
      <c r="F30" s="18">
        <v>1.38</v>
      </c>
      <c r="G30" s="18">
        <v>0.109</v>
      </c>
      <c r="H30" s="15">
        <v>1</v>
      </c>
      <c r="I30" s="18">
        <f t="shared" si="8"/>
        <v>1.38</v>
      </c>
      <c r="J30" s="18">
        <f t="shared" si="8"/>
        <v>0.109</v>
      </c>
      <c r="K30" s="15">
        <v>94</v>
      </c>
      <c r="L30" s="15">
        <f t="shared" si="1"/>
        <v>110</v>
      </c>
      <c r="M30" s="15">
        <f t="shared" si="2"/>
        <v>0</v>
      </c>
      <c r="N30" s="20">
        <f t="shared" si="3"/>
        <v>0</v>
      </c>
    </row>
    <row r="31" spans="1:14">
      <c r="C31" s="17">
        <f>SUM(C2:C30)</f>
        <v>216.21714410609994</v>
      </c>
      <c r="M31" s="15">
        <f>SUM(M2:M30)</f>
        <v>1918</v>
      </c>
      <c r="N31" s="20">
        <f>SUM(N2:N30)</f>
        <v>279.30000000000007</v>
      </c>
    </row>
  </sheetData>
  <pageMargins left="0.7" right="0.7" top="0.75" bottom="0.75" header="0.3" footer="0.3"/>
  <pageSetup scale="8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"/>
  <sheetViews>
    <sheetView zoomScaleNormal="100" workbookViewId="0">
      <selection activeCell="N2" sqref="N2"/>
    </sheetView>
  </sheetViews>
  <sheetFormatPr defaultRowHeight="15"/>
  <cols>
    <col min="1" max="1" width="14.28515625" style="15" bestFit="1" customWidth="1"/>
    <col min="2" max="2" width="9.7109375" style="15" customWidth="1"/>
    <col min="3" max="3" width="14.7109375" style="15" bestFit="1" customWidth="1"/>
    <col min="4" max="4" width="6.85546875" style="16" bestFit="1" customWidth="1"/>
    <col min="5" max="5" width="13.7109375" style="16" bestFit="1" customWidth="1"/>
    <col min="6" max="6" width="9.42578125" style="16" bestFit="1" customWidth="1"/>
    <col min="7" max="7" width="9.140625" style="15" bestFit="1" customWidth="1"/>
    <col min="8" max="8" width="11.28515625" style="15" bestFit="1" customWidth="1"/>
    <col min="9" max="10" width="9" style="15" customWidth="1"/>
    <col min="11" max="11" width="12.42578125" style="15" bestFit="1" customWidth="1"/>
    <col min="12" max="12" width="14.85546875" style="16" customWidth="1"/>
    <col min="13" max="13" width="10.140625" style="17" customWidth="1"/>
    <col min="14" max="14" width="8.85546875" customWidth="1"/>
  </cols>
  <sheetData>
    <row r="1" spans="1:14" ht="30">
      <c r="A1" s="15" t="s">
        <v>67</v>
      </c>
      <c r="B1" s="15" t="s">
        <v>46</v>
      </c>
      <c r="C1" s="17" t="s">
        <v>53</v>
      </c>
      <c r="D1" s="16" t="s">
        <v>47</v>
      </c>
      <c r="E1" s="16" t="s">
        <v>52</v>
      </c>
      <c r="F1" s="16" t="s">
        <v>48</v>
      </c>
      <c r="G1" s="16" t="s">
        <v>49</v>
      </c>
      <c r="H1" s="15" t="s">
        <v>51</v>
      </c>
      <c r="I1" s="16" t="s">
        <v>55</v>
      </c>
      <c r="J1" s="16" t="s">
        <v>56</v>
      </c>
      <c r="K1" s="15" t="s">
        <v>50</v>
      </c>
      <c r="L1" s="19" t="s">
        <v>57</v>
      </c>
      <c r="M1" s="19" t="s">
        <v>58</v>
      </c>
      <c r="N1" s="19" t="s">
        <v>59</v>
      </c>
    </row>
    <row r="2" spans="1:14">
      <c r="A2" s="15" t="s">
        <v>68</v>
      </c>
      <c r="B2" s="15">
        <v>1200</v>
      </c>
      <c r="C2" s="17">
        <v>3.4672923313999999</v>
      </c>
      <c r="D2" s="18">
        <v>0.38900000000000001</v>
      </c>
      <c r="E2" s="18">
        <v>46.66</v>
      </c>
      <c r="F2" s="18">
        <v>2.23</v>
      </c>
      <c r="G2" s="18">
        <v>0.316</v>
      </c>
      <c r="H2" s="15">
        <v>1</v>
      </c>
      <c r="I2" s="18">
        <f>F2</f>
        <v>2.23</v>
      </c>
      <c r="J2" s="18">
        <f>G2</f>
        <v>0.316</v>
      </c>
      <c r="K2" s="15">
        <v>447612</v>
      </c>
      <c r="L2" s="15">
        <f>ROUND(E2*D2*C2*102.79,0)</f>
        <v>6469</v>
      </c>
      <c r="M2" s="15">
        <f>ROUND(I2*L2*0.002205,0)</f>
        <v>32</v>
      </c>
      <c r="N2" s="20">
        <f>ROUND(J2*L2*0.002205,1)</f>
        <v>4.5</v>
      </c>
    </row>
    <row r="3" spans="1:14">
      <c r="A3" s="15" t="s">
        <v>68</v>
      </c>
      <c r="B3" s="15">
        <v>1200</v>
      </c>
      <c r="C3" s="17">
        <v>7.1439906299999995E-2</v>
      </c>
      <c r="D3" s="18">
        <v>0.22</v>
      </c>
      <c r="E3" s="18">
        <v>46.66</v>
      </c>
      <c r="F3" s="18">
        <v>2.23</v>
      </c>
      <c r="G3" s="18">
        <v>0.316</v>
      </c>
      <c r="H3" s="15">
        <v>1</v>
      </c>
      <c r="I3" s="18">
        <f>F3</f>
        <v>2.23</v>
      </c>
      <c r="J3" s="18">
        <f>G3</f>
        <v>0.316</v>
      </c>
      <c r="K3" s="15">
        <v>10613</v>
      </c>
      <c r="L3" s="15">
        <f>ROUND(E3*D3*C3*102.79,0)</f>
        <v>75</v>
      </c>
      <c r="M3" s="15">
        <f>ROUND(I3*L3*0.002205,0)</f>
        <v>0</v>
      </c>
      <c r="N3" s="20">
        <f>ROUND(J3*L3*0.002205,1)</f>
        <v>0.1</v>
      </c>
    </row>
    <row r="4" spans="1:14">
      <c r="C4" s="15">
        <f>SUM(C2:C3)</f>
        <v>3.5387322377000001</v>
      </c>
      <c r="M4" s="15">
        <f>SUM(M2:M3)</f>
        <v>32</v>
      </c>
      <c r="N4" s="20">
        <f>SUM(N2:N3)</f>
        <v>4.5999999999999996</v>
      </c>
    </row>
  </sheetData>
  <pageMargins left="0.7" right="0.7" top="0.75" bottom="0.75" header="0.3" footer="0.3"/>
  <pageSetup scale="7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9"/>
  <sheetViews>
    <sheetView zoomScaleNormal="100" workbookViewId="0">
      <selection activeCell="N2" sqref="N2"/>
    </sheetView>
  </sheetViews>
  <sheetFormatPr defaultRowHeight="15"/>
  <cols>
    <col min="1" max="1" width="14.28515625" style="15" bestFit="1" customWidth="1"/>
    <col min="2" max="2" width="9.7109375" style="15" customWidth="1"/>
    <col min="3" max="3" width="16.140625" style="15" bestFit="1" customWidth="1"/>
    <col min="4" max="4" width="6.85546875" style="16" bestFit="1" customWidth="1"/>
    <col min="5" max="5" width="13.7109375" style="16" bestFit="1" customWidth="1"/>
    <col min="6" max="6" width="9.42578125" style="16" bestFit="1" customWidth="1"/>
    <col min="7" max="7" width="9.140625" style="16" bestFit="1" customWidth="1"/>
    <col min="8" max="8" width="11.28515625" style="15" bestFit="1" customWidth="1"/>
    <col min="9" max="10" width="9" style="16" customWidth="1"/>
    <col min="11" max="11" width="12.42578125" style="15" bestFit="1" customWidth="1"/>
    <col min="12" max="12" width="15.42578125" customWidth="1"/>
    <col min="13" max="13" width="8.7109375" style="16" customWidth="1"/>
    <col min="14" max="14" width="10.5703125" style="17" customWidth="1"/>
  </cols>
  <sheetData>
    <row r="1" spans="1:14" ht="30">
      <c r="A1" s="15" t="s">
        <v>67</v>
      </c>
      <c r="B1" s="15" t="s">
        <v>46</v>
      </c>
      <c r="C1" s="17" t="s">
        <v>53</v>
      </c>
      <c r="D1" s="16" t="s">
        <v>47</v>
      </c>
      <c r="E1" s="16" t="s">
        <v>52</v>
      </c>
      <c r="F1" s="16" t="s">
        <v>48</v>
      </c>
      <c r="G1" s="16" t="s">
        <v>49</v>
      </c>
      <c r="H1" s="15" t="s">
        <v>51</v>
      </c>
      <c r="I1" s="16" t="s">
        <v>69</v>
      </c>
      <c r="J1" s="16" t="s">
        <v>56</v>
      </c>
      <c r="K1" s="15" t="s">
        <v>50</v>
      </c>
      <c r="L1" s="19" t="s">
        <v>57</v>
      </c>
      <c r="M1" s="19" t="s">
        <v>58</v>
      </c>
      <c r="N1" s="19" t="s">
        <v>59</v>
      </c>
    </row>
    <row r="2" spans="1:14">
      <c r="A2" s="15" t="s">
        <v>68</v>
      </c>
      <c r="B2" s="15">
        <v>1200</v>
      </c>
      <c r="C2" s="17">
        <v>37.371857024000001</v>
      </c>
      <c r="D2" s="18">
        <v>0.38900000000000001</v>
      </c>
      <c r="E2" s="18">
        <v>46.66</v>
      </c>
      <c r="F2" s="18">
        <v>2.23</v>
      </c>
      <c r="G2" s="18">
        <v>0.316</v>
      </c>
      <c r="H2" s="15">
        <v>1</v>
      </c>
      <c r="I2" s="18">
        <f>F2</f>
        <v>2.23</v>
      </c>
      <c r="J2" s="18">
        <f>G2</f>
        <v>0.316</v>
      </c>
      <c r="K2" s="15">
        <v>447612</v>
      </c>
      <c r="L2" s="15">
        <f>ROUND(E2*D2*C2*102.79,0)</f>
        <v>69725</v>
      </c>
      <c r="M2" s="15">
        <f>ROUND(I2*L2*0.002205,0)</f>
        <v>343</v>
      </c>
      <c r="N2" s="20">
        <f>ROUND(J2*L2*0.002205,1)</f>
        <v>48.6</v>
      </c>
    </row>
    <row r="3" spans="1:14">
      <c r="A3" s="15" t="s">
        <v>68</v>
      </c>
      <c r="B3" s="15">
        <v>1200</v>
      </c>
      <c r="C3" s="17">
        <v>16.8541861014</v>
      </c>
      <c r="D3" s="18">
        <v>0.22</v>
      </c>
      <c r="E3" s="18">
        <v>46.66</v>
      </c>
      <c r="F3" s="18">
        <v>2.23</v>
      </c>
      <c r="G3" s="18">
        <v>0.316</v>
      </c>
      <c r="H3" s="15">
        <v>1</v>
      </c>
      <c r="I3" s="18">
        <f t="shared" ref="I3:I8" si="0">F3</f>
        <v>2.23</v>
      </c>
      <c r="J3" s="18">
        <f t="shared" ref="J3:J8" si="1">G3</f>
        <v>0.316</v>
      </c>
      <c r="K3" s="15">
        <v>10613</v>
      </c>
      <c r="L3" s="15">
        <f t="shared" ref="L3:L8" si="2">ROUND(E3*D3*C3*102.79,0)</f>
        <v>17784</v>
      </c>
      <c r="M3" s="15">
        <f t="shared" ref="M3:M8" si="3">ROUND(I3*L3*0.002205,0)</f>
        <v>87</v>
      </c>
      <c r="N3" s="20">
        <f t="shared" ref="N3:N8" si="4">ROUND(J3*L3*0.002205,1)</f>
        <v>12.4</v>
      </c>
    </row>
    <row r="4" spans="1:14">
      <c r="A4" s="15" t="s">
        <v>68</v>
      </c>
      <c r="B4" s="15">
        <v>1200</v>
      </c>
      <c r="C4" s="17">
        <v>2.1035618305999999</v>
      </c>
      <c r="D4" s="18">
        <v>0.30399999999999999</v>
      </c>
      <c r="E4" s="18">
        <v>46.66</v>
      </c>
      <c r="F4" s="18">
        <v>2.23</v>
      </c>
      <c r="G4" s="18">
        <v>0.316</v>
      </c>
      <c r="H4" s="15">
        <v>1</v>
      </c>
      <c r="I4" s="18">
        <f t="shared" si="0"/>
        <v>2.23</v>
      </c>
      <c r="J4" s="18">
        <f t="shared" si="1"/>
        <v>0.316</v>
      </c>
      <c r="K4" s="15">
        <v>4042</v>
      </c>
      <c r="L4" s="15">
        <f t="shared" si="2"/>
        <v>3067</v>
      </c>
      <c r="M4" s="15">
        <f t="shared" si="3"/>
        <v>15</v>
      </c>
      <c r="N4" s="20">
        <f t="shared" si="4"/>
        <v>2.1</v>
      </c>
    </row>
    <row r="5" spans="1:14">
      <c r="A5" s="15" t="s">
        <v>68</v>
      </c>
      <c r="B5" s="15">
        <v>1300</v>
      </c>
      <c r="C5" s="17">
        <v>2.2738120000000001E-4</v>
      </c>
      <c r="D5" s="18">
        <v>0.69199999999999995</v>
      </c>
      <c r="E5" s="18">
        <v>46.66</v>
      </c>
      <c r="F5" s="18">
        <v>2.1</v>
      </c>
      <c r="G5" s="18">
        <v>0.51600000000000001</v>
      </c>
      <c r="H5" s="15">
        <v>1</v>
      </c>
      <c r="I5" s="18">
        <f t="shared" si="0"/>
        <v>2.1</v>
      </c>
      <c r="J5" s="18">
        <f t="shared" si="1"/>
        <v>0.51600000000000001</v>
      </c>
      <c r="K5" s="15">
        <v>248</v>
      </c>
      <c r="L5" s="15">
        <f t="shared" si="2"/>
        <v>1</v>
      </c>
      <c r="M5" s="15">
        <f t="shared" si="3"/>
        <v>0</v>
      </c>
      <c r="N5" s="20">
        <f t="shared" si="4"/>
        <v>0</v>
      </c>
    </row>
    <row r="6" spans="1:14">
      <c r="A6" s="15" t="s">
        <v>68</v>
      </c>
      <c r="B6" s="15">
        <v>1200</v>
      </c>
      <c r="C6" s="17">
        <v>2.3472308099999999E-2</v>
      </c>
      <c r="D6" s="18">
        <v>0.38900000000000001</v>
      </c>
      <c r="E6" s="18">
        <v>46.66</v>
      </c>
      <c r="F6" s="18">
        <v>2.23</v>
      </c>
      <c r="G6" s="18">
        <v>0.316</v>
      </c>
      <c r="H6" s="15">
        <v>1</v>
      </c>
      <c r="I6" s="18">
        <f t="shared" si="0"/>
        <v>2.23</v>
      </c>
      <c r="J6" s="18">
        <f t="shared" si="1"/>
        <v>0.316</v>
      </c>
      <c r="K6" s="15">
        <v>30</v>
      </c>
      <c r="L6" s="15">
        <f t="shared" si="2"/>
        <v>44</v>
      </c>
      <c r="M6" s="15">
        <f t="shared" si="3"/>
        <v>0</v>
      </c>
      <c r="N6" s="20">
        <f t="shared" si="4"/>
        <v>0</v>
      </c>
    </row>
    <row r="7" spans="1:14">
      <c r="A7" s="15" t="s">
        <v>68</v>
      </c>
      <c r="B7" s="15">
        <v>1860</v>
      </c>
      <c r="C7" s="17">
        <v>1.4890214765000001</v>
      </c>
      <c r="D7" s="18">
        <v>0.182</v>
      </c>
      <c r="E7" s="18">
        <v>46.66</v>
      </c>
      <c r="F7" s="18">
        <v>1.58</v>
      </c>
      <c r="G7" s="18">
        <v>0.1</v>
      </c>
      <c r="H7" s="15">
        <v>1</v>
      </c>
      <c r="I7" s="18">
        <f t="shared" si="0"/>
        <v>1.58</v>
      </c>
      <c r="J7" s="18">
        <f t="shared" si="1"/>
        <v>0.1</v>
      </c>
      <c r="K7" s="15">
        <v>5059</v>
      </c>
      <c r="L7" s="15">
        <f t="shared" si="2"/>
        <v>1300</v>
      </c>
      <c r="M7" s="15">
        <f t="shared" si="3"/>
        <v>5</v>
      </c>
      <c r="N7" s="20">
        <f t="shared" si="4"/>
        <v>0.3</v>
      </c>
    </row>
    <row r="8" spans="1:14">
      <c r="A8" s="15" t="s">
        <v>68</v>
      </c>
      <c r="B8" s="15">
        <v>1860</v>
      </c>
      <c r="C8" s="17">
        <v>2.1852655999999998E-3</v>
      </c>
      <c r="D8" s="18">
        <v>0.183</v>
      </c>
      <c r="E8" s="18">
        <v>46.66</v>
      </c>
      <c r="F8" s="18">
        <v>1.58</v>
      </c>
      <c r="G8" s="18">
        <v>0.1</v>
      </c>
      <c r="H8" s="15">
        <v>1</v>
      </c>
      <c r="I8" s="18">
        <f t="shared" si="0"/>
        <v>1.58</v>
      </c>
      <c r="J8" s="18">
        <f t="shared" si="1"/>
        <v>0.1</v>
      </c>
      <c r="K8" s="15">
        <v>1</v>
      </c>
      <c r="L8" s="15">
        <f t="shared" si="2"/>
        <v>2</v>
      </c>
      <c r="M8" s="15">
        <f t="shared" si="3"/>
        <v>0</v>
      </c>
      <c r="N8" s="20">
        <f t="shared" si="4"/>
        <v>0</v>
      </c>
    </row>
    <row r="9" spans="1:14">
      <c r="C9" s="17">
        <f>SUM(C2:C8)</f>
        <v>57.84451138739999</v>
      </c>
      <c r="M9" s="15">
        <f>SUM(M2:M8)</f>
        <v>450</v>
      </c>
      <c r="N9" s="20">
        <f>SUM(N2:N8)</f>
        <v>63.4</v>
      </c>
    </row>
  </sheetData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D35" sqref="D35"/>
    </sheetView>
  </sheetViews>
  <sheetFormatPr defaultRowHeight="15"/>
  <cols>
    <col min="1" max="1" width="19.5703125" bestFit="1" customWidth="1"/>
    <col min="3" max="3" width="18.28515625" bestFit="1" customWidth="1"/>
  </cols>
  <sheetData>
    <row r="1" spans="1:3">
      <c r="A1" s="41" t="s">
        <v>30</v>
      </c>
    </row>
    <row r="2" spans="1:3">
      <c r="A2" t="s">
        <v>71</v>
      </c>
      <c r="B2">
        <v>0.06</v>
      </c>
      <c r="C2" t="s">
        <v>70</v>
      </c>
    </row>
    <row r="3" spans="1:3">
      <c r="A3" t="s">
        <v>72</v>
      </c>
      <c r="B3" s="15">
        <f>ROUND((0.8656*B2^0.5403)*100,0)</f>
        <v>19</v>
      </c>
      <c r="C3" t="s">
        <v>84</v>
      </c>
    </row>
    <row r="5" spans="1:3">
      <c r="A5" s="41" t="s">
        <v>32</v>
      </c>
    </row>
    <row r="6" spans="1:3">
      <c r="A6" t="s">
        <v>71</v>
      </c>
      <c r="B6">
        <v>0.15</v>
      </c>
      <c r="C6" t="s">
        <v>70</v>
      </c>
    </row>
    <row r="7" spans="1:3">
      <c r="A7" t="s">
        <v>72</v>
      </c>
      <c r="B7" s="15">
        <f>ROUND((0.8656*B6^0.5403)*100,0)</f>
        <v>31</v>
      </c>
      <c r="C7" t="s">
        <v>84</v>
      </c>
    </row>
    <row r="9" spans="1:3">
      <c r="A9" s="41" t="s">
        <v>34</v>
      </c>
    </row>
    <row r="10" spans="1:3">
      <c r="A10" t="s">
        <v>71</v>
      </c>
      <c r="B10">
        <v>0.1</v>
      </c>
      <c r="C10" t="s">
        <v>70</v>
      </c>
    </row>
    <row r="11" spans="1:3">
      <c r="A11" t="s">
        <v>72</v>
      </c>
      <c r="B11" s="15">
        <f>ROUND((0.8656*B10^0.5403)*100,0)</f>
        <v>25</v>
      </c>
      <c r="C11" t="s">
        <v>84</v>
      </c>
    </row>
    <row r="13" spans="1:3">
      <c r="A13" s="41" t="s">
        <v>36</v>
      </c>
    </row>
    <row r="14" spans="1:3">
      <c r="A14" t="s">
        <v>71</v>
      </c>
      <c r="B14">
        <v>7.0000000000000007E-2</v>
      </c>
      <c r="C14" t="s">
        <v>70</v>
      </c>
    </row>
    <row r="15" spans="1:3">
      <c r="A15" t="s">
        <v>72</v>
      </c>
      <c r="B15" s="15">
        <f>ROUND((0.8656*B14^0.5403)*100,0)</f>
        <v>21</v>
      </c>
      <c r="C15" t="s">
        <v>84</v>
      </c>
    </row>
    <row r="17" spans="1:3">
      <c r="A17" s="41" t="s">
        <v>73</v>
      </c>
    </row>
    <row r="18" spans="1:3">
      <c r="A18" t="s">
        <v>71</v>
      </c>
      <c r="B18">
        <v>0.01</v>
      </c>
      <c r="C18" t="s">
        <v>70</v>
      </c>
    </row>
    <row r="19" spans="1:3">
      <c r="A19" t="s">
        <v>72</v>
      </c>
      <c r="B19" s="15">
        <f>ROUND((0.8656*B18^0.5403)*100,0)</f>
        <v>7</v>
      </c>
      <c r="C19" t="s">
        <v>84</v>
      </c>
    </row>
    <row r="21" spans="1:3">
      <c r="A21" s="41" t="s">
        <v>74</v>
      </c>
    </row>
    <row r="22" spans="1:3">
      <c r="A22" t="s">
        <v>71</v>
      </c>
      <c r="B22">
        <v>0.02</v>
      </c>
      <c r="C22" t="s">
        <v>70</v>
      </c>
    </row>
    <row r="23" spans="1:3">
      <c r="A23" t="s">
        <v>72</v>
      </c>
      <c r="B23" s="15">
        <f>ROUND((0.8656*B22^0.5403)*100,0)</f>
        <v>10</v>
      </c>
      <c r="C23" t="s">
        <v>84</v>
      </c>
    </row>
    <row r="25" spans="1:3">
      <c r="A25" s="41" t="s">
        <v>38</v>
      </c>
    </row>
    <row r="26" spans="1:3">
      <c r="A26" t="s">
        <v>71</v>
      </c>
      <c r="B26">
        <v>0.23</v>
      </c>
      <c r="C26" t="s">
        <v>70</v>
      </c>
    </row>
    <row r="27" spans="1:3">
      <c r="A27" t="s">
        <v>72</v>
      </c>
      <c r="B27" s="15">
        <f>ROUND((0.8656*B26^0.5403)*100,0)</f>
        <v>39</v>
      </c>
      <c r="C27" t="s">
        <v>84</v>
      </c>
    </row>
    <row r="29" spans="1:3">
      <c r="A29" s="41" t="s">
        <v>41</v>
      </c>
    </row>
    <row r="30" spans="1:3">
      <c r="A30" t="s">
        <v>71</v>
      </c>
      <c r="B30">
        <v>0.4</v>
      </c>
      <c r="C30" t="s">
        <v>70</v>
      </c>
    </row>
    <row r="31" spans="1:3">
      <c r="A31" t="s">
        <v>72</v>
      </c>
      <c r="B31" s="15">
        <f>ROUND((0.8656*B30^0.5403)*100,0)</f>
        <v>53</v>
      </c>
      <c r="C31" t="s">
        <v>84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A41" sqref="A41"/>
    </sheetView>
  </sheetViews>
  <sheetFormatPr defaultRowHeight="15"/>
  <cols>
    <col min="1" max="1" width="17.42578125" bestFit="1" customWidth="1"/>
  </cols>
  <sheetData>
    <row r="1" spans="1:3">
      <c r="A1" s="41" t="s">
        <v>86</v>
      </c>
      <c r="B1" s="1"/>
    </row>
    <row r="2" spans="1:3">
      <c r="A2" s="1" t="s">
        <v>76</v>
      </c>
      <c r="B2" t="s">
        <v>77</v>
      </c>
    </row>
    <row r="3" spans="1:3">
      <c r="A3" s="1" t="s">
        <v>78</v>
      </c>
      <c r="B3" s="1">
        <v>13.7</v>
      </c>
      <c r="C3" t="s">
        <v>79</v>
      </c>
    </row>
    <row r="4" spans="1:3">
      <c r="A4" s="1" t="s">
        <v>80</v>
      </c>
      <c r="B4" s="42">
        <f>'12 Jamaica Ponds'!L31</f>
        <v>323.92941195597831</v>
      </c>
      <c r="C4" t="s">
        <v>81</v>
      </c>
    </row>
    <row r="5" spans="1:3">
      <c r="A5" t="s">
        <v>82</v>
      </c>
      <c r="B5" s="1">
        <f>ROUND((B3/B4)*365,0)</f>
        <v>15</v>
      </c>
      <c r="C5" t="s">
        <v>88</v>
      </c>
    </row>
    <row r="6" spans="1:3">
      <c r="A6" t="s">
        <v>85</v>
      </c>
      <c r="B6" s="1">
        <f>ROUND(44.53+6.146*LN(B5)+0.145*(LN(B5)*2),1)</f>
        <v>62</v>
      </c>
      <c r="C6" t="s">
        <v>84</v>
      </c>
    </row>
    <row r="7" spans="1:3">
      <c r="A7" t="s">
        <v>83</v>
      </c>
      <c r="B7" s="1">
        <f>ROUND((43.75*B5)/(4.38+B5),1)</f>
        <v>33.9</v>
      </c>
      <c r="C7" t="s">
        <v>84</v>
      </c>
    </row>
    <row r="11" spans="1:3">
      <c r="A11" t="s">
        <v>89</v>
      </c>
    </row>
    <row r="12" spans="1:3">
      <c r="A12" t="s">
        <v>90</v>
      </c>
      <c r="B12">
        <v>66.540000000000006</v>
      </c>
      <c r="C12" t="s">
        <v>81</v>
      </c>
    </row>
    <row r="13" spans="1:3">
      <c r="A13" t="s">
        <v>91</v>
      </c>
      <c r="B13" s="15">
        <f>B4</f>
        <v>323.92941195597831</v>
      </c>
      <c r="C13" t="s">
        <v>81</v>
      </c>
    </row>
    <row r="14" spans="1:3">
      <c r="A14" t="s">
        <v>92</v>
      </c>
      <c r="B14">
        <f>ROUND(B12/B13*100,0)</f>
        <v>21</v>
      </c>
      <c r="C14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"/>
  <sheetViews>
    <sheetView zoomScaleNormal="100" workbookViewId="0">
      <selection activeCell="N2" sqref="N2"/>
    </sheetView>
  </sheetViews>
  <sheetFormatPr defaultRowHeight="15"/>
  <cols>
    <col min="1" max="1" width="14.28515625" style="15" bestFit="1" customWidth="1"/>
    <col min="2" max="2" width="9.7109375" style="15" customWidth="1"/>
    <col min="3" max="3" width="15.42578125" style="15" bestFit="1" customWidth="1"/>
    <col min="4" max="4" width="6.85546875" style="16" bestFit="1" customWidth="1"/>
    <col min="5" max="5" width="13.7109375" style="16" bestFit="1" customWidth="1"/>
    <col min="6" max="6" width="9.42578125" style="16" bestFit="1" customWidth="1"/>
    <col min="7" max="7" width="9.140625" style="16" bestFit="1" customWidth="1"/>
    <col min="8" max="8" width="11.28515625" style="16" bestFit="1" customWidth="1"/>
    <col min="9" max="10" width="9" style="16" customWidth="1"/>
    <col min="11" max="11" width="12.42578125" style="15" bestFit="1" customWidth="1"/>
    <col min="12" max="12" width="15.28515625" style="15" customWidth="1"/>
    <col min="13" max="13" width="10.7109375" style="16" customWidth="1"/>
    <col min="14" max="14" width="10.140625" style="17" customWidth="1"/>
  </cols>
  <sheetData>
    <row r="1" spans="1:14" ht="30">
      <c r="A1" s="15" t="s">
        <v>67</v>
      </c>
      <c r="B1" s="15" t="s">
        <v>46</v>
      </c>
      <c r="C1" s="17" t="s">
        <v>53</v>
      </c>
      <c r="D1" s="16" t="s">
        <v>47</v>
      </c>
      <c r="E1" s="16" t="s">
        <v>52</v>
      </c>
      <c r="F1" s="16" t="s">
        <v>48</v>
      </c>
      <c r="G1" s="16" t="s">
        <v>49</v>
      </c>
      <c r="H1" s="15" t="s">
        <v>51</v>
      </c>
      <c r="I1" s="16" t="s">
        <v>55</v>
      </c>
      <c r="J1" s="16" t="s">
        <v>56</v>
      </c>
      <c r="K1" s="15" t="s">
        <v>50</v>
      </c>
      <c r="L1" s="19" t="s">
        <v>57</v>
      </c>
      <c r="M1" s="19" t="s">
        <v>58</v>
      </c>
      <c r="N1" s="19" t="s">
        <v>59</v>
      </c>
    </row>
    <row r="2" spans="1:14" ht="14.25" customHeight="1">
      <c r="A2" s="15" t="s">
        <v>68</v>
      </c>
      <c r="B2" s="15">
        <v>1700</v>
      </c>
      <c r="C2" s="17">
        <v>15.254635241000001</v>
      </c>
      <c r="D2" s="18">
        <v>0.78600000000000003</v>
      </c>
      <c r="E2" s="18">
        <v>46.66</v>
      </c>
      <c r="F2" s="18">
        <v>1.8</v>
      </c>
      <c r="G2" s="18">
        <v>0.47799999999999998</v>
      </c>
      <c r="H2" s="15">
        <v>1</v>
      </c>
      <c r="I2" s="18">
        <f>F2</f>
        <v>1.8</v>
      </c>
      <c r="J2" s="18">
        <f>G2</f>
        <v>0.47799999999999998</v>
      </c>
      <c r="K2" s="15">
        <v>101789</v>
      </c>
      <c r="L2" s="15">
        <f>ROUND(E2*D2*C2*102.79,0)</f>
        <v>57507</v>
      </c>
      <c r="M2" s="15">
        <f>ROUND(I2*L2*0.002205,0)</f>
        <v>228</v>
      </c>
      <c r="N2" s="20">
        <f>ROUND(J2*L2*0.002205,1)</f>
        <v>60.6</v>
      </c>
    </row>
    <row r="3" spans="1:14">
      <c r="A3" s="15" t="s">
        <v>68</v>
      </c>
      <c r="B3" s="15">
        <v>1200</v>
      </c>
      <c r="C3" s="17">
        <v>9.4088675170999991</v>
      </c>
      <c r="D3" s="18">
        <v>0.38900000000000001</v>
      </c>
      <c r="E3" s="18">
        <v>46.66</v>
      </c>
      <c r="F3" s="18">
        <v>2.23</v>
      </c>
      <c r="G3" s="18">
        <v>0.316</v>
      </c>
      <c r="H3" s="15">
        <v>1</v>
      </c>
      <c r="I3" s="18">
        <f>F3</f>
        <v>2.23</v>
      </c>
      <c r="J3" s="18">
        <f>G3</f>
        <v>0.316</v>
      </c>
      <c r="K3" s="15">
        <v>447612</v>
      </c>
      <c r="L3" s="15">
        <f>ROUND(E3*D3*C3*102.79,0)</f>
        <v>17554</v>
      </c>
      <c r="M3" s="15">
        <f>ROUND(I3*L3*0.002205,0)</f>
        <v>86</v>
      </c>
      <c r="N3" s="20">
        <f>ROUND(J3*L3*0.002205,1)</f>
        <v>12.2</v>
      </c>
    </row>
    <row r="4" spans="1:14">
      <c r="C4" s="15">
        <f>SUM(C2:C3)</f>
        <v>24.663502758100002</v>
      </c>
      <c r="M4" s="15">
        <f>SUM(M2:M3)</f>
        <v>314</v>
      </c>
      <c r="N4" s="20">
        <f>SUM(N2:N3)</f>
        <v>72.8</v>
      </c>
    </row>
  </sheetData>
  <pageMargins left="0.7" right="0.7" top="0.75" bottom="0.75" header="0.3" footer="0.3"/>
  <pageSetup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4"/>
  <sheetViews>
    <sheetView zoomScaleNormal="100" workbookViewId="0">
      <selection activeCell="N2" sqref="N2"/>
    </sheetView>
  </sheetViews>
  <sheetFormatPr defaultRowHeight="15"/>
  <cols>
    <col min="1" max="1" width="14.42578125" style="15" bestFit="1" customWidth="1"/>
    <col min="2" max="2" width="9.7109375" style="15" customWidth="1"/>
    <col min="3" max="3" width="16.140625" style="15" bestFit="1" customWidth="1"/>
    <col min="4" max="4" width="6.85546875" style="16" bestFit="1" customWidth="1"/>
    <col min="5" max="5" width="13.7109375" style="16" bestFit="1" customWidth="1"/>
    <col min="6" max="6" width="9.42578125" style="16" bestFit="1" customWidth="1"/>
    <col min="7" max="7" width="9.140625" style="16" bestFit="1" customWidth="1"/>
    <col min="8" max="8" width="11.28515625" style="16" bestFit="1" customWidth="1"/>
    <col min="9" max="9" width="11.140625" style="16" customWidth="1"/>
    <col min="10" max="10" width="7.5703125" style="16" bestFit="1" customWidth="1"/>
    <col min="11" max="11" width="12.42578125" style="15" bestFit="1" customWidth="1"/>
    <col min="12" max="12" width="13.85546875" style="15" customWidth="1"/>
    <col min="13" max="13" width="10.7109375" style="16" customWidth="1"/>
    <col min="14" max="14" width="11.28515625" style="17" customWidth="1"/>
  </cols>
  <sheetData>
    <row r="1" spans="1:14" ht="30">
      <c r="A1" s="15" t="s">
        <v>54</v>
      </c>
      <c r="B1" s="15" t="s">
        <v>46</v>
      </c>
      <c r="C1" s="17" t="s">
        <v>53</v>
      </c>
      <c r="D1" s="16" t="s">
        <v>47</v>
      </c>
      <c r="E1" s="16" t="s">
        <v>52</v>
      </c>
      <c r="F1" s="16" t="s">
        <v>48</v>
      </c>
      <c r="G1" s="16" t="s">
        <v>49</v>
      </c>
      <c r="H1" s="15" t="s">
        <v>51</v>
      </c>
      <c r="I1" s="15" t="s">
        <v>55</v>
      </c>
      <c r="J1" s="15" t="s">
        <v>56</v>
      </c>
      <c r="K1" s="15" t="s">
        <v>50</v>
      </c>
      <c r="L1" s="19" t="s">
        <v>57</v>
      </c>
      <c r="M1" s="19" t="s">
        <v>58</v>
      </c>
      <c r="N1" s="19" t="s">
        <v>59</v>
      </c>
    </row>
    <row r="2" spans="1:14">
      <c r="A2" s="15" t="s">
        <v>68</v>
      </c>
      <c r="B2" s="15">
        <v>1700</v>
      </c>
      <c r="C2" s="17">
        <v>15.254635241000001</v>
      </c>
      <c r="D2" s="18">
        <v>0.78600000000000003</v>
      </c>
      <c r="E2" s="18">
        <v>46.66</v>
      </c>
      <c r="F2" s="18">
        <v>1.8</v>
      </c>
      <c r="G2" s="18">
        <v>0.47799999999999998</v>
      </c>
      <c r="H2" s="15">
        <v>1</v>
      </c>
      <c r="I2" s="18">
        <f>F2</f>
        <v>1.8</v>
      </c>
      <c r="J2" s="18">
        <f>G2</f>
        <v>0.47799999999999998</v>
      </c>
      <c r="K2" s="15">
        <v>101789</v>
      </c>
      <c r="L2" s="15">
        <f>ROUND(E2*D2*C2*102.79,0)</f>
        <v>57507</v>
      </c>
      <c r="M2" s="15">
        <f>ROUND(I2*L2*0.002205,0)</f>
        <v>228</v>
      </c>
      <c r="N2" s="20">
        <f>ROUND(J2*L2*0.002205,1)</f>
        <v>60.6</v>
      </c>
    </row>
    <row r="3" spans="1:14">
      <c r="A3" s="15" t="s">
        <v>68</v>
      </c>
      <c r="B3" s="15">
        <v>1200</v>
      </c>
      <c r="C3" s="17">
        <v>9.4088675170999991</v>
      </c>
      <c r="D3" s="18">
        <v>0.38900000000000001</v>
      </c>
      <c r="E3" s="18">
        <v>46.66</v>
      </c>
      <c r="F3" s="18">
        <v>2.23</v>
      </c>
      <c r="G3" s="18">
        <v>0.316</v>
      </c>
      <c r="H3" s="15">
        <v>1</v>
      </c>
      <c r="I3" s="18">
        <f>F3</f>
        <v>2.23</v>
      </c>
      <c r="J3" s="18">
        <f>G3</f>
        <v>0.316</v>
      </c>
      <c r="K3" s="15">
        <v>447612</v>
      </c>
      <c r="L3" s="15">
        <f>ROUND(E3*D3*C3*102.79,0)</f>
        <v>17554</v>
      </c>
      <c r="M3" s="15">
        <f>ROUND(I3*L3*0.002205,0)</f>
        <v>86</v>
      </c>
      <c r="N3" s="20">
        <f>ROUND(J3*L3*0.002205,1)</f>
        <v>12.2</v>
      </c>
    </row>
    <row r="4" spans="1:14">
      <c r="C4" s="17">
        <f>SUM(C2:C3)</f>
        <v>24.663502758100002</v>
      </c>
      <c r="M4" s="15">
        <f>SUM(M2:M3)</f>
        <v>314</v>
      </c>
      <c r="N4" s="20">
        <f>SUM(N2:N3)</f>
        <v>72.8</v>
      </c>
    </row>
  </sheetData>
  <pageMargins left="0.7" right="0.7" top="0.75" bottom="0.75" header="0.3" footer="0.3"/>
  <pageSetup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8"/>
  <sheetViews>
    <sheetView zoomScaleNormal="100" workbookViewId="0">
      <selection activeCell="N2" sqref="N2"/>
    </sheetView>
  </sheetViews>
  <sheetFormatPr defaultRowHeight="15"/>
  <cols>
    <col min="1" max="1" width="14.28515625" style="15" bestFit="1" customWidth="1"/>
    <col min="2" max="2" width="9.7109375" style="15" customWidth="1"/>
    <col min="3" max="3" width="15.140625" style="15" bestFit="1" customWidth="1"/>
    <col min="4" max="4" width="6.85546875" style="16" bestFit="1" customWidth="1"/>
    <col min="5" max="5" width="13.7109375" style="16" bestFit="1" customWidth="1"/>
    <col min="6" max="6" width="9.42578125" style="16" bestFit="1" customWidth="1"/>
    <col min="7" max="7" width="9.140625" style="16" bestFit="1" customWidth="1"/>
    <col min="8" max="8" width="11.28515625" style="16" bestFit="1" customWidth="1"/>
    <col min="9" max="10" width="9" style="16" customWidth="1"/>
    <col min="11" max="11" width="12.42578125" style="15" bestFit="1" customWidth="1"/>
    <col min="12" max="12" width="15" style="15" customWidth="1"/>
    <col min="13" max="13" width="11" style="16" customWidth="1"/>
    <col min="14" max="14" width="10.7109375" style="17" customWidth="1"/>
  </cols>
  <sheetData>
    <row r="1" spans="1:14" ht="30">
      <c r="A1" s="15" t="s">
        <v>67</v>
      </c>
      <c r="B1" s="15" t="s">
        <v>46</v>
      </c>
      <c r="C1" s="17" t="s">
        <v>53</v>
      </c>
      <c r="D1" s="16" t="s">
        <v>47</v>
      </c>
      <c r="E1" s="16" t="s">
        <v>52</v>
      </c>
      <c r="F1" s="16" t="s">
        <v>48</v>
      </c>
      <c r="G1" s="16" t="s">
        <v>49</v>
      </c>
      <c r="H1" s="15" t="s">
        <v>51</v>
      </c>
      <c r="I1" s="16" t="s">
        <v>55</v>
      </c>
      <c r="J1" s="16" t="s">
        <v>56</v>
      </c>
      <c r="K1" s="15" t="s">
        <v>50</v>
      </c>
      <c r="L1" s="19" t="s">
        <v>57</v>
      </c>
      <c r="M1" s="19" t="s">
        <v>58</v>
      </c>
      <c r="N1" s="19" t="s">
        <v>59</v>
      </c>
    </row>
    <row r="2" spans="1:14">
      <c r="A2" s="15" t="s">
        <v>68</v>
      </c>
      <c r="B2" s="15">
        <v>1700</v>
      </c>
      <c r="C2" s="17">
        <v>0.43865480690000003</v>
      </c>
      <c r="D2" s="18">
        <v>0.78600000000000003</v>
      </c>
      <c r="E2" s="18">
        <v>46.66</v>
      </c>
      <c r="F2" s="18">
        <v>1.8</v>
      </c>
      <c r="G2" s="18">
        <v>0.47799999999999998</v>
      </c>
      <c r="H2" s="15">
        <v>1</v>
      </c>
      <c r="I2" s="18">
        <f>F2</f>
        <v>1.8</v>
      </c>
      <c r="J2" s="18">
        <f>G2</f>
        <v>0.47799999999999998</v>
      </c>
      <c r="K2" s="15">
        <v>101789</v>
      </c>
      <c r="L2" s="15">
        <f>ROUND(E2*D2*C2*102.79,0)</f>
        <v>1654</v>
      </c>
      <c r="M2" s="15">
        <f>ROUND(I2*L2*0.002205,0)</f>
        <v>7</v>
      </c>
      <c r="N2" s="20">
        <f>ROUND(J2*L2*0.002205,1)</f>
        <v>1.7</v>
      </c>
    </row>
    <row r="3" spans="1:14">
      <c r="A3" s="15" t="s">
        <v>68</v>
      </c>
      <c r="B3" s="15">
        <v>1400</v>
      </c>
      <c r="C3" s="17">
        <v>0.1624682979</v>
      </c>
      <c r="D3" s="18">
        <v>0.88800000000000001</v>
      </c>
      <c r="E3" s="18">
        <v>46.66</v>
      </c>
      <c r="F3" s="18">
        <v>1.93</v>
      </c>
      <c r="G3" s="18">
        <v>0.497</v>
      </c>
      <c r="H3" s="15">
        <v>1</v>
      </c>
      <c r="I3" s="18">
        <f>F3</f>
        <v>1.93</v>
      </c>
      <c r="J3" s="18">
        <f>G3</f>
        <v>0.497</v>
      </c>
      <c r="K3" s="15">
        <v>53916</v>
      </c>
      <c r="L3" s="15">
        <f t="shared" ref="L3:L7" si="0">ROUND(E3*D3*C3*102.79,0)</f>
        <v>692</v>
      </c>
      <c r="M3" s="15">
        <f t="shared" ref="M3:M7" si="1">ROUND(I3*L3*0.002205,0)</f>
        <v>3</v>
      </c>
      <c r="N3" s="20">
        <f t="shared" ref="N3:N7" si="2">ROUND(J3*L3*0.002205,1)</f>
        <v>0.8</v>
      </c>
    </row>
    <row r="4" spans="1:14">
      <c r="A4" s="15" t="s">
        <v>68</v>
      </c>
      <c r="B4" s="15">
        <v>1400</v>
      </c>
      <c r="C4" s="17">
        <v>4.3162596900000003E-2</v>
      </c>
      <c r="D4" s="18">
        <v>0.88800000000000001</v>
      </c>
      <c r="E4" s="18">
        <v>46.66</v>
      </c>
      <c r="F4" s="18">
        <v>1.93</v>
      </c>
      <c r="G4" s="18">
        <v>0.497</v>
      </c>
      <c r="H4" s="15">
        <v>0</v>
      </c>
      <c r="I4" s="18">
        <f>0.7*F4</f>
        <v>1.351</v>
      </c>
      <c r="J4" s="18">
        <f>0.5*G4</f>
        <v>0.2485</v>
      </c>
      <c r="K4" s="15">
        <v>1632</v>
      </c>
      <c r="L4" s="15">
        <f t="shared" si="0"/>
        <v>184</v>
      </c>
      <c r="M4" s="15">
        <f t="shared" si="1"/>
        <v>1</v>
      </c>
      <c r="N4" s="20">
        <f t="shared" si="2"/>
        <v>0.1</v>
      </c>
    </row>
    <row r="5" spans="1:14">
      <c r="A5" s="15" t="s">
        <v>68</v>
      </c>
      <c r="B5" s="15">
        <v>1700</v>
      </c>
      <c r="C5" s="17">
        <v>5.7779484800000003E-2</v>
      </c>
      <c r="D5" s="18">
        <v>0.78600000000000003</v>
      </c>
      <c r="E5" s="18">
        <v>46.66</v>
      </c>
      <c r="F5" s="18">
        <v>1.8</v>
      </c>
      <c r="G5" s="18">
        <v>0.47799999999999998</v>
      </c>
      <c r="H5" s="15">
        <v>0</v>
      </c>
      <c r="I5" s="18">
        <f t="shared" ref="I5:I6" si="3">0.7*F5</f>
        <v>1.26</v>
      </c>
      <c r="J5" s="18">
        <f t="shared" ref="J5:J6" si="4">0.5*G5</f>
        <v>0.23899999999999999</v>
      </c>
      <c r="K5" s="15">
        <v>669</v>
      </c>
      <c r="L5" s="15">
        <f t="shared" si="0"/>
        <v>218</v>
      </c>
      <c r="M5" s="15">
        <f t="shared" si="1"/>
        <v>1</v>
      </c>
      <c r="N5" s="20">
        <f t="shared" si="2"/>
        <v>0.1</v>
      </c>
    </row>
    <row r="6" spans="1:14">
      <c r="A6" s="15" t="s">
        <v>68</v>
      </c>
      <c r="B6" s="15">
        <v>1200</v>
      </c>
      <c r="C6" s="17">
        <v>0.88777659539999998</v>
      </c>
      <c r="D6" s="18">
        <v>0.38900000000000001</v>
      </c>
      <c r="E6" s="18">
        <v>46.66</v>
      </c>
      <c r="F6" s="18">
        <v>2.23</v>
      </c>
      <c r="G6" s="18">
        <v>0.316</v>
      </c>
      <c r="H6" s="15">
        <v>0</v>
      </c>
      <c r="I6" s="18">
        <f t="shared" si="3"/>
        <v>1.5609999999999999</v>
      </c>
      <c r="J6" s="18">
        <f t="shared" si="4"/>
        <v>0.158</v>
      </c>
      <c r="K6" s="15">
        <v>580</v>
      </c>
      <c r="L6" s="15">
        <f t="shared" si="0"/>
        <v>1656</v>
      </c>
      <c r="M6" s="15">
        <f t="shared" si="1"/>
        <v>6</v>
      </c>
      <c r="N6" s="20">
        <f t="shared" si="2"/>
        <v>0.6</v>
      </c>
    </row>
    <row r="7" spans="1:14">
      <c r="A7" s="15" t="s">
        <v>68</v>
      </c>
      <c r="B7" s="15">
        <v>1200</v>
      </c>
      <c r="C7" s="17">
        <v>6.6333850596000001</v>
      </c>
      <c r="D7" s="18">
        <v>0.38900000000000001</v>
      </c>
      <c r="E7" s="18">
        <v>46.66</v>
      </c>
      <c r="F7" s="18">
        <v>2.23</v>
      </c>
      <c r="G7" s="18">
        <v>0.316</v>
      </c>
      <c r="H7" s="15">
        <v>1</v>
      </c>
      <c r="I7" s="18">
        <f>F7</f>
        <v>2.23</v>
      </c>
      <c r="J7" s="18">
        <f>G7</f>
        <v>0.316</v>
      </c>
      <c r="K7" s="15">
        <v>447612</v>
      </c>
      <c r="L7" s="15">
        <f t="shared" si="0"/>
        <v>12376</v>
      </c>
      <c r="M7" s="15">
        <f t="shared" si="1"/>
        <v>61</v>
      </c>
      <c r="N7" s="20">
        <f t="shared" si="2"/>
        <v>8.6</v>
      </c>
    </row>
    <row r="8" spans="1:14">
      <c r="C8" s="17">
        <f>SUM(C2:C7)</f>
        <v>8.2232268415000007</v>
      </c>
      <c r="M8" s="15">
        <f>SUM(M2:M7)</f>
        <v>79</v>
      </c>
      <c r="N8" s="20">
        <f>SUM(N2:N7)</f>
        <v>11.9</v>
      </c>
    </row>
  </sheetData>
  <pageMargins left="0.7" right="0.7" top="0.75" bottom="0.75" header="0.3" footer="0.3"/>
  <pageSetup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"/>
  <sheetViews>
    <sheetView zoomScaleNormal="100" workbookViewId="0">
      <selection activeCell="N2" sqref="N2"/>
    </sheetView>
  </sheetViews>
  <sheetFormatPr defaultRowHeight="15"/>
  <cols>
    <col min="1" max="1" width="14.28515625" style="15" bestFit="1" customWidth="1"/>
    <col min="2" max="2" width="9.7109375" style="15" customWidth="1"/>
    <col min="3" max="3" width="15.140625" style="15" bestFit="1" customWidth="1"/>
    <col min="4" max="4" width="6.85546875" style="16" bestFit="1" customWidth="1"/>
    <col min="5" max="5" width="13.7109375" style="16" bestFit="1" customWidth="1"/>
    <col min="6" max="6" width="9.42578125" style="16" bestFit="1" customWidth="1"/>
    <col min="7" max="7" width="9.140625" style="15" bestFit="1" customWidth="1"/>
    <col min="8" max="8" width="11.28515625" style="15" bestFit="1" customWidth="1"/>
    <col min="9" max="10" width="9" style="15" customWidth="1"/>
    <col min="11" max="11" width="12.42578125" style="15" bestFit="1" customWidth="1"/>
    <col min="12" max="12" width="14" style="16" customWidth="1"/>
    <col min="13" max="13" width="10.42578125" style="17" customWidth="1"/>
    <col min="14" max="14" width="9.28515625" bestFit="1" customWidth="1"/>
  </cols>
  <sheetData>
    <row r="1" spans="1:14" ht="30">
      <c r="A1" s="15" t="s">
        <v>67</v>
      </c>
      <c r="B1" s="15" t="s">
        <v>46</v>
      </c>
      <c r="C1" s="17" t="s">
        <v>53</v>
      </c>
      <c r="D1" s="16" t="s">
        <v>47</v>
      </c>
      <c r="E1" s="16" t="s">
        <v>52</v>
      </c>
      <c r="F1" s="16" t="s">
        <v>48</v>
      </c>
      <c r="G1" s="16" t="s">
        <v>49</v>
      </c>
      <c r="H1" s="15" t="s">
        <v>51</v>
      </c>
      <c r="I1" s="16" t="s">
        <v>55</v>
      </c>
      <c r="J1" s="16" t="s">
        <v>56</v>
      </c>
      <c r="K1" s="15" t="s">
        <v>50</v>
      </c>
      <c r="L1" s="19" t="s">
        <v>57</v>
      </c>
      <c r="M1" s="19" t="s">
        <v>58</v>
      </c>
      <c r="N1" s="19" t="s">
        <v>59</v>
      </c>
    </row>
    <row r="2" spans="1:14">
      <c r="A2" s="15" t="s">
        <v>68</v>
      </c>
      <c r="B2" s="15">
        <v>1700</v>
      </c>
      <c r="C2" s="17">
        <v>0.43865480690000003</v>
      </c>
      <c r="D2" s="18">
        <v>0.78600000000000003</v>
      </c>
      <c r="E2" s="18">
        <v>46.66</v>
      </c>
      <c r="F2" s="18">
        <v>1.8</v>
      </c>
      <c r="G2" s="18">
        <v>0.47799999999999998</v>
      </c>
      <c r="H2" s="15">
        <v>1</v>
      </c>
      <c r="I2" s="18">
        <f>F2</f>
        <v>1.8</v>
      </c>
      <c r="J2" s="18">
        <f>G2</f>
        <v>0.47799999999999998</v>
      </c>
      <c r="K2" s="15">
        <v>101789</v>
      </c>
      <c r="L2" s="15">
        <f>ROUND(E2*D2*C2*102.79,0)</f>
        <v>1654</v>
      </c>
      <c r="M2" s="15">
        <f>ROUND(I2*L2*0.002205,0)</f>
        <v>7</v>
      </c>
      <c r="N2" s="20">
        <f>ROUND(J2*L2*0.002205,1)</f>
        <v>1.7</v>
      </c>
    </row>
    <row r="3" spans="1:14">
      <c r="A3" s="15" t="s">
        <v>68</v>
      </c>
      <c r="B3" s="15">
        <v>1400</v>
      </c>
      <c r="C3" s="17">
        <v>0.1624682979</v>
      </c>
      <c r="D3" s="18">
        <v>0.88800000000000001</v>
      </c>
      <c r="E3" s="18">
        <v>46.66</v>
      </c>
      <c r="F3" s="18">
        <v>1.93</v>
      </c>
      <c r="G3" s="18">
        <v>0.497</v>
      </c>
      <c r="H3" s="15">
        <v>1</v>
      </c>
      <c r="I3" s="18">
        <f>F3</f>
        <v>1.93</v>
      </c>
      <c r="J3" s="18">
        <f>G3</f>
        <v>0.497</v>
      </c>
      <c r="K3" s="15">
        <v>53916</v>
      </c>
      <c r="L3" s="15">
        <f t="shared" ref="L3:L7" si="0">ROUND(E3*D3*C3*102.79,0)</f>
        <v>692</v>
      </c>
      <c r="M3" s="15">
        <f t="shared" ref="M3:M7" si="1">ROUND(I3*L3*0.002205,0)</f>
        <v>3</v>
      </c>
      <c r="N3" s="20">
        <f t="shared" ref="N3:N7" si="2">ROUND(J3*L3*0.002205,1)</f>
        <v>0.8</v>
      </c>
    </row>
    <row r="4" spans="1:14">
      <c r="A4" s="15" t="s">
        <v>68</v>
      </c>
      <c r="B4" s="15">
        <v>1400</v>
      </c>
      <c r="C4" s="17">
        <v>4.3162596900000003E-2</v>
      </c>
      <c r="D4" s="18">
        <v>0.88800000000000001</v>
      </c>
      <c r="E4" s="18">
        <v>46.66</v>
      </c>
      <c r="F4" s="18">
        <v>1.93</v>
      </c>
      <c r="G4" s="18">
        <v>0.497</v>
      </c>
      <c r="H4" s="15">
        <v>0</v>
      </c>
      <c r="I4" s="18">
        <f>0.7*F4</f>
        <v>1.351</v>
      </c>
      <c r="J4" s="18">
        <f>0.5*G4</f>
        <v>0.2485</v>
      </c>
      <c r="K4" s="15">
        <v>1632</v>
      </c>
      <c r="L4" s="15">
        <f t="shared" si="0"/>
        <v>184</v>
      </c>
      <c r="M4" s="15">
        <f t="shared" si="1"/>
        <v>1</v>
      </c>
      <c r="N4" s="20">
        <f t="shared" si="2"/>
        <v>0.1</v>
      </c>
    </row>
    <row r="5" spans="1:14">
      <c r="A5" s="15" t="s">
        <v>68</v>
      </c>
      <c r="B5" s="15">
        <v>1700</v>
      </c>
      <c r="C5" s="17">
        <v>5.7779484800000003E-2</v>
      </c>
      <c r="D5" s="18">
        <v>0.78600000000000003</v>
      </c>
      <c r="E5" s="18">
        <v>46.66</v>
      </c>
      <c r="F5" s="18">
        <v>1.8</v>
      </c>
      <c r="G5" s="18">
        <v>0.47799999999999998</v>
      </c>
      <c r="H5" s="15">
        <v>0</v>
      </c>
      <c r="I5" s="18">
        <f t="shared" ref="I5:I6" si="3">0.7*F5</f>
        <v>1.26</v>
      </c>
      <c r="J5" s="18">
        <f t="shared" ref="J5:J6" si="4">0.5*G5</f>
        <v>0.23899999999999999</v>
      </c>
      <c r="K5" s="15">
        <v>669</v>
      </c>
      <c r="L5" s="15">
        <f t="shared" si="0"/>
        <v>218</v>
      </c>
      <c r="M5" s="15">
        <f t="shared" si="1"/>
        <v>1</v>
      </c>
      <c r="N5" s="20">
        <f t="shared" si="2"/>
        <v>0.1</v>
      </c>
    </row>
    <row r="6" spans="1:14">
      <c r="A6" s="15" t="s">
        <v>68</v>
      </c>
      <c r="B6" s="15">
        <v>1200</v>
      </c>
      <c r="C6" s="17">
        <v>0.88777659539999998</v>
      </c>
      <c r="D6" s="18">
        <v>0.38900000000000001</v>
      </c>
      <c r="E6" s="18">
        <v>46.66</v>
      </c>
      <c r="F6" s="18">
        <v>2.23</v>
      </c>
      <c r="G6" s="18">
        <v>0.316</v>
      </c>
      <c r="H6" s="15">
        <v>0</v>
      </c>
      <c r="I6" s="18">
        <f t="shared" si="3"/>
        <v>1.5609999999999999</v>
      </c>
      <c r="J6" s="18">
        <f t="shared" si="4"/>
        <v>0.158</v>
      </c>
      <c r="K6" s="15">
        <v>580</v>
      </c>
      <c r="L6" s="15">
        <f t="shared" si="0"/>
        <v>1656</v>
      </c>
      <c r="M6" s="15">
        <f t="shared" si="1"/>
        <v>6</v>
      </c>
      <c r="N6" s="20">
        <f t="shared" si="2"/>
        <v>0.6</v>
      </c>
    </row>
    <row r="7" spans="1:14">
      <c r="A7" s="15" t="s">
        <v>68</v>
      </c>
      <c r="B7" s="15">
        <v>1200</v>
      </c>
      <c r="C7" s="17">
        <v>6.6333850596000001</v>
      </c>
      <c r="D7" s="18">
        <v>0.38900000000000001</v>
      </c>
      <c r="E7" s="18">
        <v>46.66</v>
      </c>
      <c r="F7" s="18">
        <v>2.23</v>
      </c>
      <c r="G7" s="18">
        <v>0.316</v>
      </c>
      <c r="H7" s="15">
        <v>1</v>
      </c>
      <c r="I7" s="18">
        <f>F7</f>
        <v>2.23</v>
      </c>
      <c r="J7" s="18">
        <f>G7</f>
        <v>0.316</v>
      </c>
      <c r="K7" s="15">
        <v>447612</v>
      </c>
      <c r="L7" s="15">
        <f t="shared" si="0"/>
        <v>12376</v>
      </c>
      <c r="M7" s="15">
        <f t="shared" si="1"/>
        <v>61</v>
      </c>
      <c r="N7" s="20">
        <f t="shared" si="2"/>
        <v>8.6</v>
      </c>
    </row>
    <row r="8" spans="1:14">
      <c r="C8" s="17">
        <f>SUM(C2:C7)</f>
        <v>8.2232268415000007</v>
      </c>
      <c r="G8" s="16"/>
      <c r="H8" s="16"/>
      <c r="I8" s="16"/>
      <c r="J8" s="16"/>
      <c r="L8" s="15"/>
      <c r="M8" s="20">
        <f>SUM(M2:M7)</f>
        <v>79</v>
      </c>
      <c r="N8" s="20">
        <f>SUM(N2:N7)</f>
        <v>11.9</v>
      </c>
    </row>
  </sheetData>
  <pageMargins left="0.7" right="0.7" top="0.75" bottom="0.75" header="0.3" footer="0.3"/>
  <pageSetup scale="7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"/>
  <sheetViews>
    <sheetView zoomScaleNormal="100" workbookViewId="0">
      <selection activeCell="N40" sqref="N40"/>
    </sheetView>
  </sheetViews>
  <sheetFormatPr defaultRowHeight="15"/>
  <cols>
    <col min="1" max="1" width="14.28515625" style="15" bestFit="1" customWidth="1"/>
    <col min="2" max="2" width="9.7109375" style="15" customWidth="1"/>
    <col min="3" max="3" width="14.7109375" style="15" bestFit="1" customWidth="1"/>
    <col min="4" max="4" width="6.85546875" style="16" bestFit="1" customWidth="1"/>
    <col min="5" max="5" width="13.7109375" style="16" bestFit="1" customWidth="1"/>
    <col min="6" max="6" width="9.42578125" style="16" bestFit="1" customWidth="1"/>
    <col min="7" max="7" width="9.140625" style="16" bestFit="1" customWidth="1"/>
    <col min="8" max="8" width="11.28515625" style="16" bestFit="1" customWidth="1"/>
    <col min="9" max="10" width="9" style="16" customWidth="1"/>
    <col min="11" max="11" width="12.42578125" style="15" bestFit="1" customWidth="1"/>
    <col min="12" max="12" width="13.85546875" style="15" customWidth="1"/>
    <col min="13" max="13" width="10.42578125" style="16" customWidth="1"/>
    <col min="14" max="14" width="10.42578125" style="17" customWidth="1"/>
  </cols>
  <sheetData>
    <row r="1" spans="1:14" ht="30">
      <c r="A1" s="15" t="s">
        <v>67</v>
      </c>
      <c r="B1" s="15" t="s">
        <v>46</v>
      </c>
      <c r="C1" s="17" t="s">
        <v>53</v>
      </c>
      <c r="D1" s="16" t="s">
        <v>47</v>
      </c>
      <c r="E1" s="16" t="s">
        <v>52</v>
      </c>
      <c r="F1" s="16" t="s">
        <v>48</v>
      </c>
      <c r="G1" s="16" t="s">
        <v>49</v>
      </c>
      <c r="H1" s="15" t="s">
        <v>51</v>
      </c>
      <c r="I1" s="16" t="s">
        <v>55</v>
      </c>
      <c r="J1" s="16" t="s">
        <v>56</v>
      </c>
      <c r="K1" s="15" t="s">
        <v>50</v>
      </c>
      <c r="L1" s="19" t="s">
        <v>57</v>
      </c>
      <c r="M1" s="19" t="s">
        <v>58</v>
      </c>
      <c r="N1" s="19" t="s">
        <v>59</v>
      </c>
    </row>
    <row r="2" spans="1:14">
      <c r="A2" s="15" t="s">
        <v>68</v>
      </c>
      <c r="B2" s="15">
        <v>1700</v>
      </c>
      <c r="C2" s="17">
        <v>8.5893689809999998</v>
      </c>
      <c r="D2" s="18">
        <v>0.78600000000000003</v>
      </c>
      <c r="E2" s="18">
        <v>46.66</v>
      </c>
      <c r="F2" s="18">
        <v>1.8</v>
      </c>
      <c r="G2" s="18">
        <v>0.47799999999999998</v>
      </c>
      <c r="H2" s="15">
        <v>1</v>
      </c>
      <c r="I2" s="18">
        <f>F2</f>
        <v>1.8</v>
      </c>
      <c r="J2" s="18">
        <f>G2</f>
        <v>0.47799999999999998</v>
      </c>
      <c r="K2" s="15">
        <v>101789</v>
      </c>
      <c r="L2" s="15">
        <f>ROUND(E2*D2*C2*102.79,0)</f>
        <v>32380</v>
      </c>
      <c r="M2" s="15">
        <f>ROUND(I2*L2*0.002205,0)</f>
        <v>129</v>
      </c>
      <c r="N2" s="20">
        <f>ROUND(J2*L2*0.002205,1)</f>
        <v>34.1</v>
      </c>
    </row>
  </sheetData>
  <pageMargins left="0.7" right="0.7" top="0.75" bottom="0.75" header="0.3" footer="0.3"/>
  <pageSetup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2"/>
  <sheetViews>
    <sheetView zoomScaleNormal="100" workbookViewId="0">
      <selection activeCell="L6" sqref="L6"/>
    </sheetView>
  </sheetViews>
  <sheetFormatPr defaultRowHeight="15"/>
  <cols>
    <col min="1" max="1" width="14.28515625" style="15" bestFit="1" customWidth="1"/>
    <col min="2" max="2" width="8" style="15" bestFit="1" customWidth="1"/>
    <col min="3" max="3" width="6.85546875" style="15" bestFit="1" customWidth="1"/>
    <col min="4" max="4" width="6.85546875" style="16" bestFit="1" customWidth="1"/>
    <col min="5" max="5" width="13.7109375" style="16" bestFit="1" customWidth="1"/>
    <col min="6" max="6" width="9.42578125" style="16" bestFit="1" customWidth="1"/>
    <col min="7" max="7" width="9.140625" style="16" bestFit="1" customWidth="1"/>
    <col min="8" max="8" width="11.28515625" style="16" bestFit="1" customWidth="1"/>
    <col min="9" max="10" width="9" style="16" customWidth="1"/>
    <col min="11" max="11" width="12.42578125" style="15" bestFit="1" customWidth="1"/>
    <col min="12" max="12" width="15" style="15" customWidth="1"/>
    <col min="13" max="13" width="11.140625" style="16" customWidth="1"/>
    <col min="14" max="14" width="10.42578125" style="17" customWidth="1"/>
  </cols>
  <sheetData>
    <row r="1" spans="1:14" ht="30">
      <c r="A1" s="15" t="s">
        <v>67</v>
      </c>
      <c r="B1" s="15" t="s">
        <v>46</v>
      </c>
      <c r="C1" s="17" t="s">
        <v>53</v>
      </c>
      <c r="D1" s="16" t="s">
        <v>47</v>
      </c>
      <c r="E1" s="16" t="s">
        <v>52</v>
      </c>
      <c r="F1" s="16" t="s">
        <v>48</v>
      </c>
      <c r="G1" s="16" t="s">
        <v>49</v>
      </c>
      <c r="H1" s="15" t="s">
        <v>51</v>
      </c>
      <c r="I1" s="16" t="s">
        <v>55</v>
      </c>
      <c r="J1" s="16" t="s">
        <v>56</v>
      </c>
      <c r="K1" s="15" t="s">
        <v>50</v>
      </c>
      <c r="L1" s="19" t="s">
        <v>57</v>
      </c>
      <c r="M1" s="19" t="s">
        <v>58</v>
      </c>
      <c r="N1" s="19" t="s">
        <v>59</v>
      </c>
    </row>
    <row r="2" spans="1:14">
      <c r="A2" s="15" t="s">
        <v>68</v>
      </c>
      <c r="B2" s="15">
        <v>1700</v>
      </c>
      <c r="C2" s="18">
        <v>8.5893689809999998</v>
      </c>
      <c r="D2" s="18">
        <v>0.78600000000000003</v>
      </c>
      <c r="E2" s="18">
        <v>46.66</v>
      </c>
      <c r="F2" s="18">
        <v>1.8</v>
      </c>
      <c r="G2" s="18">
        <v>0.47799999999999998</v>
      </c>
      <c r="H2" s="15">
        <v>1</v>
      </c>
      <c r="I2" s="18">
        <f>F2</f>
        <v>1.8</v>
      </c>
      <c r="J2" s="18">
        <f>G2</f>
        <v>0.47799999999999998</v>
      </c>
      <c r="K2" s="15">
        <v>101789</v>
      </c>
      <c r="L2" s="15">
        <f>ROUND(E2*D2*C2*102.79,0)</f>
        <v>32380</v>
      </c>
      <c r="M2" s="15">
        <f>ROUND(I2*L2*0.002205,0)</f>
        <v>129</v>
      </c>
      <c r="N2" s="20">
        <f>ROUND(J2*L2*0.002205,1)</f>
        <v>34.1</v>
      </c>
    </row>
  </sheetData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Project Credit</vt:lpstr>
      <vt:lpstr>Retention Efficiency Calcs</vt:lpstr>
      <vt:lpstr>Wet Pond Efficiency Calcs</vt:lpstr>
      <vt:lpstr>1 Jackson Exfiltration</vt:lpstr>
      <vt:lpstr>2 Pineapple Baffle</vt:lpstr>
      <vt:lpstr>3 Jackson Exfiltration</vt:lpstr>
      <vt:lpstr>4 Orange Baffle</vt:lpstr>
      <vt:lpstr>5 Jackson Exfiltration</vt:lpstr>
      <vt:lpstr>6 Avacado CDS</vt:lpstr>
      <vt:lpstr>7 Jackson Exfiltration</vt:lpstr>
      <vt:lpstr>8 Roosevelt Baffle</vt:lpstr>
      <vt:lpstr>9 Coconut Exfiltration</vt:lpstr>
      <vt:lpstr>10 Desoto Exfiltration</vt:lpstr>
      <vt:lpstr>11 Desoto Exfiltration</vt:lpstr>
      <vt:lpstr>12 Jamaica Ponds</vt:lpstr>
      <vt:lpstr>13 Jamaica Reuse</vt:lpstr>
      <vt:lpstr>14 Desoto Exfiltration</vt:lpstr>
      <vt:lpstr>15 Desoto Baffle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2011-09-07T18:35:57Z</cp:lastPrinted>
  <dcterms:created xsi:type="dcterms:W3CDTF">2010-09-24T12:38:15Z</dcterms:created>
  <dcterms:modified xsi:type="dcterms:W3CDTF">2011-09-07T18:36:31Z</dcterms:modified>
</cp:coreProperties>
</file>