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Wet Pond Calcs" sheetId="4" r:id="rId2"/>
    <sheet name="MEL-1" sheetId="2" r:id="rId3"/>
  </sheets>
  <calcPr calcId="125725"/>
</workbook>
</file>

<file path=xl/calcChain.xml><?xml version="1.0" encoding="utf-8"?>
<calcChain xmlns="http://schemas.openxmlformats.org/spreadsheetml/2006/main">
  <c r="J2" i="1"/>
  <c r="G2"/>
  <c r="K2"/>
  <c r="H2"/>
  <c r="B4" i="4"/>
  <c r="I2" i="1"/>
  <c r="F2"/>
  <c r="E2"/>
  <c r="C44" i="2"/>
  <c r="N44"/>
  <c r="O4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M2"/>
  <c r="N2" s="1"/>
  <c r="L2"/>
  <c r="J39"/>
  <c r="I39"/>
  <c r="J40"/>
  <c r="I40"/>
  <c r="J36"/>
  <c r="I36"/>
  <c r="J34"/>
  <c r="I34"/>
  <c r="J33"/>
  <c r="I33"/>
  <c r="J32"/>
  <c r="I32"/>
  <c r="J31"/>
  <c r="I31"/>
  <c r="J24"/>
  <c r="I24"/>
  <c r="J21"/>
  <c r="I21"/>
  <c r="J20"/>
  <c r="I20"/>
  <c r="J19"/>
  <c r="I19"/>
  <c r="J17"/>
  <c r="I17"/>
  <c r="J14"/>
  <c r="I14"/>
  <c r="J13"/>
  <c r="I13"/>
  <c r="J12"/>
  <c r="I12"/>
  <c r="J9"/>
  <c r="I9"/>
  <c r="J43"/>
  <c r="I43"/>
  <c r="J42"/>
  <c r="I42"/>
  <c r="J41"/>
  <c r="I41"/>
  <c r="J38"/>
  <c r="I38"/>
  <c r="J37"/>
  <c r="I37"/>
  <c r="J35"/>
  <c r="I35"/>
  <c r="J30"/>
  <c r="I30"/>
  <c r="J29"/>
  <c r="I29"/>
  <c r="J28"/>
  <c r="I28"/>
  <c r="J27"/>
  <c r="I27"/>
  <c r="J26"/>
  <c r="I26"/>
  <c r="J25"/>
  <c r="I25"/>
  <c r="J23"/>
  <c r="I23"/>
  <c r="J22"/>
  <c r="I22"/>
  <c r="J18"/>
  <c r="I18"/>
  <c r="J16"/>
  <c r="I16"/>
  <c r="J15"/>
  <c r="I15"/>
  <c r="J11"/>
  <c r="I11"/>
  <c r="J10"/>
  <c r="I10"/>
  <c r="J8"/>
  <c r="I8"/>
  <c r="J7"/>
  <c r="I7"/>
  <c r="J6"/>
  <c r="I6"/>
  <c r="J5"/>
  <c r="I5"/>
  <c r="J4"/>
  <c r="I4"/>
  <c r="J3"/>
  <c r="I3"/>
  <c r="J2"/>
  <c r="I2"/>
  <c r="B3" i="4" l="1"/>
  <c r="O2" i="2"/>
  <c r="K5" i="1" l="1"/>
  <c r="H5"/>
</calcChain>
</file>

<file path=xl/sharedStrings.xml><?xml version="1.0" encoding="utf-8"?>
<sst xmlns="http://schemas.openxmlformats.org/spreadsheetml/2006/main" count="82" uniqueCount="40">
  <si>
    <t>Project Number</t>
  </si>
  <si>
    <t>Project Name</t>
  </si>
  <si>
    <t>Project Zone</t>
  </si>
  <si>
    <t>Project Description</t>
  </si>
  <si>
    <t>Treated Acres</t>
  </si>
  <si>
    <t>Central A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</si>
  <si>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</si>
  <si>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</si>
  <si>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</si>
  <si>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</si>
  <si>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</si>
  <si>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</si>
  <si>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</si>
  <si>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</si>
  <si>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</si>
  <si>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Fee &amp; Apollo Drainage Improvements</t>
  </si>
  <si>
    <t>MEL-1</t>
  </si>
  <si>
    <t>Wet detention pond</t>
  </si>
  <si>
    <t>LUCODE</t>
  </si>
  <si>
    <t>MEAN_ANNUA</t>
  </si>
  <si>
    <t>RO_C</t>
  </si>
  <si>
    <t>TN_MG_L</t>
  </si>
  <si>
    <t>TP_MG_L</t>
  </si>
  <si>
    <t>RO_VOL_M3</t>
  </si>
  <si>
    <t>GRID_CODE</t>
  </si>
  <si>
    <t>Acreage</t>
  </si>
  <si>
    <t>Entity</t>
  </si>
  <si>
    <t>Melbourne</t>
  </si>
  <si>
    <t>EMC TN</t>
  </si>
  <si>
    <t>EMC TP</t>
  </si>
  <si>
    <t>Annual Runoff (ac-ft)</t>
  </si>
  <si>
    <t>Annual Runoff (m3)</t>
  </si>
  <si>
    <t>TN Load (lbs/yr)</t>
  </si>
  <si>
    <t>TP Load (lbs/yr)</t>
  </si>
  <si>
    <t>residence time</t>
  </si>
  <si>
    <t>TP efficiency</t>
  </si>
  <si>
    <t>%</t>
  </si>
  <si>
    <t>TN efficiency</t>
  </si>
  <si>
    <t>Project MEL-1</t>
  </si>
  <si>
    <t>days</t>
  </si>
</sst>
</file>

<file path=xl/styles.xml><?xml version="1.0" encoding="utf-8"?>
<styleSheet xmlns="http://schemas.openxmlformats.org/spreadsheetml/2006/main">
  <numFmts count="5">
    <numFmt numFmtId="164" formatCode="0.000000"/>
    <numFmt numFmtId="165" formatCode="0.0"/>
    <numFmt numFmtId="166" formatCode="0.00000000000"/>
    <numFmt numFmtId="167" formatCode="0.000"/>
    <numFmt numFmtId="168" formatCode="0.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2" fontId="23" fillId="0" borderId="10" xfId="41" applyNumberFormat="1" applyFont="1" applyFill="1" applyBorder="1" applyAlignment="1">
      <alignment horizontal="center" wrapText="1"/>
    </xf>
    <xf numFmtId="2" fontId="21" fillId="33" borderId="10" xfId="41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21" fillId="33" borderId="10" xfId="41" applyFont="1" applyFill="1" applyBorder="1" applyAlignment="1">
      <alignment horizontal="center" wrapText="1"/>
    </xf>
    <xf numFmtId="164" fontId="1" fillId="0" borderId="10" xfId="76" applyNumberFormat="1" applyFont="1" applyFill="1" applyBorder="1"/>
    <xf numFmtId="3" fontId="16" fillId="0" borderId="0" xfId="0" applyNumberFormat="1" applyFont="1" applyFill="1" applyBorder="1"/>
    <xf numFmtId="0" fontId="22" fillId="0" borderId="10" xfId="41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0" fillId="0" borderId="0" xfId="0" applyFont="1"/>
    <xf numFmtId="0" fontId="1" fillId="0" borderId="0" xfId="0" applyFont="1"/>
    <xf numFmtId="165" fontId="16" fillId="0" borderId="0" xfId="0" applyNumberFormat="1" applyFont="1" applyAlignment="1">
      <alignment horizontal="center"/>
    </xf>
    <xf numFmtId="0" fontId="1" fillId="0" borderId="10" xfId="0" applyFont="1" applyBorder="1"/>
    <xf numFmtId="165" fontId="16" fillId="0" borderId="0" xfId="0" applyNumberFormat="1" applyFont="1"/>
    <xf numFmtId="0" fontId="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2" fontId="0" fillId="0" borderId="10" xfId="45" applyNumberFormat="1" applyFont="1" applyFill="1" applyBorder="1"/>
    <xf numFmtId="1" fontId="0" fillId="0" borderId="10" xfId="45" applyNumberFormat="1" applyFont="1" applyFill="1" applyBorder="1" applyAlignme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wrapText="1"/>
    </xf>
    <xf numFmtId="3" fontId="1" fillId="0" borderId="10" xfId="0" applyNumberFormat="1" applyFont="1" applyBorder="1"/>
    <xf numFmtId="0" fontId="16" fillId="0" borderId="0" xfId="0" applyFont="1"/>
    <xf numFmtId="168" fontId="0" fillId="0" borderId="10" xfId="0" applyNumberFormat="1" applyBorder="1"/>
    <xf numFmtId="168" fontId="1" fillId="0" borderId="10" xfId="0" applyNumberFormat="1" applyFont="1" applyBorder="1"/>
  </cellXfs>
  <cellStyles count="90">
    <cellStyle name="20% - Accent1" xfId="18" builtinId="30" customBuiltin="1"/>
    <cellStyle name="20% - Accent1 2" xfId="48"/>
    <cellStyle name="20% - Accent1 3" xfId="64"/>
    <cellStyle name="20% - Accent1 4" xfId="78"/>
    <cellStyle name="20% - Accent2" xfId="22" builtinId="34" customBuiltin="1"/>
    <cellStyle name="20% - Accent2 2" xfId="50"/>
    <cellStyle name="20% - Accent2 3" xfId="66"/>
    <cellStyle name="20% - Accent2 4" xfId="80"/>
    <cellStyle name="20% - Accent3" xfId="26" builtinId="38" customBuiltin="1"/>
    <cellStyle name="20% - Accent3 2" xfId="52"/>
    <cellStyle name="20% - Accent3 3" xfId="68"/>
    <cellStyle name="20% - Accent3 4" xfId="82"/>
    <cellStyle name="20% - Accent4" xfId="30" builtinId="42" customBuiltin="1"/>
    <cellStyle name="20% - Accent4 2" xfId="54"/>
    <cellStyle name="20% - Accent4 3" xfId="70"/>
    <cellStyle name="20% - Accent4 4" xfId="84"/>
    <cellStyle name="20% - Accent5" xfId="34" builtinId="46" customBuiltin="1"/>
    <cellStyle name="20% - Accent5 2" xfId="56"/>
    <cellStyle name="20% - Accent5 3" xfId="72"/>
    <cellStyle name="20% - Accent5 4" xfId="86"/>
    <cellStyle name="20% - Accent6" xfId="38" builtinId="50" customBuiltin="1"/>
    <cellStyle name="20% - Accent6 2" xfId="58"/>
    <cellStyle name="20% - Accent6 3" xfId="74"/>
    <cellStyle name="20% - Accent6 4" xfId="88"/>
    <cellStyle name="40% - Accent1" xfId="19" builtinId="31" customBuiltin="1"/>
    <cellStyle name="40% - Accent1 2" xfId="49"/>
    <cellStyle name="40% - Accent1 3" xfId="65"/>
    <cellStyle name="40% - Accent1 4" xfId="79"/>
    <cellStyle name="40% - Accent2" xfId="23" builtinId="35" customBuiltin="1"/>
    <cellStyle name="40% - Accent2 2" xfId="51"/>
    <cellStyle name="40% - Accent2 3" xfId="67"/>
    <cellStyle name="40% - Accent2 4" xfId="81"/>
    <cellStyle name="40% - Accent3" xfId="27" builtinId="39" customBuiltin="1"/>
    <cellStyle name="40% - Accent3 2" xfId="53"/>
    <cellStyle name="40% - Accent3 3" xfId="69"/>
    <cellStyle name="40% - Accent3 4" xfId="83"/>
    <cellStyle name="40% - Accent4" xfId="31" builtinId="43" customBuiltin="1"/>
    <cellStyle name="40% - Accent4 2" xfId="55"/>
    <cellStyle name="40% - Accent4 3" xfId="71"/>
    <cellStyle name="40% - Accent4 4" xfId="85"/>
    <cellStyle name="40% - Accent5" xfId="35" builtinId="47" customBuiltin="1"/>
    <cellStyle name="40% - Accent5 2" xfId="57"/>
    <cellStyle name="40% - Accent5 3" xfId="73"/>
    <cellStyle name="40% - Accent5 4" xfId="87"/>
    <cellStyle name="40% - Accent6" xfId="39" builtinId="51" customBuiltin="1"/>
    <cellStyle name="40% - Accent6 2" xfId="59"/>
    <cellStyle name="40% - Accent6 3" xfId="75"/>
    <cellStyle name="40% - Accent6 4" xfId="89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60"/>
    <cellStyle name="Normal 4" xfId="45"/>
    <cellStyle name="Normal 5" xfId="46"/>
    <cellStyle name="Normal 6" xfId="62"/>
    <cellStyle name="Normal 7" xfId="76"/>
    <cellStyle name="Normal 8" xfId="41"/>
    <cellStyle name="Note 2" xfId="44"/>
    <cellStyle name="Note 2 2" xfId="61"/>
    <cellStyle name="Note 3" xfId="47"/>
    <cellStyle name="Note 4" xfId="63"/>
    <cellStyle name="Note 5" xfId="77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zoomScaleNormal="100" workbookViewId="0">
      <selection activeCell="E21" sqref="E21"/>
    </sheetView>
  </sheetViews>
  <sheetFormatPr defaultRowHeight="15"/>
  <cols>
    <col min="1" max="1" width="10.28515625" style="10" customWidth="1"/>
    <col min="2" max="2" width="35" style="10" bestFit="1" customWidth="1"/>
    <col min="3" max="3" width="9.7109375" style="10" customWidth="1"/>
    <col min="4" max="4" width="19.28515625" style="10" bestFit="1" customWidth="1"/>
    <col min="5" max="5" width="8.5703125" style="10" customWidth="1"/>
    <col min="6" max="6" width="11.28515625" style="10" customWidth="1"/>
    <col min="7" max="7" width="10.85546875" style="10" customWidth="1"/>
    <col min="8" max="8" width="10" style="10" customWidth="1"/>
    <col min="9" max="9" width="11.28515625" style="10" customWidth="1"/>
    <col min="10" max="10" width="10.42578125" style="10" customWidth="1"/>
    <col min="11" max="11" width="9.5703125" style="10" customWidth="1"/>
    <col min="12" max="16384" width="9.140625" style="10"/>
  </cols>
  <sheetData>
    <row r="1" spans="1:11" ht="45">
      <c r="A1" s="4" t="s">
        <v>0</v>
      </c>
      <c r="B1" s="2" t="s">
        <v>1</v>
      </c>
      <c r="C1" s="4" t="s">
        <v>2</v>
      </c>
      <c r="D1" s="4" t="s">
        <v>3</v>
      </c>
      <c r="E1" s="2" t="s">
        <v>4</v>
      </c>
      <c r="F1" s="15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15" t="s">
        <v>11</v>
      </c>
    </row>
    <row r="2" spans="1:11">
      <c r="A2" s="7" t="s">
        <v>16</v>
      </c>
      <c r="B2" s="16" t="s">
        <v>15</v>
      </c>
      <c r="C2" s="5" t="s">
        <v>5</v>
      </c>
      <c r="D2" s="17" t="s">
        <v>17</v>
      </c>
      <c r="E2" s="1">
        <f>'MEL-1'!C44</f>
        <v>76.998804999999976</v>
      </c>
      <c r="F2" s="23">
        <f>'MEL-1'!N44</f>
        <v>1006</v>
      </c>
      <c r="G2" s="25">
        <f>'Wet Pond Calcs'!B3/100</f>
        <v>3.7000000000000005E-2</v>
      </c>
      <c r="H2" s="12">
        <f>ROUND(F2*G2,0)</f>
        <v>37</v>
      </c>
      <c r="I2" s="12">
        <f>'MEL-1'!O44</f>
        <v>236.89999999999998</v>
      </c>
      <c r="J2" s="26">
        <f>'Wet Pond Calcs'!B4/100</f>
        <v>0.38600000000000001</v>
      </c>
      <c r="K2" s="12">
        <f>ROUND(I2*J2,1)</f>
        <v>91.4</v>
      </c>
    </row>
    <row r="4" spans="1:11">
      <c r="G4" s="9"/>
      <c r="H4" s="3" t="s">
        <v>12</v>
      </c>
      <c r="I4" s="14"/>
      <c r="J4" s="14"/>
      <c r="K4" s="11" t="s">
        <v>13</v>
      </c>
    </row>
    <row r="5" spans="1:11">
      <c r="G5" s="8" t="s">
        <v>14</v>
      </c>
      <c r="H5" s="6">
        <f>SUM(H2:H2)</f>
        <v>37</v>
      </c>
      <c r="I5" s="9"/>
      <c r="J5" s="9"/>
      <c r="K5" s="13">
        <f>SUM(K2:K2)</f>
        <v>91.4</v>
      </c>
    </row>
  </sheetData>
  <sortState ref="A2:H25">
    <sortCondition ref="A1"/>
  </sortState>
  <pageMargins left="0.7" right="0.7" top="0.75" bottom="0.75" header="0.3" footer="0.3"/>
  <pageSetup scale="83" orientation="landscape" horizontalDpi="0" verticalDpi="0" r:id="rId1"/>
  <headerFooter>
    <oddHeader>&amp;C&amp;"-,Bold"Central IRL Basin Management Action Plan (BMAP)
Melbourne Projects</oddHeader>
    <oddFooter>&amp;C&amp;P of &amp;N&amp;ROctober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B3" sqref="B3"/>
    </sheetView>
  </sheetViews>
  <sheetFormatPr defaultRowHeight="15"/>
  <cols>
    <col min="1" max="1" width="14.42578125" bestFit="1" customWidth="1"/>
    <col min="2" max="2" width="5.85546875" bestFit="1" customWidth="1"/>
  </cols>
  <sheetData>
    <row r="1" spans="1:3">
      <c r="A1" s="24" t="s">
        <v>38</v>
      </c>
    </row>
    <row r="2" spans="1:3">
      <c r="A2" t="s">
        <v>34</v>
      </c>
      <c r="B2">
        <v>0.4</v>
      </c>
      <c r="C2" t="s">
        <v>39</v>
      </c>
    </row>
    <row r="3" spans="1:3">
      <c r="A3" t="s">
        <v>37</v>
      </c>
      <c r="B3">
        <f>ROUND((43.75*B2)/(4.38+B2),1)</f>
        <v>3.7</v>
      </c>
      <c r="C3" t="s">
        <v>36</v>
      </c>
    </row>
    <row r="4" spans="1:3">
      <c r="A4" t="s">
        <v>35</v>
      </c>
      <c r="B4">
        <f>ROUND(44.53+6.146*LN(B2)+0.145*(LN(B2)*2),1)</f>
        <v>38.6</v>
      </c>
      <c r="C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"/>
  <sheetViews>
    <sheetView workbookViewId="0">
      <pane ySplit="1" topLeftCell="A20" activePane="bottomLeft" state="frozen"/>
      <selection pane="bottomLeft" activeCell="C44" sqref="C44"/>
    </sheetView>
  </sheetViews>
  <sheetFormatPr defaultRowHeight="15"/>
  <cols>
    <col min="1" max="1" width="10.85546875" style="18" bestFit="1" customWidth="1"/>
    <col min="2" max="2" width="8" style="18" bestFit="1" customWidth="1"/>
    <col min="3" max="3" width="9.5703125" style="21" bestFit="1" customWidth="1"/>
    <col min="4" max="4" width="13.7109375" style="19" customWidth="1"/>
    <col min="5" max="5" width="14.7109375" style="19" bestFit="1" customWidth="1"/>
    <col min="6" max="7" width="13.7109375" style="19" customWidth="1"/>
    <col min="8" max="8" width="11.140625" style="18" bestFit="1" customWidth="1"/>
    <col min="9" max="9" width="7.7109375" style="20" bestFit="1" customWidth="1"/>
    <col min="10" max="10" width="7.42578125" style="20" bestFit="1" customWidth="1"/>
    <col min="11" max="11" width="17.85546875" style="19" bestFit="1" customWidth="1"/>
    <col min="12" max="12" width="15.7109375" customWidth="1"/>
    <col min="13" max="13" width="15.28515625" customWidth="1"/>
    <col min="14" max="14" width="8" bestFit="1" customWidth="1"/>
    <col min="15" max="15" width="7.7109375" bestFit="1" customWidth="1"/>
  </cols>
  <sheetData>
    <row r="1" spans="1:15" ht="30">
      <c r="A1" s="18" t="s">
        <v>26</v>
      </c>
      <c r="B1" s="18" t="s">
        <v>18</v>
      </c>
      <c r="C1" s="21" t="s">
        <v>25</v>
      </c>
      <c r="D1" s="19" t="s">
        <v>20</v>
      </c>
      <c r="E1" s="19" t="s">
        <v>19</v>
      </c>
      <c r="F1" s="19" t="s">
        <v>21</v>
      </c>
      <c r="G1" s="19" t="s">
        <v>22</v>
      </c>
      <c r="H1" s="18" t="s">
        <v>24</v>
      </c>
      <c r="I1" s="20" t="s">
        <v>28</v>
      </c>
      <c r="J1" s="20" t="s">
        <v>29</v>
      </c>
      <c r="K1" s="19" t="s">
        <v>23</v>
      </c>
      <c r="L1" s="22" t="s">
        <v>30</v>
      </c>
      <c r="M1" s="22" t="s">
        <v>31</v>
      </c>
      <c r="N1" s="22" t="s">
        <v>32</v>
      </c>
      <c r="O1" s="22" t="s">
        <v>33</v>
      </c>
    </row>
    <row r="2" spans="1:15">
      <c r="A2" s="18" t="s">
        <v>27</v>
      </c>
      <c r="B2" s="18">
        <v>1400</v>
      </c>
      <c r="C2" s="21">
        <v>18.992357999999999</v>
      </c>
      <c r="D2" s="19">
        <v>0.89</v>
      </c>
      <c r="E2" s="19">
        <v>48.29</v>
      </c>
      <c r="F2" s="19">
        <v>1.93</v>
      </c>
      <c r="G2" s="19">
        <v>0.497</v>
      </c>
      <c r="H2" s="18">
        <v>1</v>
      </c>
      <c r="I2" s="20">
        <f>F2</f>
        <v>1.93</v>
      </c>
      <c r="J2" s="20">
        <f>G2</f>
        <v>0.497</v>
      </c>
      <c r="K2" s="19">
        <v>67927.3</v>
      </c>
      <c r="L2" s="18">
        <f>E2*D2*C2/12</f>
        <v>68.02128844664999</v>
      </c>
      <c r="M2">
        <f>ROUND(E2*D2*C2*102.79,0)</f>
        <v>83903</v>
      </c>
      <c r="N2">
        <f>ROUND(I2*M2*0.002205,0)</f>
        <v>357</v>
      </c>
      <c r="O2">
        <f>ROUND(J2*M2*0.002205,1)</f>
        <v>91.9</v>
      </c>
    </row>
    <row r="3" spans="1:15">
      <c r="A3" s="18" t="s">
        <v>27</v>
      </c>
      <c r="B3" s="18">
        <v>8140</v>
      </c>
      <c r="C3" s="21">
        <v>3.681889</v>
      </c>
      <c r="D3" s="19">
        <v>0.74</v>
      </c>
      <c r="E3" s="19">
        <v>48.29</v>
      </c>
      <c r="F3" s="19">
        <v>1.2</v>
      </c>
      <c r="G3" s="19">
        <v>0.48</v>
      </c>
      <c r="H3" s="18">
        <v>1</v>
      </c>
      <c r="I3" s="20">
        <f t="shared" ref="I3:I8" si="0">F3</f>
        <v>1.2</v>
      </c>
      <c r="J3" s="20">
        <f t="shared" ref="J3:J8" si="1">G3</f>
        <v>0.48</v>
      </c>
      <c r="K3" s="19">
        <v>36114.5</v>
      </c>
      <c r="L3" s="18">
        <f t="shared" ref="L3:L43" si="2">E3*D3*C3/12</f>
        <v>10.964235888283334</v>
      </c>
      <c r="M3">
        <f t="shared" ref="M3:M43" si="3">ROUND(E3*D3*C3*102.79,0)</f>
        <v>13524</v>
      </c>
      <c r="N3">
        <f t="shared" ref="N3:N43" si="4">ROUND(I3*M3*0.002205,0)</f>
        <v>36</v>
      </c>
      <c r="O3">
        <f t="shared" ref="O3:O43" si="5">ROUND(J3*M3*0.002205,1)</f>
        <v>14.3</v>
      </c>
    </row>
    <row r="4" spans="1:15">
      <c r="A4" s="18" t="s">
        <v>27</v>
      </c>
      <c r="B4" s="18">
        <v>1700</v>
      </c>
      <c r="C4" s="21">
        <v>4.6220999999999998E-2</v>
      </c>
      <c r="D4" s="19">
        <v>0.77</v>
      </c>
      <c r="E4" s="19">
        <v>48.29</v>
      </c>
      <c r="F4" s="19">
        <v>1.8</v>
      </c>
      <c r="G4" s="19">
        <v>0.47799999999999998</v>
      </c>
      <c r="H4" s="18">
        <v>1</v>
      </c>
      <c r="I4" s="20">
        <f t="shared" si="0"/>
        <v>1.8</v>
      </c>
      <c r="J4" s="20">
        <f t="shared" si="1"/>
        <v>0.47799999999999998</v>
      </c>
      <c r="K4" s="19">
        <v>9027.2000000000007</v>
      </c>
      <c r="L4" s="18">
        <f t="shared" si="2"/>
        <v>0.143220775775</v>
      </c>
      <c r="M4">
        <f t="shared" si="3"/>
        <v>177</v>
      </c>
      <c r="N4">
        <f t="shared" si="4"/>
        <v>1</v>
      </c>
      <c r="O4">
        <f t="shared" si="5"/>
        <v>0.2</v>
      </c>
    </row>
    <row r="5" spans="1:15">
      <c r="A5" s="18" t="s">
        <v>27</v>
      </c>
      <c r="B5" s="18">
        <v>1400</v>
      </c>
      <c r="C5" s="21">
        <v>0.33997300000000003</v>
      </c>
      <c r="D5" s="19">
        <v>0.88800000000000001</v>
      </c>
      <c r="E5" s="19">
        <v>48.29</v>
      </c>
      <c r="F5" s="19">
        <v>1.93</v>
      </c>
      <c r="G5" s="19">
        <v>0.497</v>
      </c>
      <c r="H5" s="18">
        <v>1</v>
      </c>
      <c r="I5" s="20">
        <f t="shared" si="0"/>
        <v>1.93</v>
      </c>
      <c r="J5" s="20">
        <f t="shared" si="1"/>
        <v>0.497</v>
      </c>
      <c r="K5" s="19">
        <v>1213.2</v>
      </c>
      <c r="L5" s="18">
        <f t="shared" si="2"/>
        <v>1.2148799165800002</v>
      </c>
      <c r="M5">
        <f t="shared" si="3"/>
        <v>1499</v>
      </c>
      <c r="N5">
        <f t="shared" si="4"/>
        <v>6</v>
      </c>
      <c r="O5">
        <f t="shared" si="5"/>
        <v>1.6</v>
      </c>
    </row>
    <row r="6" spans="1:15">
      <c r="A6" s="18" t="s">
        <v>27</v>
      </c>
      <c r="B6" s="18">
        <v>8140</v>
      </c>
      <c r="C6" s="21">
        <v>0.36627900000000002</v>
      </c>
      <c r="D6" s="19">
        <v>0.77700000000000002</v>
      </c>
      <c r="E6" s="19">
        <v>48.29</v>
      </c>
      <c r="F6" s="19">
        <v>1.2</v>
      </c>
      <c r="G6" s="19">
        <v>0.48</v>
      </c>
      <c r="H6" s="18">
        <v>1</v>
      </c>
      <c r="I6" s="20">
        <f t="shared" si="0"/>
        <v>1.2</v>
      </c>
      <c r="J6" s="20">
        <f t="shared" si="1"/>
        <v>0.48</v>
      </c>
      <c r="K6" s="19">
        <v>1143.5999999999999</v>
      </c>
      <c r="L6" s="18">
        <f t="shared" si="2"/>
        <v>1.1452729359225</v>
      </c>
      <c r="M6">
        <f t="shared" si="3"/>
        <v>1413</v>
      </c>
      <c r="N6">
        <f t="shared" si="4"/>
        <v>4</v>
      </c>
      <c r="O6">
        <f t="shared" si="5"/>
        <v>1.5</v>
      </c>
    </row>
    <row r="7" spans="1:15">
      <c r="A7" s="18" t="s">
        <v>27</v>
      </c>
      <c r="B7" s="18">
        <v>1800</v>
      </c>
      <c r="C7" s="21">
        <v>3.8642999999999997E-2</v>
      </c>
      <c r="D7" s="19">
        <v>0.16900000000000001</v>
      </c>
      <c r="E7" s="19">
        <v>48.29</v>
      </c>
      <c r="F7" s="19">
        <v>1.25</v>
      </c>
      <c r="G7" s="19">
        <v>7.5999999999999998E-2</v>
      </c>
      <c r="H7" s="18">
        <v>1</v>
      </c>
      <c r="I7" s="20">
        <f t="shared" si="0"/>
        <v>1.25</v>
      </c>
      <c r="J7" s="20">
        <f t="shared" si="1"/>
        <v>7.5999999999999998E-2</v>
      </c>
      <c r="K7" s="19">
        <v>26.2</v>
      </c>
      <c r="L7" s="18">
        <f t="shared" si="2"/>
        <v>2.6280492452500002E-2</v>
      </c>
      <c r="M7">
        <f t="shared" si="3"/>
        <v>32</v>
      </c>
      <c r="N7">
        <f t="shared" si="4"/>
        <v>0</v>
      </c>
      <c r="O7">
        <f t="shared" si="5"/>
        <v>0</v>
      </c>
    </row>
    <row r="8" spans="1:15">
      <c r="A8" s="18" t="s">
        <v>27</v>
      </c>
      <c r="B8" s="18">
        <v>1800</v>
      </c>
      <c r="C8" s="21">
        <v>8.2252000000000006E-2</v>
      </c>
      <c r="D8" s="19">
        <v>0.182</v>
      </c>
      <c r="E8" s="19">
        <v>48.29</v>
      </c>
      <c r="F8" s="19">
        <v>1.25</v>
      </c>
      <c r="G8" s="19">
        <v>7.5999999999999998E-2</v>
      </c>
      <c r="H8" s="18">
        <v>1</v>
      </c>
      <c r="I8" s="20">
        <f t="shared" si="0"/>
        <v>1.25</v>
      </c>
      <c r="J8" s="20">
        <f t="shared" si="1"/>
        <v>7.5999999999999998E-2</v>
      </c>
      <c r="K8" s="19">
        <v>60.2</v>
      </c>
      <c r="L8" s="18">
        <f t="shared" si="2"/>
        <v>6.0241227713333338E-2</v>
      </c>
      <c r="M8">
        <f t="shared" si="3"/>
        <v>74</v>
      </c>
      <c r="N8">
        <f t="shared" si="4"/>
        <v>0</v>
      </c>
      <c r="O8">
        <f t="shared" si="5"/>
        <v>0</v>
      </c>
    </row>
    <row r="9" spans="1:15">
      <c r="A9" s="18" t="s">
        <v>27</v>
      </c>
      <c r="B9" s="18">
        <v>8140</v>
      </c>
      <c r="C9" s="21">
        <v>4.9915000000000001E-2</v>
      </c>
      <c r="D9" s="19">
        <v>0.74</v>
      </c>
      <c r="E9" s="19">
        <v>48.29</v>
      </c>
      <c r="F9" s="19">
        <v>1.2</v>
      </c>
      <c r="G9" s="19">
        <v>0.48</v>
      </c>
      <c r="H9" s="18">
        <v>0</v>
      </c>
      <c r="I9" s="20">
        <f>F9*0.7</f>
        <v>0.84</v>
      </c>
      <c r="J9" s="20">
        <f>G9*0.5</f>
        <v>0.24</v>
      </c>
      <c r="K9" s="19">
        <v>148.5</v>
      </c>
      <c r="L9" s="18">
        <f t="shared" si="2"/>
        <v>0.14864104658333335</v>
      </c>
      <c r="M9">
        <f t="shared" si="3"/>
        <v>183</v>
      </c>
      <c r="N9">
        <f t="shared" si="4"/>
        <v>0</v>
      </c>
      <c r="O9">
        <f t="shared" si="5"/>
        <v>0.1</v>
      </c>
    </row>
    <row r="10" spans="1:15">
      <c r="A10" s="18" t="s">
        <v>27</v>
      </c>
      <c r="B10" s="18">
        <v>1800</v>
      </c>
      <c r="C10" s="21">
        <v>0.32994099999999998</v>
      </c>
      <c r="D10" s="19">
        <v>0.16900000000000001</v>
      </c>
      <c r="E10" s="19">
        <v>48.29</v>
      </c>
      <c r="F10" s="19">
        <v>1.25</v>
      </c>
      <c r="G10" s="19">
        <v>7.5999999999999998E-2</v>
      </c>
      <c r="H10" s="18">
        <v>1</v>
      </c>
      <c r="I10" s="20">
        <f t="shared" ref="I10:I11" si="6">F10</f>
        <v>1.25</v>
      </c>
      <c r="J10" s="20">
        <f t="shared" ref="J10:J11" si="7">G10</f>
        <v>7.5999999999999998E-2</v>
      </c>
      <c r="K10" s="19">
        <v>224.1</v>
      </c>
      <c r="L10" s="18">
        <f t="shared" si="2"/>
        <v>0.22438765003416669</v>
      </c>
      <c r="M10">
        <f t="shared" si="3"/>
        <v>277</v>
      </c>
      <c r="N10">
        <f t="shared" si="4"/>
        <v>1</v>
      </c>
      <c r="O10">
        <f t="shared" si="5"/>
        <v>0</v>
      </c>
    </row>
    <row r="11" spans="1:15">
      <c r="A11" s="18" t="s">
        <v>27</v>
      </c>
      <c r="B11" s="18">
        <v>1800</v>
      </c>
      <c r="C11" s="21">
        <v>8.4915470000000006</v>
      </c>
      <c r="D11" s="19">
        <v>0.182</v>
      </c>
      <c r="E11" s="19">
        <v>48.29</v>
      </c>
      <c r="F11" s="19">
        <v>1.25</v>
      </c>
      <c r="G11" s="19">
        <v>7.5999999999999998E-2</v>
      </c>
      <c r="H11" s="18">
        <v>1</v>
      </c>
      <c r="I11" s="20">
        <f t="shared" si="6"/>
        <v>1.25</v>
      </c>
      <c r="J11" s="20">
        <f t="shared" si="7"/>
        <v>7.5999999999999998E-2</v>
      </c>
      <c r="K11" s="19">
        <v>6210.6</v>
      </c>
      <c r="L11" s="18">
        <f t="shared" si="2"/>
        <v>6.2191948702216671</v>
      </c>
      <c r="M11">
        <f t="shared" si="3"/>
        <v>7671</v>
      </c>
      <c r="N11">
        <f t="shared" si="4"/>
        <v>21</v>
      </c>
      <c r="O11">
        <f t="shared" si="5"/>
        <v>1.3</v>
      </c>
    </row>
    <row r="12" spans="1:15">
      <c r="A12" s="18" t="s">
        <v>27</v>
      </c>
      <c r="B12" s="18">
        <v>1400</v>
      </c>
      <c r="C12" s="21">
        <v>0.49520999999999998</v>
      </c>
      <c r="D12" s="19">
        <v>0.88800000000000001</v>
      </c>
      <c r="E12" s="19">
        <v>48.29</v>
      </c>
      <c r="F12" s="19">
        <v>1.93</v>
      </c>
      <c r="G12" s="19">
        <v>0.497</v>
      </c>
      <c r="H12" s="18">
        <v>0</v>
      </c>
      <c r="I12" s="20">
        <f t="shared" ref="I12:I14" si="8">F12*0.7</f>
        <v>1.351</v>
      </c>
      <c r="J12" s="20">
        <f t="shared" ref="J12:J14" si="9">G12*0.5</f>
        <v>0.2485</v>
      </c>
      <c r="K12" s="19">
        <v>1767.2</v>
      </c>
      <c r="L12" s="18">
        <f t="shared" si="2"/>
        <v>1.7696131266000001</v>
      </c>
      <c r="M12">
        <f t="shared" si="3"/>
        <v>2183</v>
      </c>
      <c r="N12">
        <f t="shared" si="4"/>
        <v>7</v>
      </c>
      <c r="O12">
        <f t="shared" si="5"/>
        <v>1.2</v>
      </c>
    </row>
    <row r="13" spans="1:15">
      <c r="A13" s="18" t="s">
        <v>27</v>
      </c>
      <c r="B13" s="18">
        <v>1400</v>
      </c>
      <c r="C13" s="21">
        <v>0.472389</v>
      </c>
      <c r="D13" s="19">
        <v>0.89</v>
      </c>
      <c r="E13" s="19">
        <v>48.29</v>
      </c>
      <c r="F13" s="19">
        <v>1.93</v>
      </c>
      <c r="G13" s="19">
        <v>0.497</v>
      </c>
      <c r="H13" s="18">
        <v>0</v>
      </c>
      <c r="I13" s="20">
        <f t="shared" si="8"/>
        <v>1.351</v>
      </c>
      <c r="J13" s="20">
        <f t="shared" si="9"/>
        <v>0.2485</v>
      </c>
      <c r="K13" s="19">
        <v>1689.5</v>
      </c>
      <c r="L13" s="18">
        <f t="shared" si="2"/>
        <v>1.6918651400749998</v>
      </c>
      <c r="M13">
        <f t="shared" si="3"/>
        <v>2087</v>
      </c>
      <c r="N13">
        <f t="shared" si="4"/>
        <v>6</v>
      </c>
      <c r="O13">
        <f t="shared" si="5"/>
        <v>1.1000000000000001</v>
      </c>
    </row>
    <row r="14" spans="1:15">
      <c r="A14" s="18" t="s">
        <v>27</v>
      </c>
      <c r="B14" s="18">
        <v>1400</v>
      </c>
      <c r="C14" s="21">
        <v>0.202399</v>
      </c>
      <c r="D14" s="19">
        <v>0.88700000000000001</v>
      </c>
      <c r="E14" s="19">
        <v>48.29</v>
      </c>
      <c r="F14" s="19">
        <v>1.93</v>
      </c>
      <c r="G14" s="19">
        <v>0.497</v>
      </c>
      <c r="H14" s="18">
        <v>0</v>
      </c>
      <c r="I14" s="20">
        <f t="shared" si="8"/>
        <v>1.351</v>
      </c>
      <c r="J14" s="20">
        <f t="shared" si="9"/>
        <v>0.2485</v>
      </c>
      <c r="K14" s="19">
        <v>721.5</v>
      </c>
      <c r="L14" s="18">
        <f t="shared" si="2"/>
        <v>0.7224502432308334</v>
      </c>
      <c r="M14">
        <f t="shared" si="3"/>
        <v>891</v>
      </c>
      <c r="N14">
        <f t="shared" si="4"/>
        <v>3</v>
      </c>
      <c r="O14">
        <f t="shared" si="5"/>
        <v>0.5</v>
      </c>
    </row>
    <row r="15" spans="1:15">
      <c r="A15" s="18" t="s">
        <v>27</v>
      </c>
      <c r="B15" s="18">
        <v>1400</v>
      </c>
      <c r="C15" s="21">
        <v>1.2907459999999999</v>
      </c>
      <c r="D15" s="19">
        <v>0.88700000000000001</v>
      </c>
      <c r="E15" s="19">
        <v>48.29</v>
      </c>
      <c r="F15" s="19">
        <v>1.93</v>
      </c>
      <c r="G15" s="19">
        <v>0.497</v>
      </c>
      <c r="H15" s="18">
        <v>1</v>
      </c>
      <c r="I15" s="20">
        <f t="shared" ref="I15:I16" si="10">F15</f>
        <v>1.93</v>
      </c>
      <c r="J15" s="20">
        <f t="shared" ref="J15:J16" si="11">G15</f>
        <v>0.497</v>
      </c>
      <c r="K15" s="19">
        <v>4601</v>
      </c>
      <c r="L15" s="18">
        <f t="shared" si="2"/>
        <v>4.6072350241316666</v>
      </c>
      <c r="M15">
        <f t="shared" si="3"/>
        <v>5683</v>
      </c>
      <c r="N15">
        <f t="shared" si="4"/>
        <v>24</v>
      </c>
      <c r="O15">
        <f t="shared" si="5"/>
        <v>6.2</v>
      </c>
    </row>
    <row r="16" spans="1:15">
      <c r="A16" s="18" t="s">
        <v>27</v>
      </c>
      <c r="B16" s="18">
        <v>8140</v>
      </c>
      <c r="C16" s="21">
        <v>1.3658999999999999E-2</v>
      </c>
      <c r="D16" s="19">
        <v>0.77700000000000002</v>
      </c>
      <c r="E16" s="19">
        <v>48.29</v>
      </c>
      <c r="F16" s="19">
        <v>1.2</v>
      </c>
      <c r="G16" s="19">
        <v>0.48</v>
      </c>
      <c r="H16" s="18">
        <v>1</v>
      </c>
      <c r="I16" s="20">
        <f t="shared" si="10"/>
        <v>1.2</v>
      </c>
      <c r="J16" s="20">
        <f t="shared" si="11"/>
        <v>0.48</v>
      </c>
      <c r="K16" s="19">
        <v>36.299999999999997</v>
      </c>
      <c r="L16" s="18">
        <f t="shared" si="2"/>
        <v>4.2708653872499995E-2</v>
      </c>
      <c r="M16">
        <f t="shared" si="3"/>
        <v>53</v>
      </c>
      <c r="N16">
        <f t="shared" si="4"/>
        <v>0</v>
      </c>
      <c r="O16">
        <f t="shared" si="5"/>
        <v>0.1</v>
      </c>
    </row>
    <row r="17" spans="1:15">
      <c r="A17" s="18" t="s">
        <v>27</v>
      </c>
      <c r="B17" s="18">
        <v>8140</v>
      </c>
      <c r="C17" s="21">
        <v>1.5591000000000001E-2</v>
      </c>
      <c r="D17" s="19">
        <v>0.77700000000000002</v>
      </c>
      <c r="E17" s="19">
        <v>48.29</v>
      </c>
      <c r="F17" s="19">
        <v>1.2</v>
      </c>
      <c r="G17" s="19">
        <v>0.48</v>
      </c>
      <c r="H17" s="18">
        <v>0</v>
      </c>
      <c r="I17" s="20">
        <f>F17*0.7</f>
        <v>0.84</v>
      </c>
      <c r="J17" s="20">
        <f>G17*0.5</f>
        <v>0.24</v>
      </c>
      <c r="K17" s="19">
        <v>41.5</v>
      </c>
      <c r="L17" s="18">
        <f t="shared" si="2"/>
        <v>4.8749588002500004E-2</v>
      </c>
      <c r="M17">
        <f t="shared" si="3"/>
        <v>60</v>
      </c>
      <c r="N17">
        <f t="shared" si="4"/>
        <v>0</v>
      </c>
      <c r="O17">
        <f t="shared" si="5"/>
        <v>0</v>
      </c>
    </row>
    <row r="18" spans="1:15">
      <c r="A18" s="18" t="s">
        <v>27</v>
      </c>
      <c r="B18" s="18">
        <v>8140</v>
      </c>
      <c r="C18" s="21">
        <v>1.0106E-2</v>
      </c>
      <c r="D18" s="19">
        <v>0.77700000000000002</v>
      </c>
      <c r="E18" s="19">
        <v>48.29</v>
      </c>
      <c r="F18" s="19">
        <v>1.2</v>
      </c>
      <c r="G18" s="19">
        <v>0.48</v>
      </c>
      <c r="H18" s="18">
        <v>1</v>
      </c>
      <c r="I18" s="20">
        <f>F18</f>
        <v>1.2</v>
      </c>
      <c r="J18" s="20">
        <f>G18</f>
        <v>0.48</v>
      </c>
      <c r="K18" s="19">
        <v>26.9</v>
      </c>
      <c r="L18" s="18">
        <f t="shared" si="2"/>
        <v>3.1599213415000001E-2</v>
      </c>
      <c r="M18">
        <f t="shared" si="3"/>
        <v>39</v>
      </c>
      <c r="N18">
        <f t="shared" si="4"/>
        <v>0</v>
      </c>
      <c r="O18">
        <f t="shared" si="5"/>
        <v>0</v>
      </c>
    </row>
    <row r="19" spans="1:15">
      <c r="A19" s="18" t="s">
        <v>27</v>
      </c>
      <c r="B19" s="18">
        <v>8140</v>
      </c>
      <c r="C19" s="21">
        <v>5.6499999999999996E-4</v>
      </c>
      <c r="D19" s="19">
        <v>0.77700000000000002</v>
      </c>
      <c r="E19" s="19">
        <v>48.29</v>
      </c>
      <c r="F19" s="19">
        <v>1.2</v>
      </c>
      <c r="G19" s="19">
        <v>0.48</v>
      </c>
      <c r="H19" s="18">
        <v>0</v>
      </c>
      <c r="I19" s="20">
        <f t="shared" ref="I19:I21" si="12">F19*0.7</f>
        <v>0.84</v>
      </c>
      <c r="J19" s="20">
        <f t="shared" ref="J19:J21" si="13">G19*0.5</f>
        <v>0.24</v>
      </c>
      <c r="K19" s="19">
        <v>3.7</v>
      </c>
      <c r="L19" s="18">
        <f t="shared" si="2"/>
        <v>1.7666292875E-3</v>
      </c>
      <c r="M19">
        <f t="shared" si="3"/>
        <v>2</v>
      </c>
      <c r="N19">
        <f t="shared" si="4"/>
        <v>0</v>
      </c>
      <c r="O19">
        <f t="shared" si="5"/>
        <v>0</v>
      </c>
    </row>
    <row r="20" spans="1:15">
      <c r="A20" s="18" t="s">
        <v>27</v>
      </c>
      <c r="B20" s="18">
        <v>8330</v>
      </c>
      <c r="C20" s="21">
        <v>2.8166E-2</v>
      </c>
      <c r="D20" s="19">
        <v>0.28599999999999998</v>
      </c>
      <c r="E20" s="19">
        <v>48.29</v>
      </c>
      <c r="F20" s="19">
        <v>1.77</v>
      </c>
      <c r="G20" s="19">
        <v>0.17699999999999999</v>
      </c>
      <c r="H20" s="18">
        <v>0</v>
      </c>
      <c r="I20" s="20">
        <f t="shared" si="12"/>
        <v>1.2389999999999999</v>
      </c>
      <c r="J20" s="20">
        <f t="shared" si="13"/>
        <v>8.8499999999999995E-2</v>
      </c>
      <c r="K20" s="19">
        <v>86.6</v>
      </c>
      <c r="L20" s="18">
        <f t="shared" si="2"/>
        <v>3.2416578003333328E-2</v>
      </c>
      <c r="M20">
        <f t="shared" si="3"/>
        <v>40</v>
      </c>
      <c r="N20">
        <f t="shared" si="4"/>
        <v>0</v>
      </c>
      <c r="O20">
        <f t="shared" si="5"/>
        <v>0</v>
      </c>
    </row>
    <row r="21" spans="1:15">
      <c r="A21" s="18" t="s">
        <v>27</v>
      </c>
      <c r="B21" s="18">
        <v>1400</v>
      </c>
      <c r="C21" s="21">
        <v>1.2097999999999999E-2</v>
      </c>
      <c r="D21" s="19">
        <v>0.88800000000000001</v>
      </c>
      <c r="E21" s="19">
        <v>48.29</v>
      </c>
      <c r="F21" s="19">
        <v>1.93</v>
      </c>
      <c r="G21" s="19">
        <v>0.497</v>
      </c>
      <c r="H21" s="18">
        <v>0</v>
      </c>
      <c r="I21" s="20">
        <f t="shared" si="12"/>
        <v>1.351</v>
      </c>
      <c r="J21" s="20">
        <f t="shared" si="13"/>
        <v>0.2485</v>
      </c>
      <c r="K21" s="19">
        <v>36.700000000000003</v>
      </c>
      <c r="L21" s="18">
        <f t="shared" si="2"/>
        <v>4.3231719080000001E-2</v>
      </c>
      <c r="M21">
        <f t="shared" si="3"/>
        <v>53</v>
      </c>
      <c r="N21">
        <f t="shared" si="4"/>
        <v>0</v>
      </c>
      <c r="O21">
        <f t="shared" si="5"/>
        <v>0</v>
      </c>
    </row>
    <row r="22" spans="1:15">
      <c r="A22" s="18" t="s">
        <v>27</v>
      </c>
      <c r="B22" s="18">
        <v>1400</v>
      </c>
      <c r="C22" s="21">
        <v>2.623637</v>
      </c>
      <c r="D22" s="19">
        <v>0.88800000000000001</v>
      </c>
      <c r="E22" s="19">
        <v>48.29</v>
      </c>
      <c r="F22" s="19">
        <v>1.93</v>
      </c>
      <c r="G22" s="19">
        <v>0.497</v>
      </c>
      <c r="H22" s="18">
        <v>1</v>
      </c>
      <c r="I22" s="20">
        <f t="shared" ref="I22:I23" si="14">F22</f>
        <v>1.93</v>
      </c>
      <c r="J22" s="20">
        <f t="shared" ref="J22:J23" si="15">G22</f>
        <v>0.497</v>
      </c>
      <c r="K22" s="19">
        <v>7970.6</v>
      </c>
      <c r="L22" s="18">
        <f t="shared" si="2"/>
        <v>9.3754618740200009</v>
      </c>
      <c r="M22">
        <f t="shared" si="3"/>
        <v>11564</v>
      </c>
      <c r="N22">
        <f t="shared" si="4"/>
        <v>49</v>
      </c>
      <c r="O22">
        <f t="shared" si="5"/>
        <v>12.7</v>
      </c>
    </row>
    <row r="23" spans="1:15">
      <c r="A23" s="18" t="s">
        <v>27</v>
      </c>
      <c r="B23" s="18">
        <v>1200</v>
      </c>
      <c r="C23" s="21">
        <v>17.328665999999998</v>
      </c>
      <c r="D23" s="19">
        <v>0.38900000000000001</v>
      </c>
      <c r="E23" s="19">
        <v>48.29</v>
      </c>
      <c r="F23" s="19">
        <v>2.23</v>
      </c>
      <c r="G23" s="19">
        <v>0.316</v>
      </c>
      <c r="H23" s="18">
        <v>1</v>
      </c>
      <c r="I23" s="20">
        <f t="shared" si="14"/>
        <v>2.23</v>
      </c>
      <c r="J23" s="20">
        <f t="shared" si="15"/>
        <v>0.316</v>
      </c>
      <c r="K23" s="19">
        <v>76174.899999999994</v>
      </c>
      <c r="L23" s="18">
        <f t="shared" si="2"/>
        <v>27.126308196954998</v>
      </c>
      <c r="M23">
        <f t="shared" si="3"/>
        <v>33460</v>
      </c>
      <c r="N23">
        <f t="shared" si="4"/>
        <v>165</v>
      </c>
      <c r="O23">
        <f t="shared" si="5"/>
        <v>23.3</v>
      </c>
    </row>
    <row r="24" spans="1:15">
      <c r="A24" s="18" t="s">
        <v>27</v>
      </c>
      <c r="B24" s="18">
        <v>1200</v>
      </c>
      <c r="C24" s="21">
        <v>0.72916099999999995</v>
      </c>
      <c r="D24" s="19">
        <v>0.38900000000000001</v>
      </c>
      <c r="E24" s="19">
        <v>48.29</v>
      </c>
      <c r="F24" s="19">
        <v>2.23</v>
      </c>
      <c r="G24" s="19">
        <v>0.316</v>
      </c>
      <c r="H24" s="18">
        <v>0</v>
      </c>
      <c r="I24" s="20">
        <f>F24*0.7</f>
        <v>1.5609999999999999</v>
      </c>
      <c r="J24" s="20">
        <f>G24*0.5</f>
        <v>0.158</v>
      </c>
      <c r="K24" s="19">
        <v>970.4</v>
      </c>
      <c r="L24" s="18">
        <f t="shared" si="2"/>
        <v>1.1414292370341665</v>
      </c>
      <c r="M24">
        <f t="shared" si="3"/>
        <v>1408</v>
      </c>
      <c r="N24">
        <f t="shared" si="4"/>
        <v>5</v>
      </c>
      <c r="O24">
        <f t="shared" si="5"/>
        <v>0.5</v>
      </c>
    </row>
    <row r="25" spans="1:15">
      <c r="A25" s="18" t="s">
        <v>27</v>
      </c>
      <c r="B25" s="18">
        <v>1400</v>
      </c>
      <c r="C25" s="21">
        <v>3.156498</v>
      </c>
      <c r="D25" s="19">
        <v>0.88800000000000001</v>
      </c>
      <c r="E25" s="19">
        <v>48.29</v>
      </c>
      <c r="F25" s="19">
        <v>1.93</v>
      </c>
      <c r="G25" s="19">
        <v>0.497</v>
      </c>
      <c r="H25" s="18">
        <v>1</v>
      </c>
      <c r="I25" s="20">
        <f t="shared" ref="I25:I30" si="16">F25</f>
        <v>1.93</v>
      </c>
      <c r="J25" s="20">
        <f t="shared" ref="J25:J30" si="17">G25</f>
        <v>0.497</v>
      </c>
      <c r="K25" s="19">
        <v>9589.2999999999993</v>
      </c>
      <c r="L25" s="18">
        <f t="shared" si="2"/>
        <v>11.27961934308</v>
      </c>
      <c r="M25">
        <f t="shared" si="3"/>
        <v>13913</v>
      </c>
      <c r="N25">
        <f t="shared" si="4"/>
        <v>59</v>
      </c>
      <c r="O25">
        <f t="shared" si="5"/>
        <v>15.2</v>
      </c>
    </row>
    <row r="26" spans="1:15">
      <c r="A26" s="18" t="s">
        <v>27</v>
      </c>
      <c r="B26" s="18">
        <v>1400</v>
      </c>
      <c r="C26" s="21">
        <v>6.745012</v>
      </c>
      <c r="D26" s="19">
        <v>0.88800000000000001</v>
      </c>
      <c r="E26" s="19">
        <v>48.29</v>
      </c>
      <c r="F26" s="19">
        <v>1.93</v>
      </c>
      <c r="G26" s="19">
        <v>0.497</v>
      </c>
      <c r="H26" s="18">
        <v>1</v>
      </c>
      <c r="I26" s="20">
        <f t="shared" si="16"/>
        <v>1.93</v>
      </c>
      <c r="J26" s="20">
        <f t="shared" si="17"/>
        <v>0.497</v>
      </c>
      <c r="K26" s="19">
        <v>24069.7</v>
      </c>
      <c r="L26" s="18">
        <f t="shared" si="2"/>
        <v>24.103030581520002</v>
      </c>
      <c r="M26">
        <f t="shared" si="3"/>
        <v>29731</v>
      </c>
      <c r="N26">
        <f t="shared" si="4"/>
        <v>127</v>
      </c>
      <c r="O26">
        <f t="shared" si="5"/>
        <v>32.6</v>
      </c>
    </row>
    <row r="27" spans="1:15">
      <c r="A27" s="18" t="s">
        <v>27</v>
      </c>
      <c r="B27" s="18">
        <v>1400</v>
      </c>
      <c r="C27" s="21">
        <v>3.933681</v>
      </c>
      <c r="D27" s="19">
        <v>0.89</v>
      </c>
      <c r="E27" s="19">
        <v>48.29</v>
      </c>
      <c r="F27" s="19">
        <v>1.93</v>
      </c>
      <c r="G27" s="19">
        <v>0.497</v>
      </c>
      <c r="H27" s="18">
        <v>1</v>
      </c>
      <c r="I27" s="20">
        <f t="shared" si="16"/>
        <v>1.93</v>
      </c>
      <c r="J27" s="20">
        <f t="shared" si="17"/>
        <v>0.497</v>
      </c>
      <c r="K27" s="19">
        <v>14069.3</v>
      </c>
      <c r="L27" s="18">
        <f t="shared" si="2"/>
        <v>14.088511282174998</v>
      </c>
      <c r="M27">
        <f t="shared" si="3"/>
        <v>17378</v>
      </c>
      <c r="N27">
        <f t="shared" si="4"/>
        <v>74</v>
      </c>
      <c r="O27">
        <f t="shared" si="5"/>
        <v>19</v>
      </c>
    </row>
    <row r="28" spans="1:15">
      <c r="A28" s="18" t="s">
        <v>27</v>
      </c>
      <c r="B28" s="18">
        <v>8330</v>
      </c>
      <c r="C28" s="21">
        <v>0.16828399999999999</v>
      </c>
      <c r="D28" s="19">
        <v>0.28599999999999998</v>
      </c>
      <c r="E28" s="19">
        <v>48.29</v>
      </c>
      <c r="F28" s="19">
        <v>1.77</v>
      </c>
      <c r="G28" s="19">
        <v>0.17699999999999999</v>
      </c>
      <c r="H28" s="18">
        <v>1</v>
      </c>
      <c r="I28" s="20">
        <f t="shared" si="16"/>
        <v>1.77</v>
      </c>
      <c r="J28" s="20">
        <f t="shared" si="17"/>
        <v>0.17699999999999999</v>
      </c>
      <c r="K28" s="19">
        <v>382.8</v>
      </c>
      <c r="L28" s="18">
        <f t="shared" si="2"/>
        <v>0.19368001891333331</v>
      </c>
      <c r="M28">
        <f t="shared" si="3"/>
        <v>239</v>
      </c>
      <c r="N28">
        <f t="shared" si="4"/>
        <v>1</v>
      </c>
      <c r="O28">
        <f t="shared" si="5"/>
        <v>0.1</v>
      </c>
    </row>
    <row r="29" spans="1:15">
      <c r="A29" s="18" t="s">
        <v>27</v>
      </c>
      <c r="B29" s="18">
        <v>1200</v>
      </c>
      <c r="C29" s="21">
        <v>1.7809999999999999E-2</v>
      </c>
      <c r="D29" s="19">
        <v>0.38900000000000001</v>
      </c>
      <c r="E29" s="19">
        <v>48.29</v>
      </c>
      <c r="F29" s="19">
        <v>2.23</v>
      </c>
      <c r="G29" s="19">
        <v>0.316</v>
      </c>
      <c r="H29" s="18">
        <v>1</v>
      </c>
      <c r="I29" s="20">
        <f t="shared" si="16"/>
        <v>2.23</v>
      </c>
      <c r="J29" s="20">
        <f t="shared" si="17"/>
        <v>0.316</v>
      </c>
      <c r="K29" s="19">
        <v>27.8</v>
      </c>
      <c r="L29" s="18">
        <f t="shared" si="2"/>
        <v>2.7879788841666666E-2</v>
      </c>
      <c r="M29">
        <f t="shared" si="3"/>
        <v>34</v>
      </c>
      <c r="N29">
        <f t="shared" si="4"/>
        <v>0</v>
      </c>
      <c r="O29">
        <f t="shared" si="5"/>
        <v>0</v>
      </c>
    </row>
    <row r="30" spans="1:15">
      <c r="A30" s="18" t="s">
        <v>27</v>
      </c>
      <c r="B30" s="18">
        <v>1400</v>
      </c>
      <c r="C30" s="21">
        <v>0.730985</v>
      </c>
      <c r="D30" s="19">
        <v>0.88800000000000001</v>
      </c>
      <c r="E30" s="19">
        <v>48.29</v>
      </c>
      <c r="F30" s="19">
        <v>1.93</v>
      </c>
      <c r="G30" s="19">
        <v>0.497</v>
      </c>
      <c r="H30" s="18">
        <v>1</v>
      </c>
      <c r="I30" s="20">
        <f t="shared" si="16"/>
        <v>1.93</v>
      </c>
      <c r="J30" s="20">
        <f t="shared" si="17"/>
        <v>0.497</v>
      </c>
      <c r="K30" s="19">
        <v>2220.6999999999998</v>
      </c>
      <c r="L30" s="18">
        <f t="shared" si="2"/>
        <v>2.6121456581000002</v>
      </c>
      <c r="M30">
        <f t="shared" si="3"/>
        <v>3222</v>
      </c>
      <c r="N30">
        <f t="shared" si="4"/>
        <v>14</v>
      </c>
      <c r="O30">
        <f t="shared" si="5"/>
        <v>3.5</v>
      </c>
    </row>
    <row r="31" spans="1:15">
      <c r="A31" s="18" t="s">
        <v>27</v>
      </c>
      <c r="B31" s="18">
        <v>1400</v>
      </c>
      <c r="C31" s="21">
        <v>1.6540000000000001E-3</v>
      </c>
      <c r="D31" s="19">
        <v>0.88800000000000001</v>
      </c>
      <c r="E31" s="19">
        <v>48.29</v>
      </c>
      <c r="F31" s="19">
        <v>1.93</v>
      </c>
      <c r="G31" s="19">
        <v>0.497</v>
      </c>
      <c r="H31" s="18">
        <v>0</v>
      </c>
      <c r="I31" s="20">
        <f t="shared" ref="I31:I34" si="18">F31*0.7</f>
        <v>1.351</v>
      </c>
      <c r="J31" s="20">
        <f t="shared" ref="J31:J34" si="19">G31*0.5</f>
        <v>0.2485</v>
      </c>
      <c r="K31" s="19">
        <v>5</v>
      </c>
      <c r="L31" s="18">
        <f t="shared" si="2"/>
        <v>5.9105028400000008E-3</v>
      </c>
      <c r="M31">
        <f t="shared" si="3"/>
        <v>7</v>
      </c>
      <c r="N31">
        <f t="shared" si="4"/>
        <v>0</v>
      </c>
      <c r="O31">
        <f t="shared" si="5"/>
        <v>0</v>
      </c>
    </row>
    <row r="32" spans="1:15">
      <c r="A32" s="18" t="s">
        <v>27</v>
      </c>
      <c r="B32" s="18">
        <v>8330</v>
      </c>
      <c r="C32" s="21">
        <v>9.2090000000000005E-2</v>
      </c>
      <c r="D32" s="19">
        <v>0.28599999999999998</v>
      </c>
      <c r="E32" s="19">
        <v>48.29</v>
      </c>
      <c r="F32" s="19">
        <v>1.77</v>
      </c>
      <c r="G32" s="19">
        <v>0.17699999999999999</v>
      </c>
      <c r="H32" s="18">
        <v>0</v>
      </c>
      <c r="I32" s="20">
        <f t="shared" si="18"/>
        <v>1.2389999999999999</v>
      </c>
      <c r="J32" s="20">
        <f t="shared" si="19"/>
        <v>8.8499999999999995E-2</v>
      </c>
      <c r="K32" s="19">
        <v>186.1</v>
      </c>
      <c r="L32" s="18">
        <f t="shared" si="2"/>
        <v>0.10598745538333333</v>
      </c>
      <c r="M32">
        <f t="shared" si="3"/>
        <v>131</v>
      </c>
      <c r="N32">
        <f t="shared" si="4"/>
        <v>0</v>
      </c>
      <c r="O32">
        <f t="shared" si="5"/>
        <v>0</v>
      </c>
    </row>
    <row r="33" spans="1:15">
      <c r="A33" s="18" t="s">
        <v>27</v>
      </c>
      <c r="B33" s="18">
        <v>1200</v>
      </c>
      <c r="C33" s="21">
        <v>0.11730599999999999</v>
      </c>
      <c r="D33" s="19">
        <v>0.38900000000000001</v>
      </c>
      <c r="E33" s="19">
        <v>48.29</v>
      </c>
      <c r="F33" s="19">
        <v>2.23</v>
      </c>
      <c r="G33" s="19">
        <v>0.316</v>
      </c>
      <c r="H33" s="18">
        <v>0</v>
      </c>
      <c r="I33" s="20">
        <f t="shared" si="18"/>
        <v>1.5609999999999999</v>
      </c>
      <c r="J33" s="20">
        <f t="shared" si="19"/>
        <v>0.158</v>
      </c>
      <c r="K33" s="19">
        <v>156.1</v>
      </c>
      <c r="L33" s="18">
        <f t="shared" si="2"/>
        <v>0.18363091015499999</v>
      </c>
      <c r="M33">
        <f t="shared" si="3"/>
        <v>227</v>
      </c>
      <c r="N33">
        <f t="shared" si="4"/>
        <v>1</v>
      </c>
      <c r="O33">
        <f t="shared" si="5"/>
        <v>0.1</v>
      </c>
    </row>
    <row r="34" spans="1:15">
      <c r="A34" s="18" t="s">
        <v>27</v>
      </c>
      <c r="B34" s="18">
        <v>1400</v>
      </c>
      <c r="C34" s="21">
        <v>0.29674899999999999</v>
      </c>
      <c r="D34" s="19">
        <v>0.88800000000000001</v>
      </c>
      <c r="E34" s="19">
        <v>48.29</v>
      </c>
      <c r="F34" s="19">
        <v>1.93</v>
      </c>
      <c r="G34" s="19">
        <v>0.497</v>
      </c>
      <c r="H34" s="18">
        <v>0</v>
      </c>
      <c r="I34" s="20">
        <f t="shared" si="18"/>
        <v>1.351</v>
      </c>
      <c r="J34" s="20">
        <f t="shared" si="19"/>
        <v>0.2485</v>
      </c>
      <c r="K34" s="19">
        <v>901.5</v>
      </c>
      <c r="L34" s="18">
        <f t="shared" si="2"/>
        <v>1.0604206815399999</v>
      </c>
      <c r="M34">
        <f t="shared" si="3"/>
        <v>1308</v>
      </c>
      <c r="N34">
        <f t="shared" si="4"/>
        <v>4</v>
      </c>
      <c r="O34">
        <f t="shared" si="5"/>
        <v>0.7</v>
      </c>
    </row>
    <row r="35" spans="1:15">
      <c r="A35" s="18" t="s">
        <v>27</v>
      </c>
      <c r="B35" s="18">
        <v>1800</v>
      </c>
      <c r="C35" s="21">
        <v>3.1833960000000001</v>
      </c>
      <c r="D35" s="19">
        <v>0.182</v>
      </c>
      <c r="E35" s="19">
        <v>48.29</v>
      </c>
      <c r="F35" s="19">
        <v>1.25</v>
      </c>
      <c r="G35" s="19">
        <v>7.5999999999999998E-2</v>
      </c>
      <c r="H35" s="18">
        <v>1</v>
      </c>
      <c r="I35" s="20">
        <f>F35</f>
        <v>1.25</v>
      </c>
      <c r="J35" s="20">
        <f>G35</f>
        <v>7.5999999999999998E-2</v>
      </c>
      <c r="K35" s="19">
        <v>1982.1</v>
      </c>
      <c r="L35" s="18">
        <f t="shared" si="2"/>
        <v>2.3315139247399999</v>
      </c>
      <c r="M35">
        <f t="shared" si="3"/>
        <v>2876</v>
      </c>
      <c r="N35">
        <f t="shared" si="4"/>
        <v>8</v>
      </c>
      <c r="O35">
        <f t="shared" si="5"/>
        <v>0.5</v>
      </c>
    </row>
    <row r="36" spans="1:15">
      <c r="A36" s="18" t="s">
        <v>27</v>
      </c>
      <c r="B36" s="18">
        <v>8140</v>
      </c>
      <c r="C36" s="21">
        <v>0.132269</v>
      </c>
      <c r="D36" s="19">
        <v>0.77700000000000002</v>
      </c>
      <c r="E36" s="19">
        <v>48.29</v>
      </c>
      <c r="F36" s="19">
        <v>1.2</v>
      </c>
      <c r="G36" s="19">
        <v>0.48</v>
      </c>
      <c r="H36" s="18">
        <v>0</v>
      </c>
      <c r="I36" s="20">
        <f>F36*0.7</f>
        <v>0.84</v>
      </c>
      <c r="J36" s="20">
        <f>G36*0.5</f>
        <v>0.24</v>
      </c>
      <c r="K36" s="19">
        <v>413.1</v>
      </c>
      <c r="L36" s="18">
        <f t="shared" si="2"/>
        <v>0.41357573314750001</v>
      </c>
      <c r="M36">
        <f t="shared" si="3"/>
        <v>510</v>
      </c>
      <c r="N36">
        <f t="shared" si="4"/>
        <v>1</v>
      </c>
      <c r="O36">
        <f t="shared" si="5"/>
        <v>0.3</v>
      </c>
    </row>
    <row r="37" spans="1:15">
      <c r="A37" s="18" t="s">
        <v>27</v>
      </c>
      <c r="B37" s="18">
        <v>8140</v>
      </c>
      <c r="C37" s="21">
        <v>0.19179299999999999</v>
      </c>
      <c r="D37" s="19">
        <v>0.77700000000000002</v>
      </c>
      <c r="E37" s="19">
        <v>48.29</v>
      </c>
      <c r="F37" s="19">
        <v>1.2</v>
      </c>
      <c r="G37" s="19">
        <v>0.48</v>
      </c>
      <c r="H37" s="18">
        <v>1</v>
      </c>
      <c r="I37" s="20">
        <f t="shared" ref="I37:I38" si="20">F37</f>
        <v>1.2</v>
      </c>
      <c r="J37" s="20">
        <f t="shared" ref="J37:J38" si="21">G37</f>
        <v>0.48</v>
      </c>
      <c r="K37" s="19">
        <v>4423.6000000000004</v>
      </c>
      <c r="L37" s="18">
        <f t="shared" si="2"/>
        <v>0.59969403705750002</v>
      </c>
      <c r="M37">
        <f t="shared" si="3"/>
        <v>740</v>
      </c>
      <c r="N37">
        <f t="shared" si="4"/>
        <v>2</v>
      </c>
      <c r="O37">
        <f t="shared" si="5"/>
        <v>0.8</v>
      </c>
    </row>
    <row r="38" spans="1:15">
      <c r="A38" s="18" t="s">
        <v>27</v>
      </c>
      <c r="B38" s="18">
        <v>8330</v>
      </c>
      <c r="C38" s="21">
        <v>1.2279999999999999E-3</v>
      </c>
      <c r="D38" s="19">
        <v>0.28599999999999998</v>
      </c>
      <c r="E38" s="19">
        <v>48.29</v>
      </c>
      <c r="F38" s="19">
        <v>1.77</v>
      </c>
      <c r="G38" s="19">
        <v>0.17699999999999999</v>
      </c>
      <c r="H38" s="18">
        <v>1</v>
      </c>
      <c r="I38" s="20">
        <f t="shared" si="20"/>
        <v>1.77</v>
      </c>
      <c r="J38" s="20">
        <f t="shared" si="21"/>
        <v>0.17699999999999999</v>
      </c>
      <c r="K38" s="19">
        <v>3.2</v>
      </c>
      <c r="L38" s="18">
        <f t="shared" si="2"/>
        <v>1.4133195266666666E-3</v>
      </c>
      <c r="M38">
        <f t="shared" si="3"/>
        <v>2</v>
      </c>
      <c r="N38">
        <f t="shared" si="4"/>
        <v>0</v>
      </c>
      <c r="O38">
        <f t="shared" si="5"/>
        <v>0</v>
      </c>
    </row>
    <row r="39" spans="1:15">
      <c r="A39" s="18" t="s">
        <v>27</v>
      </c>
      <c r="B39" s="18">
        <v>1700</v>
      </c>
      <c r="C39" s="21">
        <v>1.8032300000000001</v>
      </c>
      <c r="D39" s="19">
        <v>0.78600000000000003</v>
      </c>
      <c r="E39" s="19">
        <v>48.29</v>
      </c>
      <c r="F39" s="19">
        <v>1.8</v>
      </c>
      <c r="G39" s="19">
        <v>0.47799999999999998</v>
      </c>
      <c r="H39" s="18">
        <v>1</v>
      </c>
      <c r="I39" s="20">
        <f t="shared" ref="I39" si="22">F39</f>
        <v>1.8</v>
      </c>
      <c r="J39" s="20">
        <f t="shared" ref="J39" si="23">G39</f>
        <v>0.47799999999999998</v>
      </c>
      <c r="K39" s="19">
        <v>8487.1</v>
      </c>
      <c r="L39" s="18">
        <f t="shared" si="2"/>
        <v>5.70360747385</v>
      </c>
      <c r="M39">
        <f t="shared" si="3"/>
        <v>7035</v>
      </c>
      <c r="N39">
        <f t="shared" si="4"/>
        <v>28</v>
      </c>
      <c r="O39">
        <f t="shared" si="5"/>
        <v>7.4</v>
      </c>
    </row>
    <row r="40" spans="1:15">
      <c r="A40" s="18" t="s">
        <v>27</v>
      </c>
      <c r="B40" s="18">
        <v>1200</v>
      </c>
      <c r="C40" s="21">
        <v>1.9543000000000001E-2</v>
      </c>
      <c r="D40" s="19">
        <v>0.38900000000000001</v>
      </c>
      <c r="E40" s="19">
        <v>48.29</v>
      </c>
      <c r="F40" s="19">
        <v>2.23</v>
      </c>
      <c r="G40" s="19">
        <v>0.316</v>
      </c>
      <c r="H40" s="18">
        <v>0</v>
      </c>
      <c r="I40" s="20">
        <f>F40*0.7</f>
        <v>1.5609999999999999</v>
      </c>
      <c r="J40" s="20">
        <f>G40*0.5</f>
        <v>0.158</v>
      </c>
      <c r="K40" s="19">
        <v>26</v>
      </c>
      <c r="L40" s="18">
        <f t="shared" si="2"/>
        <v>3.0592628485833339E-2</v>
      </c>
      <c r="M40">
        <f t="shared" si="3"/>
        <v>38</v>
      </c>
      <c r="N40">
        <f t="shared" si="4"/>
        <v>0</v>
      </c>
      <c r="O40">
        <f t="shared" si="5"/>
        <v>0</v>
      </c>
    </row>
    <row r="41" spans="1:15">
      <c r="A41" s="18" t="s">
        <v>27</v>
      </c>
      <c r="B41" s="18">
        <v>1800</v>
      </c>
      <c r="C41" s="21">
        <v>0.39876499999999998</v>
      </c>
      <c r="D41" s="19">
        <v>0.182</v>
      </c>
      <c r="E41" s="19">
        <v>48.29</v>
      </c>
      <c r="F41" s="19">
        <v>1.25</v>
      </c>
      <c r="G41" s="19">
        <v>7.5999999999999998E-2</v>
      </c>
      <c r="H41" s="18">
        <v>1</v>
      </c>
      <c r="I41" s="20">
        <f t="shared" ref="I41:I43" si="24">F41</f>
        <v>1.25</v>
      </c>
      <c r="J41" s="20">
        <f t="shared" ref="J41:J43" si="25">G41</f>
        <v>7.5999999999999998E-2</v>
      </c>
      <c r="K41" s="19">
        <v>248.3</v>
      </c>
      <c r="L41" s="18">
        <f t="shared" si="2"/>
        <v>0.29205482139166661</v>
      </c>
      <c r="M41">
        <f t="shared" si="3"/>
        <v>360</v>
      </c>
      <c r="N41">
        <f t="shared" si="4"/>
        <v>1</v>
      </c>
      <c r="O41">
        <f t="shared" si="5"/>
        <v>0.1</v>
      </c>
    </row>
    <row r="42" spans="1:15">
      <c r="A42" s="18" t="s">
        <v>27</v>
      </c>
      <c r="B42" s="18">
        <v>1800</v>
      </c>
      <c r="C42" s="21">
        <v>0.325712</v>
      </c>
      <c r="D42" s="19">
        <v>0.182</v>
      </c>
      <c r="E42" s="19">
        <v>48.29</v>
      </c>
      <c r="F42" s="19">
        <v>1.25</v>
      </c>
      <c r="G42" s="19">
        <v>7.5999999999999998E-2</v>
      </c>
      <c r="H42" s="18">
        <v>1</v>
      </c>
      <c r="I42" s="20">
        <f t="shared" si="24"/>
        <v>1.25</v>
      </c>
      <c r="J42" s="20">
        <f t="shared" si="25"/>
        <v>7.5999999999999998E-2</v>
      </c>
      <c r="K42" s="19">
        <v>240.9</v>
      </c>
      <c r="L42" s="18">
        <f t="shared" si="2"/>
        <v>0.23855092594666663</v>
      </c>
      <c r="M42">
        <f t="shared" si="3"/>
        <v>294</v>
      </c>
      <c r="N42">
        <f t="shared" si="4"/>
        <v>1</v>
      </c>
      <c r="O42">
        <f t="shared" si="5"/>
        <v>0</v>
      </c>
    </row>
    <row r="43" spans="1:15">
      <c r="A43" s="18" t="s">
        <v>27</v>
      </c>
      <c r="B43" s="18">
        <v>1200</v>
      </c>
      <c r="C43" s="21">
        <v>4.1389000000000002E-2</v>
      </c>
      <c r="D43" s="19">
        <v>0.38900000000000001</v>
      </c>
      <c r="E43" s="19">
        <v>48.29</v>
      </c>
      <c r="F43" s="19">
        <v>2.23</v>
      </c>
      <c r="G43" s="19">
        <v>0.316</v>
      </c>
      <c r="H43" s="18">
        <v>1</v>
      </c>
      <c r="I43" s="20">
        <f t="shared" si="24"/>
        <v>2.23</v>
      </c>
      <c r="J43" s="20">
        <f t="shared" si="25"/>
        <v>0.316</v>
      </c>
      <c r="K43" s="19">
        <v>5861.7</v>
      </c>
      <c r="L43" s="18">
        <f t="shared" si="2"/>
        <v>6.4790375090833338E-2</v>
      </c>
      <c r="M43">
        <f t="shared" si="3"/>
        <v>80</v>
      </c>
      <c r="N43">
        <f t="shared" si="4"/>
        <v>0</v>
      </c>
      <c r="O43">
        <f t="shared" si="5"/>
        <v>0.1</v>
      </c>
    </row>
    <row r="44" spans="1:15">
      <c r="C44">
        <f>SUM(C2:C43)</f>
        <v>76.998804999999976</v>
      </c>
      <c r="N44">
        <f>SUM(N2:N43)</f>
        <v>1006</v>
      </c>
      <c r="O44">
        <f>SUM(O2:O43)</f>
        <v>236.89999999999998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Wet Pond Calcs</vt:lpstr>
      <vt:lpstr>MEL-1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2011-08-10T20:53:35Z</dcterms:created>
  <dcterms:modified xsi:type="dcterms:W3CDTF">2011-10-19T18:29:42Z</dcterms:modified>
</cp:coreProperties>
</file>