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3.xml" ContentType="application/vnd.openxmlformats-officedocument.spreadsheetml.comments+xml"/>
  <Override PartName="/xl/threadedComments/threadedComment3.xml" ContentType="application/vnd.ms-excel.threadedcomments+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pivotTables/pivotTable5.xml" ContentType="application/vnd.openxmlformats-officedocument.spreadsheetml.pivotTable+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Publicfiles\pubfds\DEAR\BMAP\IndianRiverLagoon\GIS\2020_Allocations\IRL_ProjectCalcs\"/>
    </mc:Choice>
  </mc:AlternateContent>
  <xr:revisionPtr revIDLastSave="0" documentId="13_ncr:1_{C9EC343E-16CC-4A03-9DAD-0B44FE7D5E6A}" xr6:coauthVersionLast="45" xr6:coauthVersionMax="45" xr10:uidLastSave="{00000000-0000-0000-0000-000000000000}"/>
  <bookViews>
    <workbookView xWindow="28680" yWindow="-120" windowWidth="29040" windowHeight="15840" tabRatio="717" activeTab="1" xr2:uid="{00000000-000D-0000-FFFF-FFFF00000000}"/>
  </bookViews>
  <sheets>
    <sheet name="Notes" sheetId="9" r:id="rId1"/>
    <sheet name="BRL All Projects" sheetId="6" r:id="rId2"/>
    <sheet name="Lat Long Append" sheetId="15" r:id="rId3"/>
    <sheet name="Project Type Corrections 2019" sheetId="14" r:id="rId4"/>
    <sheet name="Load Reductions" sheetId="4" r:id="rId5"/>
    <sheet name="TN Progress Chart" sheetId="12" r:id="rId6"/>
    <sheet name="TP Progress Chart" sheetId="13" r:id="rId7"/>
    <sheet name="Summary Info" sheetId="11" r:id="rId8"/>
  </sheets>
  <externalReferences>
    <externalReference r:id="rId9"/>
    <externalReference r:id="rId10"/>
  </externalReferences>
  <definedNames>
    <definedName name="_xlnm._FilterDatabase" localSheetId="1" hidden="1">'BRL All Projects'!$A$1:$AD$309</definedName>
    <definedName name="Dates" localSheetId="6">#REF!</definedName>
    <definedName name="Dates">#REF!</definedName>
    <definedName name="OLE_LINK1" localSheetId="1">'BRL All Projects'!#REF!</definedName>
    <definedName name="Project_Type">[1]Sheet4!$A$1:$A$15</definedName>
    <definedName name="ProjectType" localSheetId="6">#REF!</definedName>
    <definedName name="ProjectType">#REF!</definedName>
    <definedName name="Status" localSheetId="6">#REF!</definedName>
    <definedName name="Status">#REF!</definedName>
  </definedNames>
  <calcPr calcId="191029" calcOnSave="0"/>
  <pivotCaches>
    <pivotCache cacheId="6" r:id="rId11"/>
    <pivotCache cacheId="7" r:id="rId12"/>
    <pivotCache cacheId="8" r:id="rId13"/>
    <pivotCache cacheId="9" r:id="rId14"/>
    <pivotCache cacheId="10"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 i="12" l="1"/>
  <c r="F4" i="12"/>
  <c r="G5" i="12"/>
  <c r="F5" i="12"/>
  <c r="G4" i="13"/>
  <c r="F4" i="13"/>
  <c r="J3" i="14" l="1"/>
  <c r="J2" i="14"/>
  <c r="F5" i="13"/>
  <c r="G5" i="13"/>
  <c r="F6" i="12"/>
  <c r="G6" i="12"/>
  <c r="F7" i="12" l="1"/>
  <c r="G11" i="4"/>
  <c r="N12" i="4"/>
  <c r="N13" i="4"/>
  <c r="H48" i="4"/>
  <c r="H15" i="4"/>
  <c r="H50" i="4"/>
  <c r="H14" i="4"/>
  <c r="G7" i="12"/>
  <c r="G49" i="4"/>
  <c r="H54" i="4"/>
  <c r="H17" i="4"/>
  <c r="H44" i="4"/>
  <c r="H49" i="4"/>
  <c r="H52" i="4"/>
  <c r="G45" i="4"/>
  <c r="H12" i="4"/>
  <c r="H16" i="4"/>
  <c r="G50" i="4"/>
  <c r="G43" i="4"/>
  <c r="G46" i="4"/>
  <c r="H51" i="4"/>
  <c r="N15" i="4"/>
  <c r="N18" i="4"/>
  <c r="H46" i="4"/>
  <c r="G52" i="4"/>
  <c r="H47" i="4"/>
  <c r="N14" i="4"/>
  <c r="N16" i="4"/>
  <c r="G6" i="13"/>
  <c r="G54" i="4"/>
  <c r="G51" i="4"/>
  <c r="F8" i="12"/>
  <c r="F6" i="13"/>
  <c r="H13" i="4"/>
  <c r="N17" i="4"/>
  <c r="H18" i="4"/>
  <c r="H45" i="4"/>
  <c r="H43" i="4"/>
  <c r="I11" i="4"/>
  <c r="G48" i="4"/>
  <c r="G47" i="4"/>
  <c r="G44" i="4"/>
  <c r="F7" i="13" l="1"/>
  <c r="G56" i="4"/>
  <c r="H56" i="4"/>
  <c r="B3" i="14"/>
  <c r="B4" i="14"/>
  <c r="B5" i="14"/>
  <c r="B6" i="14"/>
  <c r="B7" i="14"/>
  <c r="B8"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2" i="14"/>
  <c r="G7" i="13"/>
  <c r="F9" i="12"/>
  <c r="G8" i="12"/>
  <c r="F8" i="13"/>
  <c r="J13" i="4" l="1"/>
  <c r="J14" i="4"/>
  <c r="J15" i="4"/>
  <c r="J16" i="4"/>
  <c r="J17" i="4"/>
  <c r="J18" i="4"/>
  <c r="J12" i="4"/>
  <c r="D13" i="4"/>
  <c r="D14" i="4"/>
  <c r="D15" i="4"/>
  <c r="D16" i="4"/>
  <c r="D17" i="4"/>
  <c r="D18" i="4"/>
  <c r="D12" i="4"/>
  <c r="K18" i="4"/>
  <c r="E18" i="4"/>
  <c r="E16" i="4"/>
  <c r="E17" i="4"/>
  <c r="E15" i="4"/>
  <c r="F10" i="12"/>
  <c r="K13" i="4"/>
  <c r="K12" i="4"/>
  <c r="G8" i="13"/>
  <c r="K15" i="4"/>
  <c r="K17" i="4"/>
  <c r="E14" i="4"/>
  <c r="K14" i="4"/>
  <c r="G9" i="12"/>
  <c r="K16" i="4"/>
  <c r="E12" i="4"/>
  <c r="E13" i="4"/>
  <c r="D11" i="4" l="1"/>
  <c r="E11" i="4"/>
  <c r="E19" i="4" s="1"/>
  <c r="L14" i="4"/>
  <c r="F15" i="4"/>
  <c r="F18" i="4"/>
  <c r="F14" i="4"/>
  <c r="L17" i="4"/>
  <c r="F17" i="4"/>
  <c r="F13" i="4"/>
  <c r="L16" i="4"/>
  <c r="F16" i="4"/>
  <c r="L12" i="4"/>
  <c r="L15" i="4"/>
  <c r="F12" i="4"/>
  <c r="L18" i="4"/>
  <c r="L13" i="4"/>
  <c r="D19" i="4"/>
  <c r="J11" i="4"/>
  <c r="K11" i="4"/>
  <c r="K19" i="4" s="1"/>
  <c r="M11" i="4"/>
  <c r="G10" i="12"/>
  <c r="F19" i="4"/>
  <c r="F11" i="4"/>
  <c r="L11" i="4"/>
  <c r="G9" i="13"/>
  <c r="O11" i="4"/>
  <c r="J19" i="4" l="1"/>
  <c r="I12" i="4"/>
  <c r="F9" i="13"/>
  <c r="L19" i="4"/>
  <c r="G10" i="13"/>
  <c r="O12" i="4" l="1"/>
  <c r="F10" i="13"/>
  <c r="I13" i="4" l="1"/>
  <c r="A31" i="11" l="1"/>
  <c r="D31" i="11" s="1"/>
  <c r="A27" i="11"/>
  <c r="D27" i="11" s="1"/>
  <c r="O13" i="4"/>
  <c r="I14" i="4" l="1"/>
  <c r="O14" i="4" l="1"/>
  <c r="I15" i="4" l="1"/>
  <c r="O15" i="4" l="1"/>
  <c r="I16" i="4" l="1"/>
  <c r="O16" i="4" l="1"/>
  <c r="I17" i="4" l="1"/>
  <c r="O17" i="4"/>
  <c r="H11" i="4"/>
  <c r="I18" i="4"/>
  <c r="N11" i="4" l="1"/>
  <c r="N19" i="4" s="1"/>
  <c r="O18" i="4"/>
  <c r="G19" i="4"/>
  <c r="M19" i="4"/>
  <c r="H19" i="4"/>
  <c r="I19" i="4"/>
  <c r="O1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tc={481CE28E-FE82-4B6A-B307-329186CDC93B}</author>
    <author>tc={AE903278-C0DB-40B8-8BEE-B21A173C98BD}</author>
    <author>tc={7BAA1B8D-61B7-4D21-8CD0-9FE316162D04}</author>
    <author>tc={3203C33C-197E-48AC-8274-80B777911E49}</author>
    <author>tc={B6E945A7-0536-4D6F-802C-B07D955FE4EE}</author>
    <author>tc={4800C61B-8A96-41F0-8211-5222CA271FF9}</author>
    <author>tc={07F7A486-FFC1-49E5-B544-F629C780015D}</author>
    <author>tc={E4F30DC6-35CB-419F-BE70-EDEF2584F5CD}</author>
    <author>tc={E7C2D486-EA1B-453E-8034-0D825C2CC2C4}</author>
    <author>tc={DDD691B0-81EC-4F81-B81F-C22B4B529772}</author>
    <author>tc={D6DAE576-E50C-409B-8302-72B4787BE52C}</author>
    <author>tc={D5D0D4A1-F3D4-40E9-8D5C-DCA9A1746FDE}</author>
    <author>tc={C32EF175-1A18-4814-914B-A34B4E026221}</author>
    <author>tc={0EAB31FC-96AE-4F40-A23A-218BC6532C78}</author>
    <author>tc={3B80E70A-8D96-41FD-9A62-700EDD179773}</author>
    <author>tc={F6AB361E-F7DA-4D4D-89E8-7AF02FE73EDB}</author>
    <author>tc={681F1363-4195-4602-A444-1CA3B1ACE339}</author>
    <author>tc={508A3A6A-3455-4FDB-A2C0-E24EB956CA10}</author>
    <author>tc={A701750A-FCC3-4E39-95F4-F1FC8C92B565}</author>
    <author>tc={2B60BEEA-E093-4E35-9CEF-DD0FD991836C}</author>
    <author>tc={2F97E32B-BBD5-4438-AA0A-3AB87F8C8CF1}</author>
    <author>tc={B26B4098-1577-4059-931E-5296888337BC}</author>
    <author>tc={98F38A2B-E67D-4FE7-BFAB-D9852F99466A}</author>
    <author>tc={F61158F8-276E-4207-8A1B-7045D7AF1E7D}</author>
    <author>tc={20801D70-70D1-4149-AB74-6B778ED25821}</author>
    <author>tc={4D7995EC-1C1C-4E07-8CF3-D38D50AE32C1}</author>
    <author>tc={1D35E1B6-C7EC-422A-ABB4-6DE0BC4AA00F}</author>
    <author>tc={F8494494-9B6B-4A5D-901D-87A691CDE4CE}</author>
    <author>tc={0DD34438-B613-4AE7-AC21-AE7D75C16CBE}</author>
    <author>tc={76ECA252-3AF3-4940-A02F-CF0784FF58ED}</author>
    <author>tc={C6C4AA11-78D9-46D4-9588-F92A222DC743}</author>
    <author>tc={2E6F00BB-9418-4E9C-9CD8-49099EEAA5A8}</author>
    <author>tc={A7572CAC-7A06-4B25-8902-BA782127B75C}</author>
    <author>tc={95A441A2-82A3-4317-94ED-1BD10FAAC535}</author>
    <author>tc={40F08E56-0C43-4822-9928-089E1294CF32}</author>
    <author>tc={3F96E549-C0C2-4079-A0F2-F5F4327F26AC}</author>
    <author>tc={DE831C9F-6A6C-47C9-82BD-48E3CE4450B1}</author>
    <author>tc={E55BDC6E-87EB-47D8-B34F-3E1A642DB72A}</author>
    <author>tc={611763DF-CE57-4BD8-9004-380D816DFDA9}</author>
    <author>tc={DCC1A1D9-957E-4D8F-AAD1-CA2AA045E0CC}</author>
    <author>tc={83EF5A54-4C8C-464B-AA6C-C1624E109370}</author>
    <author>tc={96174B7A-88CC-4721-94BE-BCF694FF6BBA}</author>
    <author>tc={7A9FA2E6-89B7-4AE0-8CF3-9D23BA0CEA08}</author>
    <author>tc={97B480DF-167E-4A24-A78A-F28142AFE52F}</author>
    <author>tc={1FC9AFF3-8569-47FA-818C-8039BCC8E0E2}</author>
    <author>tc={43CBFA60-8A33-4A8B-8003-2A82BCF1F0B2}</author>
    <author>tc={21080653-05CD-4328-9BF4-FDEA4E2F2D2A}</author>
    <author>tc={BA255BC4-B7D5-489C-914D-9BB67DD6700D}</author>
    <author>tc={396928AF-C398-478B-8D4B-5A672544AAD0}</author>
  </authors>
  <commentList>
    <comment ref="B30" authorId="0" shapeId="0" xr:uid="{481CE28E-FE82-4B6A-B307-329186CDC93B}">
      <text>
        <t>[Threaded comment]
Your version of Excel allows you to read this threaded comment; however, any edits to it will get removed if the file is opened in a newer version of Excel. Learn more: https://go.microsoft.com/fwlink/?linkid=870924
Comment:
    Revised from Brevard County</t>
      </text>
    </comment>
    <comment ref="J33" authorId="1" shapeId="0" xr:uid="{AE903278-C0DB-40B8-8BEE-B21A173C98BD}">
      <text>
        <t>[Threaded comment]
Your version of Excel allows you to read this threaded comment; however, any edits to it will get removed if the file is opened in a newer version of Excel. Learn more: https://go.microsoft.com/fwlink/?linkid=870924
Comment:
    Kept as TBD</t>
      </text>
    </comment>
    <comment ref="K33" authorId="2" shapeId="0" xr:uid="{7BAA1B8D-61B7-4D21-8CD0-9FE316162D04}">
      <text>
        <t>[Threaded comment]
Your version of Excel allows you to read this threaded comment; however, any edits to it will get removed if the file is opened in a newer version of Excel. Learn more: https://go.microsoft.com/fwlink/?linkid=870924
Comment:
    Kept as TBD</t>
      </text>
    </comment>
    <comment ref="B34" authorId="3" shapeId="0" xr:uid="{3203C33C-197E-48AC-8274-80B777911E49}">
      <text>
        <t>[Threaded comment]
Your version of Excel allows you to read this threaded comment; however, any edits to it will get removed if the file is opened in a newer version of Excel. Learn more: https://go.microsoft.com/fwlink/?linkid=870924
Comment:
    Revised from Brevard County</t>
      </text>
    </comment>
    <comment ref="B35" authorId="4" shapeId="0" xr:uid="{B6E945A7-0536-4D6F-802C-B07D955FE4EE}">
      <text>
        <t>[Threaded comment]
Your version of Excel allows you to read this threaded comment; however, any edits to it will get removed if the file is opened in a newer version of Excel. Learn more: https://go.microsoft.com/fwlink/?linkid=870924
Comment:
    Revised from Brevard County</t>
      </text>
    </comment>
    <comment ref="P36" authorId="5" shapeId="0" xr:uid="{4800C61B-8A96-41F0-8211-5222CA271FF9}">
      <text>
        <t>[Threaded comment]
Your version of Excel allows you to read this threaded comment; however, any edits to it will get removed if the file is opened in a newer version of Excel. Learn more: https://go.microsoft.com/fwlink/?linkid=870924
Comment:
    Stacy marked this as the same as BC-01 with a strikethrough in her submittal. (BC)</t>
      </text>
    </comment>
    <comment ref="Q36" authorId="6" shapeId="0" xr:uid="{07F7A486-FFC1-49E5-B544-F629C780015D}">
      <text>
        <t>[Threaded comment]
Your version of Excel allows you to read this threaded comment; however, any edits to it will get removed if the file is opened in a newer version of Excel. Learn more: https://go.microsoft.com/fwlink/?linkid=870924
Comment:
    Stacy marked this as the same as BC-01 with a strikethrough in her submittal. (4,200,000)</t>
      </text>
    </comment>
    <comment ref="J37" authorId="7" shapeId="0" xr:uid="{E4F30DC6-35CB-419F-BE70-EDEF2584F5CD}">
      <text>
        <t>[Threaded comment]
Your version of Excel allows you to read this threaded comment; however, any edits to it will get removed if the file is opened in a newer version of Excel. Learn more: https://go.microsoft.com/fwlink/?linkid=870924
Comment:
    Revised from TBD</t>
      </text>
    </comment>
    <comment ref="K37" authorId="8" shapeId="0" xr:uid="{E7C2D486-EA1B-453E-8034-0D825C2CC2C4}">
      <text>
        <t>[Threaded comment]
Your version of Excel allows you to read this threaded comment; however, any edits to it will get removed if the file is opened in a newer version of Excel. Learn more: https://go.microsoft.com/fwlink/?linkid=870924
Comment:
    Revised from TBD</t>
      </text>
    </comment>
    <comment ref="J43" authorId="9" shapeId="0" xr:uid="{DDD691B0-81EC-4F81-B81F-C22B4B529772}">
      <text>
        <t>[Threaded comment]
Your version of Excel allows you to read this threaded comment; however, any edits to it will get removed if the file is opened in a newer version of Excel. Learn more: https://go.microsoft.com/fwlink/?linkid=870924
Comment:
    Revised from TBD</t>
      </text>
    </comment>
    <comment ref="K43" authorId="10" shapeId="0" xr:uid="{D6DAE576-E50C-409B-8302-72B4787BE52C}">
      <text>
        <t>[Threaded comment]
Your version of Excel allows you to read this threaded comment; however, any edits to it will get removed if the file is opened in a newer version of Excel. Learn more: https://go.microsoft.com/fwlink/?linkid=870924
Comment:
    Revised from TBD</t>
      </text>
    </comment>
    <comment ref="J96" authorId="11" shapeId="0" xr:uid="{D5D0D4A1-F3D4-40E9-8D5C-DCA9A1746FDE}">
      <text>
        <t>[Threaded comment]
Your version of Excel allows you to read this threaded comment; however, any edits to it will get removed if the file is opened in a newer version of Excel. Learn more: https://go.microsoft.com/fwlink/?linkid=870924
Comment:
    2017 submitted as 330 TN and 74 TP, while underway. Calculations were not done using the BMP Trains Model and will be recalculated using approved method.</t>
      </text>
    </comment>
    <comment ref="N96" authorId="12" shapeId="0" xr:uid="{C32EF175-1A18-4814-914B-A34B4E026221}">
      <text>
        <t>[Threaded comment]
Your version of Excel allows you to read this threaded comment; however, any edits to it will get removed if the file is opened in a newer version of Excel. Learn more: https://go.microsoft.com/fwlink/?linkid=870924
Comment:
    October 4, 2018 metrics listed this as $4,625,328. Workbook sent to stakeholder had this as 2,975,671 stakeholder did not have this highlighted as a change.</t>
      </text>
    </comment>
    <comment ref="P97" authorId="13" shapeId="0" xr:uid="{0EAB31FC-96AE-4F40-A23A-218BC6532C78}">
      <text>
        <t>[Threaded comment]
Your version of Excel allows you to read this threaded comment; however, any edits to it will get removed if the file is opened in a newer version of Excel. Learn more: https://go.microsoft.com/fwlink/?linkid=870924
Comment:
    2018 stakeholder submission indicated possible funding sources from TMDL/ 319/ SOIRK/ SJRWMD</t>
      </text>
    </comment>
    <comment ref="J106" authorId="14" shapeId="0" xr:uid="{3B80E70A-8D96-41FD-9A62-700EDD179773}">
      <text>
        <t>[Threaded comment]
Your version of Excel allows you to read this threaded comment; however, any edits to it will get removed if the file is opened in a newer version of Excel. Learn more: https://go.microsoft.com/fwlink/?linkid=870924
Comment:
    Kept TBD</t>
      </text>
    </comment>
    <comment ref="K106" authorId="15" shapeId="0" xr:uid="{F6AB361E-F7DA-4D4D-89E8-7AF02FE73EDB}">
      <text>
        <t>[Threaded comment]
Your version of Excel allows you to read this threaded comment; however, any edits to it will get removed if the file is opened in a newer version of Excel. Learn more: https://go.microsoft.com/fwlink/?linkid=870924
Comment:
    Kept TBD</t>
      </text>
    </comment>
    <comment ref="J123" authorId="16" shapeId="0" xr:uid="{681F1363-4195-4602-A444-1CA3B1ACE339}">
      <text>
        <t>[Threaded comment]
Your version of Excel allows you to read this threaded comment; however, any edits to it will get removed if the file is opened in a newer version of Excel. Learn more: https://go.microsoft.com/fwlink/?linkid=870924
Comment:
    Revised from 31</t>
      </text>
    </comment>
    <comment ref="K123" authorId="17" shapeId="0" xr:uid="{508A3A6A-3455-4FDB-A2C0-E24EB956CA10}">
      <text>
        <t>[Threaded comment]
Your version of Excel allows you to read this threaded comment; however, any edits to it will get removed if the file is opened in a newer version of Excel. Learn more: https://go.microsoft.com/fwlink/?linkid=870924
Comment:
    Revised from 15</t>
      </text>
    </comment>
    <comment ref="J131" authorId="18" shapeId="0" xr:uid="{A701750A-FCC3-4E39-95F4-F1FC8C92B565}">
      <text>
        <t>[Threaded comment]
Your version of Excel allows you to read this threaded comment; however, any edits to it will get removed if the file is opened in a newer version of Excel. Learn more: https://go.microsoft.com/fwlink/?linkid=870924
Comment:
    Kept as TBD</t>
      </text>
    </comment>
    <comment ref="K131" authorId="19" shapeId="0" xr:uid="{2B60BEEA-E093-4E35-9CEF-DD0FD991836C}">
      <text>
        <t>[Threaded comment]
Your version of Excel allows you to read this threaded comment; however, any edits to it will get removed if the file is opened in a newer version of Excel. Learn more: https://go.microsoft.com/fwlink/?linkid=870924
Comment:
    Kept as TBD</t>
      </text>
    </comment>
    <comment ref="J132" authorId="20" shapeId="0" xr:uid="{2F97E32B-BBD5-4438-AA0A-3AB87F8C8CF1}">
      <text>
        <t>[Threaded comment]
Your version of Excel allows you to read this threaded comment; however, any edits to it will get removed if the file is opened in a newer version of Excel. Learn more: https://go.microsoft.com/fwlink/?linkid=870924
Comment:
    Kept as TBD</t>
      </text>
    </comment>
    <comment ref="K132" authorId="21" shapeId="0" xr:uid="{B26B4098-1577-4059-931E-5296888337BC}">
      <text>
        <t>[Threaded comment]
Your version of Excel allows you to read this threaded comment; however, any edits to it will get removed if the file is opened in a newer version of Excel. Learn more: https://go.microsoft.com/fwlink/?linkid=870924
Comment:
    Kept as TBD</t>
      </text>
    </comment>
    <comment ref="J133" authorId="22" shapeId="0" xr:uid="{98F38A2B-E67D-4FE7-BFAB-D9852F99466A}">
      <text>
        <t>[Threaded comment]
Your version of Excel allows you to read this threaded comment; however, any edits to it will get removed if the file is opened in a newer version of Excel. Learn more: https://go.microsoft.com/fwlink/?linkid=870924
Comment:
    Revised from TBD</t>
      </text>
    </comment>
    <comment ref="K133" authorId="23" shapeId="0" xr:uid="{F61158F8-276E-4207-8A1B-7045D7AF1E7D}">
      <text>
        <t>[Threaded comment]
Your version of Excel allows you to read this threaded comment; however, any edits to it will get removed if the file is opened in a newer version of Excel. Learn more: https://go.microsoft.com/fwlink/?linkid=870924
Comment:
    Revised from TBD</t>
      </text>
    </comment>
    <comment ref="J134" authorId="24" shapeId="0" xr:uid="{20801D70-70D1-4149-AB74-6B778ED25821}">
      <text>
        <t>[Threaded comment]
Your version of Excel allows you to read this threaded comment; however, any edits to it will get removed if the file is opened in a newer version of Excel. Learn more: https://go.microsoft.com/fwlink/?linkid=870924
Comment:
    Revised from TBD</t>
      </text>
    </comment>
    <comment ref="K134" authorId="25" shapeId="0" xr:uid="{4D7995EC-1C1C-4E07-8CF3-D38D50AE32C1}">
      <text>
        <t>[Threaded comment]
Your version of Excel allows you to read this threaded comment; however, any edits to it will get removed if the file is opened in a newer version of Excel. Learn more: https://go.microsoft.com/fwlink/?linkid=870924
Comment:
    Revised from TBD</t>
      </text>
    </comment>
    <comment ref="J135" authorId="26" shapeId="0" xr:uid="{1D35E1B6-C7EC-422A-ABB4-6DE0BC4AA00F}">
      <text>
        <t>[Threaded comment]
Your version of Excel allows you to read this threaded comment; however, any edits to it will get removed if the file is opened in a newer version of Excel. Learn more: https://go.microsoft.com/fwlink/?linkid=870924
Comment:
    Revised from TBD</t>
      </text>
    </comment>
    <comment ref="K135" authorId="27" shapeId="0" xr:uid="{F8494494-9B6B-4A5D-901D-87A691CDE4CE}">
      <text>
        <t>[Threaded comment]
Your version of Excel allows you to read this threaded comment; however, any edits to it will get removed if the file is opened in a newer version of Excel. Learn more: https://go.microsoft.com/fwlink/?linkid=870924
Comment:
    Revised from TBD</t>
      </text>
    </comment>
    <comment ref="J136" authorId="28" shapeId="0" xr:uid="{0DD34438-B613-4AE7-AC21-AE7D75C16CBE}">
      <text>
        <t>[Threaded comment]
Your version of Excel allows you to read this threaded comment; however, any edits to it will get removed if the file is opened in a newer version of Excel. Learn more: https://go.microsoft.com/fwlink/?linkid=870924
Comment:
    Revised from 261</t>
      </text>
    </comment>
    <comment ref="K136" authorId="29" shapeId="0" xr:uid="{76ECA252-3AF3-4940-A02F-CF0784FF58ED}">
      <text>
        <t>[Threaded comment]
Your version of Excel allows you to read this threaded comment; however, any edits to it will get removed if the file is opened in a newer version of Excel. Learn more: https://go.microsoft.com/fwlink/?linkid=870924
Comment:
    Revised from 63</t>
      </text>
    </comment>
    <comment ref="J137" authorId="30" shapeId="0" xr:uid="{C6C4AA11-78D9-46D4-9588-F92A222DC743}">
      <text>
        <t>[Threaded comment]
Your version of Excel allows you to read this threaded comment; however, any edits to it will get removed if the file is opened in a newer version of Excel. Learn more: https://go.microsoft.com/fwlink/?linkid=870924
Comment:
    Revised from 261</t>
      </text>
    </comment>
    <comment ref="K137" authorId="31" shapeId="0" xr:uid="{2E6F00BB-9418-4E9C-9CD8-49099EEAA5A8}">
      <text>
        <t>[Threaded comment]
Your version of Excel allows you to read this threaded comment; however, any edits to it will get removed if the file is opened in a newer version of Excel. Learn more: https://go.microsoft.com/fwlink/?linkid=870924
Comment:
    Revised from 261</t>
      </text>
    </comment>
    <comment ref="J138" authorId="32" shapeId="0" xr:uid="{A7572CAC-7A06-4B25-8902-BA782127B75C}">
      <text>
        <t>[Threaded comment]
Your version of Excel allows you to read this threaded comment; however, any edits to it will get removed if the file is opened in a newer version of Excel. Learn more: https://go.microsoft.com/fwlink/?linkid=870924
Comment:
    Kept as N/A</t>
      </text>
    </comment>
    <comment ref="K138" authorId="33" shapeId="0" xr:uid="{95A441A2-82A3-4317-94ED-1BD10FAAC535}">
      <text>
        <t>[Threaded comment]
Your version of Excel allows you to read this threaded comment; however, any edits to it will get removed if the file is opened in a newer version of Excel. Learn more: https://go.microsoft.com/fwlink/?linkid=870924
Comment:
    Kept as N/A</t>
      </text>
    </comment>
    <comment ref="J143" authorId="34" shapeId="0" xr:uid="{40F08E56-0C43-4822-9928-089E1294CF32}">
      <text>
        <t>[Threaded comment]
Your version of Excel allows you to read this threaded comment; however, any edits to it will get removed if the file is opened in a newer version of Excel. Learn more: https://go.microsoft.com/fwlink/?linkid=870924
Comment:
    Kept the same</t>
      </text>
    </comment>
    <comment ref="K143" authorId="35" shapeId="0" xr:uid="{3F96E549-C0C2-4079-A0F2-F5F4327F26AC}">
      <text>
        <t>[Threaded comment]
Your version of Excel allows you to read this threaded comment; however, any edits to it will get removed if the file is opened in a newer version of Excel. Learn more: https://go.microsoft.com/fwlink/?linkid=870924
Comment:
    Kept the same</t>
      </text>
    </comment>
    <comment ref="J146" authorId="36" shapeId="0" xr:uid="{DE831C9F-6A6C-47C9-82BD-48E3CE4450B1}">
      <text>
        <t>[Threaded comment]
Your version of Excel allows you to read this threaded comment; however, any edits to it will get removed if the file is opened in a newer version of Excel. Learn more: https://go.microsoft.com/fwlink/?linkid=870924
Comment:
    Corrected to N/A per Stacy.</t>
      </text>
    </comment>
    <comment ref="K146" authorId="37" shapeId="0" xr:uid="{E55BDC6E-87EB-47D8-B34F-3E1A642DB72A}">
      <text>
        <t>[Threaded comment]
Your version of Excel allows you to read this threaded comment; however, any edits to it will get removed if the file is opened in a newer version of Excel. Learn more: https://go.microsoft.com/fwlink/?linkid=870924
Comment:
    Corrected to N/A per Stacy.</t>
      </text>
    </comment>
    <comment ref="J165" authorId="38" shapeId="0" xr:uid="{611763DF-CE57-4BD8-9004-380D816DFDA9}">
      <text>
        <t>[Threaded comment]
Your version of Excel allows you to read this threaded comment; however, any edits to it will get removed if the file is opened in a newer version of Excel. Learn more: https://go.microsoft.com/fwlink/?linkid=870924
Comment:
    FDOT submitted an additional street sweeping project during the 2019 STAR project collection. Since both projects were in Zone B, the credit was combined with FDOT-14.</t>
      </text>
    </comment>
    <comment ref="W211" authorId="39" shapeId="0" xr:uid="{DCC1A1D9-957E-4D8F-AAD1-CA2AA045E0CC}">
      <text>
        <t>[Threaded comment]
Your version of Excel allows you to read this threaded comment; however, any edits to it will get removed if the file is opened in a newer version of Excel. Learn more: https://go.microsoft.com/fwlink/?linkid=870924
Comment:
    Provided two lat longs for this project: 28.60550007
28.58079912
Reply:
    Used first one</t>
      </text>
    </comment>
    <comment ref="X211" authorId="40" shapeId="0" xr:uid="{83EF5A54-4C8C-464B-AA6C-C1624E109370}">
      <text>
        <t>[Threaded comment]
Your version of Excel allows you to read this threaded comment; however, any edits to it will get removed if the file is opened in a newer version of Excel. Learn more: https://go.microsoft.com/fwlink/?linkid=870924
Comment:
    Provided two lat longs for this project:  -80.61352857
	-80.65352906
Reply:
    Used first one</t>
      </text>
    </comment>
    <comment ref="J239" authorId="41" shapeId="0" xr:uid="{96174B7A-88CC-4721-94BE-BCF694FF6BBA}">
      <text>
        <t>[Threaded comment]
Your version of Excel allows you to read this threaded comment; however, any edits to it will get removed if the file is opened in a newer version of Excel. Learn more: https://go.microsoft.com/fwlink/?linkid=870924
Comment:
    Revised from 10</t>
      </text>
    </comment>
    <comment ref="K239" authorId="42" shapeId="0" xr:uid="{7A9FA2E6-89B7-4AE0-8CF3-9D23BA0CEA08}">
      <text>
        <t>[Threaded comment]
Your version of Excel allows you to read this threaded comment; however, any edits to it will get removed if the file is opened in a newer version of Excel. Learn more: https://go.microsoft.com/fwlink/?linkid=870924
Comment:
    Revised from 6</t>
      </text>
    </comment>
    <comment ref="J241" authorId="43" shapeId="0" xr:uid="{97B480DF-167E-4A24-A78A-F28142AFE52F}">
      <text>
        <t>[Threaded comment]
Your version of Excel allows you to read this threaded comment; however, any edits to it will get removed if the file is opened in a newer version of Excel. Learn more: https://go.microsoft.com/fwlink/?linkid=870924
Comment:
    Kept same</t>
      </text>
    </comment>
    <comment ref="K241" authorId="44" shapeId="0" xr:uid="{1FC9AFF3-8569-47FA-818C-8039BCC8E0E2}">
      <text>
        <t>[Threaded comment]
Your version of Excel allows you to read this threaded comment; however, any edits to it will get removed if the file is opened in a newer version of Excel. Learn more: https://go.microsoft.com/fwlink/?linkid=870924
Comment:
    Kept same</t>
      </text>
    </comment>
    <comment ref="J245" authorId="45" shapeId="0" xr:uid="{43CBFA60-8A33-4A8B-8003-2A82BCF1F0B2}">
      <text>
        <t>[Threaded comment]
Your version of Excel allows you to read this threaded comment; however, any edits to it will get removed if the file is opened in a newer version of Excel. Learn more: https://go.microsoft.com/fwlink/?linkid=870924
Comment:
    Kept same</t>
      </text>
    </comment>
    <comment ref="K245" authorId="46" shapeId="0" xr:uid="{21080653-05CD-4328-9BF4-FDEA4E2F2D2A}">
      <text>
        <t>[Threaded comment]
Your version of Excel allows you to read this threaded comment; however, any edits to it will get removed if the file is opened in a newer version of Excel. Learn more: https://go.microsoft.com/fwlink/?linkid=870924
Comment:
    Kept same</t>
      </text>
    </comment>
    <comment ref="J293" authorId="47" shapeId="0" xr:uid="{BA255BC4-B7D5-489C-914D-9BB67DD6700D}">
      <text>
        <t>[Threaded comment]
Your version of Excel allows you to read this threaded comment; however, any edits to it will get removed if the file is opened in a newer version of Excel. Learn more: https://go.microsoft.com/fwlink/?linkid=870924
Comment:
    Kept as TBD</t>
      </text>
    </comment>
    <comment ref="K293" authorId="48" shapeId="0" xr:uid="{396928AF-C398-478B-8D4B-5A672544AAD0}">
      <text>
        <t>[Threaded comment]
Your version of Excel allows you to read this threaded comment; however, any edits to it will get removed if the file is opened in a newer version of Excel. Learn more: https://go.microsoft.com/fwlink/?linkid=870924
Comment:
    Kept as TBD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tc={EC805189-3CA0-4991-9AC1-7F63EDC4A92A}</author>
    <author>tc={721D582F-DD3D-4D1E-AB5D-E2A1F466A9E5}</author>
  </authors>
  <commentList>
    <comment ref="E18" authorId="0" shapeId="0" xr:uid="{EC805189-3CA0-4991-9AC1-7F63EDC4A92A}">
      <text>
        <t>[Threaded comment]
Your version of Excel allows you to read this threaded comment; however, any edits to it will get removed if the file is opened in a newer version of Excel. Learn more: https://go.microsoft.com/fwlink/?linkid=870924
Comment:
    Provided two lat longs for this project: 28.60550007
28.58079912
Reply:
    Used first one</t>
      </text>
    </comment>
    <comment ref="F18" authorId="1" shapeId="0" xr:uid="{721D582F-DD3D-4D1E-AB5D-E2A1F466A9E5}">
      <text>
        <t>[Threaded comment]
Your version of Excel allows you to read this threaded comment; however, any edits to it will get removed if the file is opened in a newer version of Excel. Learn more: https://go.microsoft.com/fwlink/?linkid=870924
Comment:
    Provided two lat longs for this project:  -80.61352857
	-80.65352906
Reply:
    Used first one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tc={82F1340B-B94D-4642-AFB0-55B248E53018}</author>
  </authors>
  <commentList>
    <comment ref="F64" authorId="0" shapeId="0" xr:uid="{82F1340B-B94D-4642-AFB0-55B248E53018}">
      <text>
        <t>[Threaded comment]
Your version of Excel allows you to read this threaded comment; however, any edits to it will get removed if the file is opened in a newer version of Excel. Learn more: https://go.microsoft.com/fwlink/?linkid=870924
Comment:
    Cocoa NIRL,</t>
      </text>
    </comment>
  </commentList>
</comments>
</file>

<file path=xl/sharedStrings.xml><?xml version="1.0" encoding="utf-8"?>
<sst xmlns="http://schemas.openxmlformats.org/spreadsheetml/2006/main" count="7863" uniqueCount="1124">
  <si>
    <t>Brevard County</t>
  </si>
  <si>
    <t>Education Efforts</t>
  </si>
  <si>
    <t>Ongoing</t>
  </si>
  <si>
    <t>Pine Island Phase I and II</t>
  </si>
  <si>
    <t>Completed</t>
  </si>
  <si>
    <t>Nonuse of Fertilizer/ Fertilizer Ordinance</t>
  </si>
  <si>
    <t>Fertilizer Cessation</t>
  </si>
  <si>
    <t>Kennedy Space Center</t>
  </si>
  <si>
    <t>KSC Landscape Fertilizer Reduction</t>
  </si>
  <si>
    <t>KSC-10</t>
  </si>
  <si>
    <t>Hypergol Module Storage East  M7-1412</t>
  </si>
  <si>
    <t>KSC-11</t>
  </si>
  <si>
    <t>Hypergol Module Storage West M7-1410</t>
  </si>
  <si>
    <t>KSC-12</t>
  </si>
  <si>
    <t>Regional Stormwater Management System</t>
  </si>
  <si>
    <t>KSC-13</t>
  </si>
  <si>
    <t>ARF Stormwater System</t>
  </si>
  <si>
    <t>KSC-14</t>
  </si>
  <si>
    <t>VAB South Wetland Treatment System</t>
  </si>
  <si>
    <t>KSC-15</t>
  </si>
  <si>
    <t>Schwartz Road Landfill</t>
  </si>
  <si>
    <t>KSC-16</t>
  </si>
  <si>
    <t>Closed Basin 4 (Spoil Site - Static Test Road)</t>
  </si>
  <si>
    <t>KSC-17</t>
  </si>
  <si>
    <t>Impounded Areas</t>
  </si>
  <si>
    <t>KSC-18</t>
  </si>
  <si>
    <t>Depressional Storage (22nd St. to 28th St.)</t>
  </si>
  <si>
    <t>KSC-19</t>
  </si>
  <si>
    <t>Depressional Storage (Jerome Rd. to 22nd St.)</t>
  </si>
  <si>
    <t>KSC-20</t>
  </si>
  <si>
    <t>Demolition of Facilities M7-1521 and M7-1522</t>
  </si>
  <si>
    <t>KSC-21</t>
  </si>
  <si>
    <t>Demolition of Facility M6-0339</t>
  </si>
  <si>
    <t>KSC-22</t>
  </si>
  <si>
    <t>Demolition of Facility M7-0862</t>
  </si>
  <si>
    <t>KSC-23</t>
  </si>
  <si>
    <t>Demolition of Facility M7-1012</t>
  </si>
  <si>
    <t>KSC-24</t>
  </si>
  <si>
    <t>Demolition of Facility M7-1061</t>
  </si>
  <si>
    <t>KSC-25</t>
  </si>
  <si>
    <t>Demolition of Facility M7-1112</t>
  </si>
  <si>
    <t>KSC-26</t>
  </si>
  <si>
    <t>Demolition of Facility M7-0961</t>
  </si>
  <si>
    <t>KSC-27</t>
  </si>
  <si>
    <t>Demolition of Facility K7-2468</t>
  </si>
  <si>
    <t>Vertical Processing Facility M7-1469</t>
  </si>
  <si>
    <t>Spacecraft Assembly Encapsulation Facility 2 M7-1210</t>
  </si>
  <si>
    <t>Central Heat Plant M6-595</t>
  </si>
  <si>
    <t>Utility Shops K6-1246</t>
  </si>
  <si>
    <t>Fire Station 2 K6-1198</t>
  </si>
  <si>
    <t>Vehicle Loading Ramp  M7-0651</t>
  </si>
  <si>
    <t>BC-10</t>
  </si>
  <si>
    <t>Farrington Drive</t>
  </si>
  <si>
    <t>BC-11</t>
  </si>
  <si>
    <t>Porpoise Street</t>
  </si>
  <si>
    <t>BC-12</t>
  </si>
  <si>
    <t>Angler Street</t>
  </si>
  <si>
    <t>BC-13</t>
  </si>
  <si>
    <t>Diana Shores</t>
  </si>
  <si>
    <t>BC-14</t>
  </si>
  <si>
    <t>BC-15</t>
  </si>
  <si>
    <t>BC-16</t>
  </si>
  <si>
    <t>Fortenberry Pond</t>
  </si>
  <si>
    <t>BC-17</t>
  </si>
  <si>
    <t>Merritt Island Airport Pond</t>
  </si>
  <si>
    <t>BC-18</t>
  </si>
  <si>
    <t>Florida Boulevard</t>
  </si>
  <si>
    <t>BC-19</t>
  </si>
  <si>
    <t>Third Ave Baffle Box</t>
  </si>
  <si>
    <t>Funded</t>
  </si>
  <si>
    <t>BC-20</t>
  </si>
  <si>
    <t>BMP Cleanout</t>
  </si>
  <si>
    <t>BC-21</t>
  </si>
  <si>
    <t>Fourth Place Baffle Box</t>
  </si>
  <si>
    <t>BC-22</t>
  </si>
  <si>
    <t>Thrush 405 Baffle Box</t>
  </si>
  <si>
    <t>BC-23</t>
  </si>
  <si>
    <t>Fortenberry Pond MAPS</t>
  </si>
  <si>
    <t>BC-24</t>
  </si>
  <si>
    <t>BC-25</t>
  </si>
  <si>
    <t>Cassia Phase 3</t>
  </si>
  <si>
    <t>BC-26</t>
  </si>
  <si>
    <t>BC-27</t>
  </si>
  <si>
    <t>Kelly Park Reuse</t>
  </si>
  <si>
    <t>BC-28</t>
  </si>
  <si>
    <t>Patrick Air Force Base Golf Course Pond Stormwater Reuse</t>
  </si>
  <si>
    <t>BC-29</t>
  </si>
  <si>
    <t>Ocean Boulevard</t>
  </si>
  <si>
    <t>Florida Blvd. Pond</t>
  </si>
  <si>
    <t>Hampton North (Riverside)</t>
  </si>
  <si>
    <t>Hampton South (Needle Blvd)</t>
  </si>
  <si>
    <t>Albatross</t>
  </si>
  <si>
    <t>Surfside</t>
  </si>
  <si>
    <t>West Scots</t>
  </si>
  <si>
    <t>Johns Circle</t>
  </si>
  <si>
    <t>City of Cocoa Beach</t>
  </si>
  <si>
    <t>Maritime Hammock Preserve Alum Pond</t>
  </si>
  <si>
    <t>CB-10</t>
  </si>
  <si>
    <t>CB-11</t>
  </si>
  <si>
    <t>CB-12</t>
  </si>
  <si>
    <t>CB-13</t>
  </si>
  <si>
    <t>Meade Bioretention</t>
  </si>
  <si>
    <t>CB-14</t>
  </si>
  <si>
    <t>Osceola E Bioretention</t>
  </si>
  <si>
    <t>CB-15</t>
  </si>
  <si>
    <t>CB-16</t>
  </si>
  <si>
    <t>CB-17</t>
  </si>
  <si>
    <t>CB-18</t>
  </si>
  <si>
    <t>CB-19</t>
  </si>
  <si>
    <t>Holiday Lane Bioretention</t>
  </si>
  <si>
    <t>CB-20</t>
  </si>
  <si>
    <t>S Banana/St. Lucie Swale</t>
  </si>
  <si>
    <t>CB-21</t>
  </si>
  <si>
    <t>CB-22</t>
  </si>
  <si>
    <t>Banana River Retention</t>
  </si>
  <si>
    <t>CB-23</t>
  </si>
  <si>
    <t>CB-24</t>
  </si>
  <si>
    <t>CB-25</t>
  </si>
  <si>
    <t>CB-26</t>
  </si>
  <si>
    <t>CB-27</t>
  </si>
  <si>
    <t>CB-28</t>
  </si>
  <si>
    <t>CB-29</t>
  </si>
  <si>
    <t>Shepard Drive Swale</t>
  </si>
  <si>
    <t>2nd Street South PCD</t>
  </si>
  <si>
    <t>CB-30</t>
  </si>
  <si>
    <t>CB-31</t>
  </si>
  <si>
    <t>CB-32</t>
  </si>
  <si>
    <t>CB-33</t>
  </si>
  <si>
    <t>CB-34</t>
  </si>
  <si>
    <t>32 Inlet Baskets</t>
  </si>
  <si>
    <t>CB-35</t>
  </si>
  <si>
    <t>CB-36</t>
  </si>
  <si>
    <t>CB-37</t>
  </si>
  <si>
    <t>CB-38</t>
  </si>
  <si>
    <t>CB-39</t>
  </si>
  <si>
    <t>Shepard Park Improvements</t>
  </si>
  <si>
    <t>Burris Way (alley) Exfiltration</t>
  </si>
  <si>
    <t>50 Danube River Exfiltration</t>
  </si>
  <si>
    <t>City of Cape Canaveral</t>
  </si>
  <si>
    <t>CC-10</t>
  </si>
  <si>
    <t>CC-11</t>
  </si>
  <si>
    <t>CC-12</t>
  </si>
  <si>
    <t>CC-13</t>
  </si>
  <si>
    <t>Started</t>
  </si>
  <si>
    <t>CC-14</t>
  </si>
  <si>
    <t>Planned, Funded</t>
  </si>
  <si>
    <t>CC-15</t>
  </si>
  <si>
    <t>CC-16</t>
  </si>
  <si>
    <t>Clean Out of Baffle Boxes</t>
  </si>
  <si>
    <t>CC-17</t>
  </si>
  <si>
    <t>Central Ditch Dredging Project</t>
  </si>
  <si>
    <t>CC-18</t>
  </si>
  <si>
    <t>CC-19</t>
  </si>
  <si>
    <t>CC-20</t>
  </si>
  <si>
    <t>CC-21</t>
  </si>
  <si>
    <t>Holman Road Swale</t>
  </si>
  <si>
    <t>FDOT-10</t>
  </si>
  <si>
    <t>FM: 237453 D5_70008-3507-01</t>
  </si>
  <si>
    <t>FDOT-11</t>
  </si>
  <si>
    <t>FM: 237453 D5_70008-3507-02</t>
  </si>
  <si>
    <t>FDOT-12</t>
  </si>
  <si>
    <t>FM: 237712 D5_70060-3519-01</t>
  </si>
  <si>
    <t>FDOT-13</t>
  </si>
  <si>
    <t>FM: 422691-01 D5_422691-01</t>
  </si>
  <si>
    <t>FDOT-14</t>
  </si>
  <si>
    <t>FDOT-15</t>
  </si>
  <si>
    <t>FDOT-16</t>
  </si>
  <si>
    <t>FM: 237139 D5_70120-3518-01</t>
  </si>
  <si>
    <t>FM: 237454 D5_70100-3553-01</t>
  </si>
  <si>
    <t>FM: 237447 D5_70008-3505-02</t>
  </si>
  <si>
    <t>FM: 237447 D5_70008-3505-03</t>
  </si>
  <si>
    <t>FM: 237447 D5_70008-3505-04</t>
  </si>
  <si>
    <t>FM: 237482 D5_70060-3533-01</t>
  </si>
  <si>
    <t>City of Indian Harbour Beach</t>
  </si>
  <si>
    <t>N. Osceola Drive</t>
  </si>
  <si>
    <t>IHB-10</t>
  </si>
  <si>
    <t>IHB-11</t>
  </si>
  <si>
    <t>Fire Station Exfiltration</t>
  </si>
  <si>
    <t>IHB-12</t>
  </si>
  <si>
    <t>IHB-13</t>
  </si>
  <si>
    <t>Yuma Drive Exfiltration</t>
  </si>
  <si>
    <t>IHB-14</t>
  </si>
  <si>
    <t>Lime Bay Exfiltration</t>
  </si>
  <si>
    <t>IHB-15</t>
  </si>
  <si>
    <t>Andros Lane Exfiltration</t>
  </si>
  <si>
    <t>IHB-16</t>
  </si>
  <si>
    <t>Indian Harbour Beach Condo Pond</t>
  </si>
  <si>
    <t>Datura Drive</t>
  </si>
  <si>
    <t>Coquina Palms Subdivision</t>
  </si>
  <si>
    <t>Inlet Cleaning</t>
  </si>
  <si>
    <t>Gleason Park Phase 1</t>
  </si>
  <si>
    <t>Gleason Park Irrigation</t>
  </si>
  <si>
    <t>Patrick Air Force Base</t>
  </si>
  <si>
    <t>City of Satellite Beach</t>
  </si>
  <si>
    <t>Jackson Exfiltration</t>
  </si>
  <si>
    <t>SB-10</t>
  </si>
  <si>
    <t>Jamaica Pond Reuse</t>
  </si>
  <si>
    <t>SB-11</t>
  </si>
  <si>
    <t>Desoto Exfiltration</t>
  </si>
  <si>
    <t>SB-12</t>
  </si>
  <si>
    <t>Desoto Baffle Boxes</t>
  </si>
  <si>
    <t>SB-13</t>
  </si>
  <si>
    <t>Cassia Phase 1-22</t>
  </si>
  <si>
    <t>SB-14</t>
  </si>
  <si>
    <t>Cassia Phase 1-23</t>
  </si>
  <si>
    <t>SB-15</t>
  </si>
  <si>
    <t>Cassia Phase 1-24</t>
  </si>
  <si>
    <t>SB-16</t>
  </si>
  <si>
    <t>Cassia Phase 1-25</t>
  </si>
  <si>
    <t>SB-17</t>
  </si>
  <si>
    <t>Cassia Phase 1-26</t>
  </si>
  <si>
    <t>SB-18</t>
  </si>
  <si>
    <t>North Basin Stormwater Retrofit</t>
  </si>
  <si>
    <t>SB-19</t>
  </si>
  <si>
    <t>SB-20</t>
  </si>
  <si>
    <t>SB-21</t>
  </si>
  <si>
    <t>Cassia Phase 3 - C3A</t>
  </si>
  <si>
    <t>SB-22</t>
  </si>
  <si>
    <t>Cassia Phase 3 - C3B</t>
  </si>
  <si>
    <t>SB-23</t>
  </si>
  <si>
    <t>Cassia Phase 3 - C3C</t>
  </si>
  <si>
    <t>SB-24</t>
  </si>
  <si>
    <t>Cassia Phase 3 - C3D</t>
  </si>
  <si>
    <t>SB-25</t>
  </si>
  <si>
    <t>Cassia Phase 3 - C3E</t>
  </si>
  <si>
    <t>SB-26</t>
  </si>
  <si>
    <t>Cassia Phase 3 - C3F</t>
  </si>
  <si>
    <t>SB-27</t>
  </si>
  <si>
    <t>Cassia Phase 3 - C3G</t>
  </si>
  <si>
    <t>SB-28</t>
  </si>
  <si>
    <t>SB-29</t>
  </si>
  <si>
    <t>Cassia Phase 3 - C5B</t>
  </si>
  <si>
    <t>SB-30</t>
  </si>
  <si>
    <t>Cassia Phase 3 - C7A</t>
  </si>
  <si>
    <t>SB-31</t>
  </si>
  <si>
    <t>Cassia Phase 3 - C7B</t>
  </si>
  <si>
    <t>SB-32</t>
  </si>
  <si>
    <t>Cassia Phase 3 - C9A</t>
  </si>
  <si>
    <t>SB-33</t>
  </si>
  <si>
    <t>Cassia Phase 3 - C9B</t>
  </si>
  <si>
    <t>SB-34</t>
  </si>
  <si>
    <t>Cassia Phase 3 - C13A</t>
  </si>
  <si>
    <t>SB-35</t>
  </si>
  <si>
    <t>Cassia Phase 3 - C13B</t>
  </si>
  <si>
    <t>SB-36</t>
  </si>
  <si>
    <t>Cassia Phase 3 - C13C</t>
  </si>
  <si>
    <t>SB-37</t>
  </si>
  <si>
    <t>Cassia Phase 3 - C13D</t>
  </si>
  <si>
    <t>SB-38</t>
  </si>
  <si>
    <t>Cassia Phase 3 - C13E</t>
  </si>
  <si>
    <t>SB-39</t>
  </si>
  <si>
    <t>Cassia Phase 3 - C13F</t>
  </si>
  <si>
    <t>Avocado Continuous Deflective Separation (CDS) Unit</t>
  </si>
  <si>
    <t>SB-40</t>
  </si>
  <si>
    <t>Cassia Phase 3 - C13G</t>
  </si>
  <si>
    <t>Coconut Exfiltration</t>
  </si>
  <si>
    <t>Underway</t>
  </si>
  <si>
    <t>Project Type</t>
  </si>
  <si>
    <t>Row Labels</t>
  </si>
  <si>
    <t>Grand Total</t>
  </si>
  <si>
    <t>BC-30</t>
  </si>
  <si>
    <t>BC-31</t>
  </si>
  <si>
    <t>Structural, Non-structural, or Trade</t>
  </si>
  <si>
    <t>-</t>
  </si>
  <si>
    <t>Structural</t>
  </si>
  <si>
    <t>Non-structural</t>
  </si>
  <si>
    <t>G0136</t>
  </si>
  <si>
    <t>WW050500</t>
  </si>
  <si>
    <t>G0412</t>
  </si>
  <si>
    <t>G0170</t>
  </si>
  <si>
    <t>WM840</t>
  </si>
  <si>
    <t>(Original) Project Status</t>
  </si>
  <si>
    <t>Location</t>
  </si>
  <si>
    <t>BMAP</t>
  </si>
  <si>
    <t>Latitude</t>
  </si>
  <si>
    <t>Longitude</t>
  </si>
  <si>
    <t>Partners</t>
  </si>
  <si>
    <t>Start Date</t>
  </si>
  <si>
    <t>Holman Road Baffle Box</t>
  </si>
  <si>
    <t>Center Street Baffle Box</t>
  </si>
  <si>
    <t>Angel Isles Baffle Box</t>
  </si>
  <si>
    <t>WWTP Baffle Box</t>
  </si>
  <si>
    <t>West Central Boulevard Baffle Box</t>
  </si>
  <si>
    <t>Exfiltration Piping Installations</t>
  </si>
  <si>
    <t>CC-22</t>
  </si>
  <si>
    <t>CC-23</t>
  </si>
  <si>
    <t>CC-24</t>
  </si>
  <si>
    <t>CC-25</t>
  </si>
  <si>
    <t>CC-26</t>
  </si>
  <si>
    <t>CC-27</t>
  </si>
  <si>
    <t>CC-28</t>
  </si>
  <si>
    <t>CC-29</t>
  </si>
  <si>
    <t>CC-30</t>
  </si>
  <si>
    <t>CC-31</t>
  </si>
  <si>
    <t>Cocoa Palms LID</t>
  </si>
  <si>
    <t>Cherrie Down Park</t>
  </si>
  <si>
    <t>Cape Shores Swales (3 count)</t>
  </si>
  <si>
    <t>International Drive</t>
  </si>
  <si>
    <t>Justamere Road Swale</t>
  </si>
  <si>
    <t>Hitching Post Berm</t>
  </si>
  <si>
    <t>Center Street Pond</t>
  </si>
  <si>
    <t>Costa Del Sol Pond</t>
  </si>
  <si>
    <t>Planned, Not Funded</t>
  </si>
  <si>
    <t>Holman Road Pond</t>
  </si>
  <si>
    <t>Banana River Lagoon</t>
  </si>
  <si>
    <t>CB-40</t>
  </si>
  <si>
    <t>Cancelled</t>
  </si>
  <si>
    <t>IHB-17</t>
  </si>
  <si>
    <t>IHB-18</t>
  </si>
  <si>
    <t>Inwood Lane Exfiltration</t>
  </si>
  <si>
    <t>IHB-19</t>
  </si>
  <si>
    <t>IHB-20</t>
  </si>
  <si>
    <t>IHB-21</t>
  </si>
  <si>
    <t>IHB-22</t>
  </si>
  <si>
    <t>IHB-23</t>
  </si>
  <si>
    <t>IHB-24</t>
  </si>
  <si>
    <t>IHB-25</t>
  </si>
  <si>
    <t>IHB-26</t>
  </si>
  <si>
    <t>IHB-27</t>
  </si>
  <si>
    <t>IHB-28</t>
  </si>
  <si>
    <t>IHB-29</t>
  </si>
  <si>
    <t>IHB-30</t>
  </si>
  <si>
    <t>IHB-31</t>
  </si>
  <si>
    <t>IHB-32</t>
  </si>
  <si>
    <t>IHB-33</t>
  </si>
  <si>
    <t>IHB-34</t>
  </si>
  <si>
    <t>IHB-35</t>
  </si>
  <si>
    <t>Gleason Park Irrigation Expansion</t>
  </si>
  <si>
    <t>Oars and Paddles Dry Pond</t>
  </si>
  <si>
    <t>FDOT Pond #3 Beemats</t>
  </si>
  <si>
    <t>Kristi &amp; Pinetree Dr. Swale</t>
  </si>
  <si>
    <t>Wimico Drive Swale</t>
  </si>
  <si>
    <t>Crispino Wet Pond</t>
  </si>
  <si>
    <t>Beach Funeral Home Pervious Parking</t>
  </si>
  <si>
    <t>Townhouse Estates Exfiltration</t>
  </si>
  <si>
    <t>Palm Springs Swale</t>
  </si>
  <si>
    <t>Atlantic Exfiltration East</t>
  </si>
  <si>
    <t>Atlantic Exfiltration West</t>
  </si>
  <si>
    <t>Pinetree Streetscaping</t>
  </si>
  <si>
    <t>Muck Dregding</t>
  </si>
  <si>
    <t>Envisioned, but Not Funded</t>
  </si>
  <si>
    <t>G0082</t>
  </si>
  <si>
    <t>G0081</t>
  </si>
  <si>
    <t>G0162</t>
  </si>
  <si>
    <t>Year Project Added</t>
  </si>
  <si>
    <t>Dry Detention Pond</t>
  </si>
  <si>
    <t>Fertilizer Reduction</t>
  </si>
  <si>
    <t>Land Use Change</t>
  </si>
  <si>
    <t>Pervious Pavement</t>
  </si>
  <si>
    <t>Stormwater Reuse</t>
  </si>
  <si>
    <t>Street Sweeping</t>
  </si>
  <si>
    <t>Wet Detention Pond</t>
  </si>
  <si>
    <t>Wetland Treatment</t>
  </si>
  <si>
    <t>100% On-site Retention</t>
  </si>
  <si>
    <t>Outside Model Boundary</t>
  </si>
  <si>
    <t>G0430</t>
  </si>
  <si>
    <t>S0648</t>
  </si>
  <si>
    <t>G0268</t>
  </si>
  <si>
    <t>S0646</t>
  </si>
  <si>
    <t>S0439</t>
  </si>
  <si>
    <t>WM744</t>
  </si>
  <si>
    <t>TBD</t>
  </si>
  <si>
    <t>School Road at Park Drive</t>
  </si>
  <si>
    <t>Sum of TN Reduction (lbs/yr)</t>
  </si>
  <si>
    <t>Sum of TP Reduction (lbs/yr)</t>
  </si>
  <si>
    <t>Project Zone</t>
  </si>
  <si>
    <t>Entity</t>
  </si>
  <si>
    <t>TN Allocation (lbs/year)</t>
  </si>
  <si>
    <t>TP Allocation (lbs/year)</t>
  </si>
  <si>
    <t>Phase I TN Required Reduction (lbs/yr)</t>
  </si>
  <si>
    <t>Phase I TP Required Reduction (lbs/yr)</t>
  </si>
  <si>
    <t>Current TN Reduction (lbs/yr)</t>
  </si>
  <si>
    <t>Current TP Reduction (lbs/yr)</t>
  </si>
  <si>
    <t>A</t>
  </si>
  <si>
    <t>Kenneday Space Center</t>
  </si>
  <si>
    <t>FDOT District 5</t>
  </si>
  <si>
    <t>B</t>
  </si>
  <si>
    <t>Melbourne - de minimus</t>
  </si>
  <si>
    <t>Port Canaveral - de minimus</t>
  </si>
  <si>
    <t>Cape Canaveral Air Force Station</t>
  </si>
  <si>
    <t>CC-32</t>
  </si>
  <si>
    <t>Merritt Ridge Pond 3A</t>
  </si>
  <si>
    <t>Design</t>
  </si>
  <si>
    <t>CC-01</t>
  </si>
  <si>
    <t>CC-02</t>
  </si>
  <si>
    <t>CC-03</t>
  </si>
  <si>
    <t>CC-04</t>
  </si>
  <si>
    <t>CC-05</t>
  </si>
  <si>
    <t>CC-06</t>
  </si>
  <si>
    <t>CC-07</t>
  </si>
  <si>
    <t>CC-08</t>
  </si>
  <si>
    <t>CC-09</t>
  </si>
  <si>
    <t>CB-01</t>
  </si>
  <si>
    <t>CB-02</t>
  </si>
  <si>
    <t>CB-03</t>
  </si>
  <si>
    <t>CB-04</t>
  </si>
  <si>
    <t>CB-05</t>
  </si>
  <si>
    <t>CB-06</t>
  </si>
  <si>
    <t>CB-07</t>
  </si>
  <si>
    <t>CB-08</t>
  </si>
  <si>
    <t>CB-09</t>
  </si>
  <si>
    <t>IHB-01</t>
  </si>
  <si>
    <t>IHB-02</t>
  </si>
  <si>
    <t>IHB-03</t>
  </si>
  <si>
    <t>IHB-04</t>
  </si>
  <si>
    <t>IHB-05</t>
  </si>
  <si>
    <t>IHB-06</t>
  </si>
  <si>
    <t>IHB-07</t>
  </si>
  <si>
    <t>IHB-08</t>
  </si>
  <si>
    <t>IHB-09</t>
  </si>
  <si>
    <t>SB-01</t>
  </si>
  <si>
    <t>SB-02</t>
  </si>
  <si>
    <t>SB-03</t>
  </si>
  <si>
    <t>SB-04</t>
  </si>
  <si>
    <t>SB-05</t>
  </si>
  <si>
    <t>SB-06</t>
  </si>
  <si>
    <t>SB-08</t>
  </si>
  <si>
    <t>SB-09</t>
  </si>
  <si>
    <t>SB-07</t>
  </si>
  <si>
    <t>FDOT-01</t>
  </si>
  <si>
    <t>FDOT-02</t>
  </si>
  <si>
    <t>FDOT-03</t>
  </si>
  <si>
    <t>FDOT-04</t>
  </si>
  <si>
    <t>FDOT-05</t>
  </si>
  <si>
    <t>FDOT-06</t>
  </si>
  <si>
    <t>FDOT-07</t>
  </si>
  <si>
    <t>FDOT-08</t>
  </si>
  <si>
    <t>FDOT-09</t>
  </si>
  <si>
    <t>KSC-01</t>
  </si>
  <si>
    <t>KSC-02</t>
  </si>
  <si>
    <t>KSC-03</t>
  </si>
  <si>
    <t>KSC-04</t>
  </si>
  <si>
    <t>KSC-05</t>
  </si>
  <si>
    <t>KSC-06</t>
  </si>
  <si>
    <t>KSC-07</t>
  </si>
  <si>
    <t>KSC-08</t>
  </si>
  <si>
    <t>KSC-09</t>
  </si>
  <si>
    <t>BC-03</t>
  </si>
  <si>
    <t>BC-05</t>
  </si>
  <si>
    <t>BC-04</t>
  </si>
  <si>
    <t>BC-06</t>
  </si>
  <si>
    <t>BC-07</t>
  </si>
  <si>
    <t>BC-08</t>
  </si>
  <si>
    <t>BC-09</t>
  </si>
  <si>
    <t>CCAFS-01</t>
  </si>
  <si>
    <t>CCAFS-02</t>
  </si>
  <si>
    <t>BC-01</t>
  </si>
  <si>
    <t>BC-02</t>
  </si>
  <si>
    <t>FDOT</t>
  </si>
  <si>
    <t>KSC-28</t>
  </si>
  <si>
    <t>Cut 13 Dredging</t>
  </si>
  <si>
    <t>In progress</t>
  </si>
  <si>
    <t>USAF</t>
  </si>
  <si>
    <t>IHB-36</t>
  </si>
  <si>
    <t>Save Our Lagoon Park</t>
  </si>
  <si>
    <t>Cocoa Beach Canal Dredging</t>
  </si>
  <si>
    <t>BC-32</t>
  </si>
  <si>
    <t>S0714</t>
  </si>
  <si>
    <t>Notes</t>
  </si>
  <si>
    <t>Manatee Park Stormwater Improvements</t>
  </si>
  <si>
    <t>Banana River Park Stormwater Improvements</t>
  </si>
  <si>
    <t>Exfiltration on North Atlantic Ave</t>
  </si>
  <si>
    <t>Exfiltration at Canaveral City Park</t>
  </si>
  <si>
    <t>Stormwater Pond on West Central Blvd</t>
  </si>
  <si>
    <t>Reclaimed water system improvements (2.5 million gallon reclaimed water tank).</t>
  </si>
  <si>
    <t>Reclaimed Water Tank</t>
  </si>
  <si>
    <t>Costa del Sol Denitrificaiton Wall</t>
  </si>
  <si>
    <t>12 Bougainvillea Dr. Exfiltration</t>
  </si>
  <si>
    <t>321 Jack Dr. Exfiltration</t>
  </si>
  <si>
    <t>9th St S &amp; Brevard Ave. Exfiltration</t>
  </si>
  <si>
    <t>125 Cedar Ave. Exfiltration</t>
  </si>
  <si>
    <t>4th St. N Bioretention</t>
  </si>
  <si>
    <t>4th St. S Bioretention</t>
  </si>
  <si>
    <t>Palm Ave. Swale</t>
  </si>
  <si>
    <t>W Gadsden/ Banana Swale</t>
  </si>
  <si>
    <t>Dino Museum/ Store,  250 W CB Causeway</t>
  </si>
  <si>
    <t>332-334 N Orlando</t>
  </si>
  <si>
    <t>Ronnie Exfiltration Extension</t>
  </si>
  <si>
    <t>FYN; landscape, irrigation, fertilizer, and pet waste ordinances; public service announcements (PSAs); pamphlets; website; Illicit Discharge Program.</t>
  </si>
  <si>
    <t>Monthly street sweeping.</t>
  </si>
  <si>
    <t>Central Ditch Baffle Box (3 count)</t>
  </si>
  <si>
    <t>Sweeping of streets/pedways.</t>
  </si>
  <si>
    <t>Basin with no stormwater discharge.</t>
  </si>
  <si>
    <t>FYN (Blue Life); landscape, irrigation, fertilizer, and pet waste ordinances; public service announcements (PSAs); pamphlets; website; Illicit Discharge Program.</t>
  </si>
  <si>
    <t>Wet detention pond and swales.</t>
  </si>
  <si>
    <t>Stormwater swales.</t>
  </si>
  <si>
    <t>Maintenance of baffle boxes.</t>
  </si>
  <si>
    <t>Dredging of southern portion of Central Ditch.</t>
  </si>
  <si>
    <t>WWTF Upgrade</t>
  </si>
  <si>
    <t>Swales and biosorption activated media (BAM).</t>
  </si>
  <si>
    <t>BMP Treatment Train</t>
  </si>
  <si>
    <t>Exfiltration and BAM wall.</t>
  </si>
  <si>
    <t>Muck removal of 84,000 cubic yards of material.</t>
  </si>
  <si>
    <t>2nd generation baffle box with denitrification bioreactor.</t>
  </si>
  <si>
    <t>Wet detention pond with alum.</t>
  </si>
  <si>
    <t>Landscape, irrigation, fertilizer, and pet waste ordinances; pamphlets, illicit discharge program.</t>
  </si>
  <si>
    <t>Expansion of irrigation in Gleason Park.</t>
  </si>
  <si>
    <t>Reclaimed Water</t>
  </si>
  <si>
    <t>1000' long swale along Pinetree Dr.; swales with blocks or raised culverts.</t>
  </si>
  <si>
    <t>Baffle box installed at major outfall to Big Muddy Canal.</t>
  </si>
  <si>
    <t>Baffle Box installed at a major outfall to Big Muddy Canal.</t>
  </si>
  <si>
    <t>Exfiltration or dry pond in residential neighborhood.</t>
  </si>
  <si>
    <t>Muck dredging along major canals, including Grand Canal.</t>
  </si>
  <si>
    <t>Retention swales.</t>
  </si>
  <si>
    <t>Maintenance dredging.</t>
  </si>
  <si>
    <t>Construction of 2.9 acre wet pond in Crispino Park (city-owned).</t>
  </si>
  <si>
    <t>Retention swale, perhaps with BAM, along Wimico Dr.; swales with blocks or raised culverts.</t>
  </si>
  <si>
    <t>Beemats (6,700 sq. feet).</t>
  </si>
  <si>
    <t>Dry detention with BAM.</t>
  </si>
  <si>
    <t>Swale in entire median (2,200 feet) of Palm Springs Blvd.; swales with blocks or raised culverts.</t>
  </si>
  <si>
    <t>Indian Head (master plan) exfiltration with 1,330 ft. exfiltration pipe.</t>
  </si>
  <si>
    <t>Extension of Project IHB-29; additional 500 ft. exfiltration pipe.</t>
  </si>
  <si>
    <t>Jamestown Phase 1 (master plan)with 4,600 ft exfiltration.</t>
  </si>
  <si>
    <t>Jamestown Phase 2 (master plan) exfiltration with weirs, etc.</t>
  </si>
  <si>
    <t>LID features including planters, rain garden, porous pavement, and BAM.</t>
  </si>
  <si>
    <t>Elimination of fertilizer application in rights-of-way.</t>
  </si>
  <si>
    <t>CCAFS-03</t>
  </si>
  <si>
    <t>CCAFS-04</t>
  </si>
  <si>
    <t>Online Wet Retention Ponds after 2000</t>
  </si>
  <si>
    <t>Bes Management Practice (BMP) Cleanout</t>
  </si>
  <si>
    <t>N/A</t>
  </si>
  <si>
    <t>Florida Yards and Neighbors (FYN); landscape, irrigation, fertilizer, and pet waste ordinances; public service announcements (PSAs); pamphlets; website; Illicit Discharge Program.</t>
  </si>
  <si>
    <t>Grass Swales without Swale Blocks or Raised Culverts</t>
  </si>
  <si>
    <t>Exfiltration Trench</t>
  </si>
  <si>
    <t>SB-41</t>
  </si>
  <si>
    <t>SB-42</t>
  </si>
  <si>
    <t>SB-43</t>
  </si>
  <si>
    <t>Desoto Park</t>
  </si>
  <si>
    <t>NF011</t>
  </si>
  <si>
    <t>Roosevelt Avenue</t>
  </si>
  <si>
    <t>Planned</t>
  </si>
  <si>
    <t>First generation baffle box installation near Holman Road outfall.</t>
  </si>
  <si>
    <t>First generation baffle box installation near Center Street outfall.</t>
  </si>
  <si>
    <t>First generation baffle box installation near International Drive outfall.</t>
  </si>
  <si>
    <t>First generation baffle box installation near Angel Isles outfall.</t>
  </si>
  <si>
    <t>First generation baffle box installation at WWTP.</t>
  </si>
  <si>
    <t>First generation baffle box installation at West Central Boulevard outfall to Central Ditch.</t>
  </si>
  <si>
    <t>Second generation baffle box installations (3) in northern portion of Central Ditch.</t>
  </si>
  <si>
    <t>SJRWMD</t>
  </si>
  <si>
    <t>DEP</t>
  </si>
  <si>
    <t>Central Boulevard Baffle Box Upgrade</t>
  </si>
  <si>
    <t>Carver Cove Swale</t>
  </si>
  <si>
    <t>Baffle box upgrade to 2nd generation - Central Ditch Baffle Box</t>
  </si>
  <si>
    <t>Swale with biosorption activated media (BAM).</t>
  </si>
  <si>
    <t>Wet detention pond as part of SR A1A Streetscape Project.</t>
  </si>
  <si>
    <t>Dry detention swale without blocks or raised culverts and media filter.</t>
  </si>
  <si>
    <t>Berm and associated grass swale without blocks or raised culverts and media filter.</t>
  </si>
  <si>
    <t>Wet detention pond.</t>
  </si>
  <si>
    <t>Canceled</t>
  </si>
  <si>
    <t>Private Developer</t>
  </si>
  <si>
    <t>NF025</t>
  </si>
  <si>
    <t>Project Status</t>
  </si>
  <si>
    <t>Florida Legislature</t>
  </si>
  <si>
    <t>City</t>
  </si>
  <si>
    <t>2017</t>
  </si>
  <si>
    <t>2018</t>
  </si>
  <si>
    <t>2021</t>
  </si>
  <si>
    <t>2012</t>
  </si>
  <si>
    <t>Dry Detention Ponds after 2000</t>
  </si>
  <si>
    <t>CCAFS-05</t>
  </si>
  <si>
    <t>CCAFS-06</t>
  </si>
  <si>
    <t>CCAFS-07</t>
  </si>
  <si>
    <t>CCAFS-08</t>
  </si>
  <si>
    <t>CCAFS-09</t>
  </si>
  <si>
    <t>CCAFS-10</t>
  </si>
  <si>
    <t>TMDL Monitoring and Data Collection</t>
  </si>
  <si>
    <t>Monitoring/Data Collection</t>
  </si>
  <si>
    <t>WWTF Upgrade Feasibility Study</t>
  </si>
  <si>
    <t>Study</t>
  </si>
  <si>
    <t>Invasive Vegetation Management</t>
  </si>
  <si>
    <t>Exotic Vegetation Removal</t>
  </si>
  <si>
    <t>Sanitary Sewer Infiltration and Inflow Study</t>
  </si>
  <si>
    <t>Public Education</t>
  </si>
  <si>
    <t>Enhanced Public Education</t>
  </si>
  <si>
    <t>Natural Wetlands as Filters</t>
  </si>
  <si>
    <t>Wetlands as Filters</t>
  </si>
  <si>
    <t>Impoundment</t>
  </si>
  <si>
    <t>1. 1/30/18: Stakeholder updates for the 2017 STAR by KW</t>
  </si>
  <si>
    <t>2. 2/26/18 and 2/27/18: Cathy updated workbook to Dec. 2017 SOP format; edited CCAS and PAFB projects; updated credit for IHB-25 to TBD.</t>
  </si>
  <si>
    <t>Shoreline Stabilization</t>
  </si>
  <si>
    <t>Muck Removal/Restoration Dredging</t>
  </si>
  <si>
    <t>Wet detention pond that also features stormwater reuse and biosorption activated media (BAM).</t>
  </si>
  <si>
    <t>(Multiple Items)</t>
  </si>
  <si>
    <t>Count of Year Project Added</t>
  </si>
  <si>
    <t>Sum of Cost Estimate</t>
  </si>
  <si>
    <t>Sum of Cost Annual O&amp;M</t>
  </si>
  <si>
    <t xml:space="preserve">A Total </t>
  </si>
  <si>
    <t>B Total</t>
  </si>
  <si>
    <t>Not provided.</t>
  </si>
  <si>
    <t>Off-line retention swales.</t>
  </si>
  <si>
    <t>Off-line retention pipes.</t>
  </si>
  <si>
    <t>Street sweeping.</t>
  </si>
  <si>
    <t>Pamphlets, illicit discharge program.</t>
  </si>
  <si>
    <t>Pond 7.</t>
  </si>
  <si>
    <t>French drains.</t>
  </si>
  <si>
    <t>Pond 2.</t>
  </si>
  <si>
    <t>Pond 3.</t>
  </si>
  <si>
    <t>Pond 1.</t>
  </si>
  <si>
    <t>Not provided</t>
  </si>
  <si>
    <t>City/ DEP</t>
  </si>
  <si>
    <t>No fertilizer is used at station.</t>
  </si>
  <si>
    <t>U.S. Air Force (USAF)</t>
  </si>
  <si>
    <t>Conduct infiltration and inflow study of station's sanitary sewer system.</t>
  </si>
  <si>
    <t>Station has many canals and functional culvert openings that allow connection with the Banana River Lagoon at an estimated 11 surface acres: 65 surface acres of the Army wharf that connect with the Atlantic Ocean, and 106 surface acres of the Trident wharf that connect with the Atlantic Ocean, totaling 182 surface acres of jurisdictional wetlands.</t>
  </si>
  <si>
    <t>SJRWMD/ City</t>
  </si>
  <si>
    <t>Shorewood Drainage Subbasin</t>
  </si>
  <si>
    <t>WW050500/ LP05052</t>
  </si>
  <si>
    <t>DEP/ City/ County</t>
  </si>
  <si>
    <t>City/ County</t>
  </si>
  <si>
    <t>Ocean Beach Blvd. Bioretention/ Exfiltration</t>
  </si>
  <si>
    <t>Brevard Ave. Exfiltration</t>
  </si>
  <si>
    <t>3rd St. South N Bioretention</t>
  </si>
  <si>
    <t>3rd St. South S Bioretention</t>
  </si>
  <si>
    <t>Minutemen/ Country Club Swale</t>
  </si>
  <si>
    <t>Minutemen/ CBHS</t>
  </si>
  <si>
    <t>Minutemen/ PW Complex Swale</t>
  </si>
  <si>
    <t>Tom Warriner/ PW Complex Swale</t>
  </si>
  <si>
    <t>W Pasco/ Banana Swale</t>
  </si>
  <si>
    <t>Minutemen Corridor Stormwater Improvement/ LID</t>
  </si>
  <si>
    <t>Atlantic Ave. Swale</t>
  </si>
  <si>
    <t>SOIRL</t>
  </si>
  <si>
    <t>Big Muddy Canal Baffle Box at Cynthia</t>
  </si>
  <si>
    <t>Cheyenne Dr./ Marion Baffle</t>
  </si>
  <si>
    <t>Jamaica Blvd. Ponds</t>
  </si>
  <si>
    <t>Wet detention pond, perhaps other LID features.</t>
  </si>
  <si>
    <t>Part of SB-13.</t>
  </si>
  <si>
    <t>KSC Citrus Grove Termination Jerome Rd. East</t>
  </si>
  <si>
    <t xml:space="preserve">3. 072518: Added Access database tab- LS/WW. </t>
  </si>
  <si>
    <t xml:space="preserve">Total TN Required Reductions Achieved (%) </t>
  </si>
  <si>
    <t xml:space="preserve">Total TP Required Reductions Achieved (%) </t>
  </si>
  <si>
    <t xml:space="preserve">Total TN Required Reduction (lbs/yr) </t>
  </si>
  <si>
    <t>TN Reductions Still Needed (lbs/yr)</t>
  </si>
  <si>
    <t xml:space="preserve">Total TP Required Reduction (lbs/yr) </t>
  </si>
  <si>
    <t>TP Reductions Still Needed (lbs/yr)</t>
  </si>
  <si>
    <t>4. 100318: Added entity-specific load reductions to the load reduction tabs, removed the Access database tab, and changed the name of the STAR tables tab</t>
  </si>
  <si>
    <t xml:space="preserve">Phase I TN Required Reduction (lbs/yr) </t>
  </si>
  <si>
    <t>Phase I TN Reductions Still Needed (lbs/yr)</t>
  </si>
  <si>
    <t>Phase I TN Required Reductions Achieved (%)</t>
  </si>
  <si>
    <t xml:space="preserve">Phase I TP Required Reduction (lbs/yr) </t>
  </si>
  <si>
    <t>Phase I TP Reductions Still Needed (lbs/yr)</t>
  </si>
  <si>
    <t>Phase I TP Required Reductions Achieved (%)</t>
  </si>
  <si>
    <t>No reductions assigned to BRL A. Zone B includes assigned reductions as well as a 15 % Phase I required reduction</t>
  </si>
  <si>
    <t>Entity-Specific Load Reductions</t>
  </si>
  <si>
    <t>EPA/ DEP/ SJRWMD</t>
  </si>
  <si>
    <t>Convair Cove SW LID</t>
  </si>
  <si>
    <t>CB-41</t>
  </si>
  <si>
    <t>1st Street N./ Brevard SW LID</t>
  </si>
  <si>
    <t>5-Year Milestone</t>
  </si>
  <si>
    <t>Year</t>
  </si>
  <si>
    <t>Prior to 2013</t>
  </si>
  <si>
    <t>Zone A</t>
  </si>
  <si>
    <t>Zone B</t>
  </si>
  <si>
    <t>Zone B 5 Year Milestone</t>
  </si>
  <si>
    <t>Cumulative TN Reductions (lbs/yr)</t>
  </si>
  <si>
    <t>Cumulative TP Reductions (lbs/yr)</t>
  </si>
  <si>
    <t>ProjID</t>
  </si>
  <si>
    <t>Utility Fee</t>
  </si>
  <si>
    <t>SJRWMD/ Environmentally Endangered Lands (EELS)</t>
  </si>
  <si>
    <t>Regional Stormwater Management System  includes two wet ponds (80-acres &amp; 23 acres) with gravity flow and pump station.</t>
  </si>
  <si>
    <t>Installing a Vortech Unit to treat runoff form an old residential, multi family and commercial area.</t>
  </si>
  <si>
    <t>Regional Stormwater Treatment</t>
  </si>
  <si>
    <t>G0288/ G0344</t>
  </si>
  <si>
    <t>Street sweeping on 786 miles eight times per year.</t>
  </si>
  <si>
    <t>22.3 Acre Regional Stormwater Detention Pond designed to accommodate water quality treatment for pre-existing development as well as for future build-out of commercial properties through the purchase of stormwater credits.</t>
  </si>
  <si>
    <t>DEP TMDL</t>
  </si>
  <si>
    <t>Redirection of run-off from a drainage basin with no treatment through a swale and to a pond that was expanded to provide water quality.</t>
  </si>
  <si>
    <t>Landscape buffer/ drainage swale along the adjoining roadway. Improvements include the construction of a dry detention area within  an existing ditch and construction of roadside swales in the location of the existing bike/ pedestrian lane.</t>
  </si>
  <si>
    <t>Satellite Beach</t>
  </si>
  <si>
    <t>DEP/ Satellite Beach/ Brevard County</t>
  </si>
  <si>
    <t>Baffle Boxes- Second Generation</t>
  </si>
  <si>
    <t>Baffle Boxes- First Generation (hydrodynamic separator)</t>
  </si>
  <si>
    <t>BC-33</t>
  </si>
  <si>
    <t>Central Blvd Baffle Box</t>
  </si>
  <si>
    <t>BC-34</t>
  </si>
  <si>
    <t>Gleason Park Reuse</t>
  </si>
  <si>
    <t>All Cities</t>
  </si>
  <si>
    <t>BC-35</t>
  </si>
  <si>
    <t>BC-36</t>
  </si>
  <si>
    <t>BC-37</t>
  </si>
  <si>
    <t>Biosorption Activated Media installed within existing Merritt Island drainage ditch system to remove nitrogen from groundwater baseflow.</t>
  </si>
  <si>
    <t>Legislative Funding</t>
  </si>
  <si>
    <t>LP0511A</t>
  </si>
  <si>
    <t>BC-38</t>
  </si>
  <si>
    <t>Biosorption Activated Media installed within existing Merritt Island drainage ditch system to remove nitrogen from groundwater baseflow with phosphorus removal media.</t>
  </si>
  <si>
    <t>BC-39</t>
  </si>
  <si>
    <t>BC-40</t>
  </si>
  <si>
    <t>BC-41</t>
  </si>
  <si>
    <t>BC-42</t>
  </si>
  <si>
    <t>BC-43</t>
  </si>
  <si>
    <t>Biosorption Activated Media installed within existing Merritt Island drainage ditch system to remove nitrogen from baseflow.</t>
  </si>
  <si>
    <t>Cape Canaveral/ Save Our Indian River Lagoon (SOIRL)</t>
  </si>
  <si>
    <t>2nd generation baffle box, SOIRL-13.</t>
  </si>
  <si>
    <t>Increasing reuse from an existing facility, SOIRL-16.</t>
  </si>
  <si>
    <t>Fertilizer video, rainbarrel workshops, Facebook page, bus wrap, and billboard.</t>
  </si>
  <si>
    <t>Biosorption Activated Media (BAM)</t>
  </si>
  <si>
    <t>Construction of a 2.3 acre wet detention pond to proivide treatment to a residential area in Merritt Island.</t>
  </si>
  <si>
    <t>Installation of floating vegetation islands to remove nitrogen from an existing wet detention pond.</t>
  </si>
  <si>
    <t>Cleaning out the BMP such as baffle boxes, inlet baskets, and sediment basins.</t>
  </si>
  <si>
    <t>Conversion of a retention pond into a reusue pond to irrigate the golf course.</t>
  </si>
  <si>
    <t>Upgrading a 1st generation to a 2nd generatrion baffle box by adding the nutrient separating screen.</t>
  </si>
  <si>
    <t>Upgrading a 1st generation baffle box to a 2nd generatrion baffle box by adding the nutrient separating screen.</t>
  </si>
  <si>
    <t>Quarterly baffle box/ sediment trap cleaning.</t>
  </si>
  <si>
    <t>Two wet detention ponds (80-acres &amp; 23 acres) with gravity flow and pump station.</t>
  </si>
  <si>
    <t>On-line Retention BMPs</t>
  </si>
  <si>
    <t>Off-line Retention BMPs</t>
  </si>
  <si>
    <t>Hydrodynamic Separators</t>
  </si>
  <si>
    <t>Removed 24.03 tons of sediment and disposed of it at a landfill.</t>
  </si>
  <si>
    <t>Identified 36 ERPs that were not included in the PLSM model that provide treatment.</t>
  </si>
  <si>
    <t>Providing 3.187 inches of additional treatment within 5 ERP drainage basins that were not included in the PLSM model.</t>
  </si>
  <si>
    <t>Collected stormwater and baseflow nutrient concentrations and rainfall data at 3 monitoring stations; collected baseflow and stormwater runoff flow volume data and groundwater elevation data at 6 monitoring stations.</t>
  </si>
  <si>
    <t>Pilot study to improve removal rates of nitrates, total nitrogen, and ammonia in plant effluent. Pilot study was successful and will result in permanent changes that will be requested in RWWTF Permits.</t>
  </si>
  <si>
    <t>Enhancement to wetlands at CCAFS occurs through invasive vegetation management including annual exotic vegetation removal.</t>
  </si>
  <si>
    <t>CCAFS-11</t>
  </si>
  <si>
    <t>CCAFS-12</t>
  </si>
  <si>
    <t>2 Projects: 4 miles on both sides of Titan Road and ITL Causeway and 1,000 ft near the South Gate Entrance.</t>
  </si>
  <si>
    <t xml:space="preserve">5. 022719: Tina added 2019 STAR projects and conducted metrics SOP check on updates. </t>
  </si>
  <si>
    <t>SB-44</t>
  </si>
  <si>
    <t>SB-45</t>
  </si>
  <si>
    <t>SB-46</t>
  </si>
  <si>
    <t>SB-47</t>
  </si>
  <si>
    <t>SB-48</t>
  </si>
  <si>
    <t>SB-49</t>
  </si>
  <si>
    <t>SB-50</t>
  </si>
  <si>
    <t>SB-51</t>
  </si>
  <si>
    <t>SB-52</t>
  </si>
  <si>
    <t>SB-53</t>
  </si>
  <si>
    <t>SB-54</t>
  </si>
  <si>
    <t>SB-55</t>
  </si>
  <si>
    <t>SB-56</t>
  </si>
  <si>
    <t>SB-57</t>
  </si>
  <si>
    <t>SB-58</t>
  </si>
  <si>
    <t>Lori Laine Trunk Replacement</t>
  </si>
  <si>
    <t>Replace Main Lori Laine Trunk</t>
  </si>
  <si>
    <t>Stormwater System Rehabilitation</t>
  </si>
  <si>
    <t>Lori Laine Outfall Treatment</t>
  </si>
  <si>
    <t>Treat Stormwater at Lori Laine Outfall</t>
  </si>
  <si>
    <t>Elwood/Temple Facility Upgrade</t>
  </si>
  <si>
    <t>Change existing dry pond to wet detention pond and divert stormwater to pond</t>
  </si>
  <si>
    <t>Jackson Ct. Treatment Facility</t>
  </si>
  <si>
    <t>Construct Wet Detention Pond</t>
  </si>
  <si>
    <t>Schechter Community Center Bioretention</t>
  </si>
  <si>
    <t>Add Bioretention to Parking lot area</t>
  </si>
  <si>
    <t>Robert Way Diversion/Library Dry Retention</t>
  </si>
  <si>
    <t>Divert Robert Way into dry detention pond</t>
  </si>
  <si>
    <t>Robin Way Diversion/Library Dry Retention</t>
  </si>
  <si>
    <t>Divert Robin Way into dry detention pond</t>
  </si>
  <si>
    <t>Roosevelt BAM Filter</t>
  </si>
  <si>
    <t>Add BAM Filter to Roosevelt outfall Baffle Box</t>
  </si>
  <si>
    <t>South Ditch BAM Swales</t>
  </si>
  <si>
    <t>Add BAM Swales along South Ditch Trunkline</t>
  </si>
  <si>
    <t>Sports Park Treatment</t>
  </si>
  <si>
    <t>Install In-Ditch BAM</t>
  </si>
  <si>
    <t>Glenwood Road Narrowing</t>
  </si>
  <si>
    <t>Adding Roadside Swales to Glenwood</t>
  </si>
  <si>
    <t>North Drainage BAM Filter</t>
  </si>
  <si>
    <t>Add BAM filter to North Drainage Baffle Box</t>
  </si>
  <si>
    <t>Emerald Court Inlet Baskets</t>
  </si>
  <si>
    <t>Insert Inlet Trap at the end of Emerald Court</t>
  </si>
  <si>
    <t>Catch Basin Inserts/Inlet Filter Cleanout</t>
  </si>
  <si>
    <t>City Hall Pond Beemats/Living Shoreline</t>
  </si>
  <si>
    <t>Install BeeMats and living shoreline along City Hall Pond area</t>
  </si>
  <si>
    <t>Jamacia Pond Outfall BAM Filter</t>
  </si>
  <si>
    <t>Adding BAM filters to Jamaica Pond outfalls</t>
  </si>
  <si>
    <t>LID- Rain Gardens</t>
  </si>
  <si>
    <t>Baffle Boxes- Second Generation with Media</t>
  </si>
  <si>
    <t>Exfiltration piping installations – 8 locations.</t>
  </si>
  <si>
    <t>CC-33</t>
  </si>
  <si>
    <t>CC-34</t>
  </si>
  <si>
    <t>CC-35</t>
  </si>
  <si>
    <t>CC-36</t>
  </si>
  <si>
    <t>CC-37</t>
  </si>
  <si>
    <t>CC-38</t>
  </si>
  <si>
    <t>CC-39</t>
  </si>
  <si>
    <t>CC-40</t>
  </si>
  <si>
    <t>WWTF SHORELINE RESTORATION</t>
  </si>
  <si>
    <t>Armor shoreline at WWTF.</t>
  </si>
  <si>
    <t>BEEMATS INSTALLATION (4 COUNT)</t>
  </si>
  <si>
    <t>Beemats installation.</t>
  </si>
  <si>
    <t>OXIDATION DITCH REFURBISHMENT</t>
  </si>
  <si>
    <t>Oxidation Ditch rehab.</t>
  </si>
  <si>
    <t>LS #2 SEWER LINE REPLACEMENT</t>
  </si>
  <si>
    <t>Replacement of sewer line for LS #2.</t>
  </si>
  <si>
    <t>FORCE MAIN #3 REPLACEMENT</t>
  </si>
  <si>
    <t>Replacement and relocation of Force Main #3.</t>
  </si>
  <si>
    <t>CANAVERAL CITY PARK EXFILTRATION SYSTEM EXPANSION</t>
  </si>
  <si>
    <t>WWTF Disposal Site</t>
  </si>
  <si>
    <t>ESTUARY PROPERTY RESTORATION</t>
  </si>
  <si>
    <t>Habitat and water quality improvements.</t>
  </si>
  <si>
    <t>PARKS SHORELINE RESTORATION</t>
  </si>
  <si>
    <t>Armor shorelines at two City parks.</t>
  </si>
  <si>
    <t>NF012</t>
  </si>
  <si>
    <t>Floating Islands/ Managed Aquatic Plant Systems (MAPS)</t>
  </si>
  <si>
    <t>DEP - $65,600/ City - $167,064</t>
  </si>
  <si>
    <t>SJRWMD - $45,000/ City - $30,000</t>
  </si>
  <si>
    <t>DEP - $263,402/ City - $179,601</t>
  </si>
  <si>
    <t>DEP - $1,162,662/ City - $657,838</t>
  </si>
  <si>
    <t>SJRWMD - $75,000/ City - $2,955,000</t>
  </si>
  <si>
    <t>Fertilizer cessation.</t>
  </si>
  <si>
    <t xml:space="preserve">6. 031519: Tina added FDOT STAR updates, updated charts, graphs, tables. </t>
  </si>
  <si>
    <t>Structural/Non Structural</t>
  </si>
  <si>
    <t>Agricultural BMPs</t>
  </si>
  <si>
    <t>Use Past Designation</t>
  </si>
  <si>
    <t>Alum Injection Systems</t>
  </si>
  <si>
    <t>Aquatic Vegetation Harvesting</t>
  </si>
  <si>
    <r>
      <t>Structural</t>
    </r>
    <r>
      <rPr>
        <sz val="8"/>
        <color theme="1"/>
        <rFont val="Calibri"/>
        <family val="2"/>
        <scheme val="minor"/>
      </rPr>
      <t>   </t>
    </r>
  </si>
  <si>
    <t>Biological/ Bacteria Treatment</t>
  </si>
  <si>
    <t>Bioswales</t>
  </si>
  <si>
    <t>Closed Basin</t>
  </si>
  <si>
    <t>Control Structure</t>
  </si>
  <si>
    <t>Creating/ Enhancing Living Shoreline</t>
  </si>
  <si>
    <t>Creating/ Enhancing Oyster Reefs</t>
  </si>
  <si>
    <t>Credit Trade</t>
  </si>
  <si>
    <t>Trade</t>
  </si>
  <si>
    <t>Dairy Remediation</t>
  </si>
  <si>
    <t>Decommission/ Abandonment</t>
  </si>
  <si>
    <t>Deep Injection Well</t>
  </si>
  <si>
    <t>Denitrification Walls</t>
  </si>
  <si>
    <t>Dispersed Water Management (DWM)</t>
  </si>
  <si>
    <t>Filter Marsh</t>
  </si>
  <si>
    <t>Fish Harvesting</t>
  </si>
  <si>
    <t>Floodplain Restoration</t>
  </si>
  <si>
    <t>Golf Course or Sports Field BMPs</t>
  </si>
  <si>
    <t>Grass swales with swale blocks or raised culverts</t>
  </si>
  <si>
    <t>Grass swales without swale blocks or raised culverts</t>
  </si>
  <si>
    <t>Hybrid wetland treatment technology (HWTT)</t>
  </si>
  <si>
    <t>Hydrologic Restoration</t>
  </si>
  <si>
    <t>Industrial Facility Upgrades</t>
  </si>
  <si>
    <t>Land Acquisition</t>
  </si>
  <si>
    <t>Land Preservation</t>
  </si>
  <si>
    <t>LID- Green Roofs</t>
  </si>
  <si>
    <t>LID- Other</t>
  </si>
  <si>
    <t>LID- Tree Boxes/Tree Wells</t>
  </si>
  <si>
    <t>Macroalgal Harvesting</t>
  </si>
  <si>
    <t>Non-contributing Basin</t>
  </si>
  <si>
    <t>Onsite Sewage Treatment and Disposal System (OSTDS) Enhancement</t>
  </si>
  <si>
    <t>OSTDS Phase Out</t>
  </si>
  <si>
    <t>Pervious Pavers</t>
  </si>
  <si>
    <t>Plugging Artesian Wells</t>
  </si>
  <si>
    <t>Regulations, Ordinances, and Guidelines</t>
  </si>
  <si>
    <t>Retention/Detention BMP Retrofit with Nutrient Reducing Media</t>
  </si>
  <si>
    <r>
      <t>Retention/Detention BMP with Nutrient Reducing Media</t>
    </r>
    <r>
      <rPr>
        <sz val="8"/>
        <color theme="1"/>
        <rFont val="Calibri"/>
        <family val="2"/>
        <scheme val="minor"/>
      </rPr>
      <t> </t>
    </r>
  </si>
  <si>
    <t>Sanitary Sewer and Wastewater Treatment Facility (WWTF) Maintenance</t>
  </si>
  <si>
    <t>Sanitary Sewer Inspections</t>
  </si>
  <si>
    <t>SAV Planting</t>
  </si>
  <si>
    <t>Stormwater Aeration System</t>
  </si>
  <si>
    <t>Stormwater Treatment Areas (STAs)</t>
  </si>
  <si>
    <t>Turbidity Reducing Polymers (e.g., Floc logs ®)</t>
  </si>
  <si>
    <t>Vegetated Buffers</t>
  </si>
  <si>
    <t>Wastewater Service Area Expansion</t>
  </si>
  <si>
    <t>Wetland Restoration</t>
  </si>
  <si>
    <t>WWTF Diversion to Reuse</t>
  </si>
  <si>
    <t>WWTF Nutrient Reduction</t>
  </si>
  <si>
    <t>ProjectType</t>
  </si>
  <si>
    <t>LeadEntity</t>
  </si>
  <si>
    <t>ProjectNumber</t>
  </si>
  <si>
    <t>ProjectName</t>
  </si>
  <si>
    <t>ProjectDescription</t>
  </si>
  <si>
    <t>ProjectStatus</t>
  </si>
  <si>
    <t>EstimatedCompletionDate</t>
  </si>
  <si>
    <t>TNReduction(lbs/yr)</t>
  </si>
  <si>
    <t>TPReduction(lbs/yr)</t>
  </si>
  <si>
    <t>AcresTreated</t>
  </si>
  <si>
    <t>CostEstimate</t>
  </si>
  <si>
    <t>CostAnnualO&amp;M</t>
  </si>
  <si>
    <t>FundingSource</t>
  </si>
  <si>
    <t>FundingAmount</t>
  </si>
  <si>
    <t>DEPContractAgreementNumber</t>
  </si>
  <si>
    <t xml:space="preserve">7. 032919: Notes were previously added to CB-39 and a new note was added to FDOT-14 regarding project reductions. </t>
  </si>
  <si>
    <t>Reductions Needed</t>
  </si>
  <si>
    <t>Count of ProjectStatus</t>
  </si>
  <si>
    <t>Tree canopy, rain gardens/ rain tanks/ previous pavers/ BAM.</t>
  </si>
  <si>
    <t>IHB-37</t>
  </si>
  <si>
    <t>Gleason Park Irrigation Phase 3</t>
  </si>
  <si>
    <t>Expansion of irrigation in Gleason Park to cover SE area of park.</t>
  </si>
  <si>
    <t>City of IHB Stormwater Utility</t>
  </si>
  <si>
    <t>South Patrick Drive Baffle Box</t>
  </si>
  <si>
    <t>Merritt Island Airport</t>
  </si>
  <si>
    <t>Artemis Blvd. - BB #979</t>
  </si>
  <si>
    <t>Needle Blvd. - BB #998</t>
  </si>
  <si>
    <t>Piney Woods  BB #1066</t>
  </si>
  <si>
    <t>Three outreach events were held that removed 30 tons of debris through beach cleanups</t>
  </si>
  <si>
    <t>Improved removal rates of nitrates, total nitrogen, and ammonia in plant effluent.</t>
  </si>
  <si>
    <t>International Drive Baffle Box</t>
  </si>
  <si>
    <t>Cottage Row Parking Facilities Lot</t>
  </si>
  <si>
    <t>(Previously named Lift Station Pond)</t>
  </si>
  <si>
    <t>Provide retention using pervious parking.</t>
  </si>
  <si>
    <t>Alhambra Exfiltration</t>
  </si>
  <si>
    <t>Cassia Phase 3 - C5A</t>
  </si>
  <si>
    <t>KSC Citrus Grove Termination  TEL-IV</t>
  </si>
  <si>
    <t>DEP/ Brevard County/ SOIRL</t>
  </si>
  <si>
    <t>Brevard County/ SOIRL</t>
  </si>
  <si>
    <t>8. 01272020: Added changes to projects for STAR 2019 in orange and QAQC. Project description in red (ID: 2463) needs to be shortened. Calculations/projects already checked by Stacy's team for Satellite Beach, Cape Canaveral Air Force, FDOT D5, Indian Harbour, Kennedy Space Center, Patrick Air Force.</t>
  </si>
  <si>
    <t>DEP - $350,384</t>
  </si>
  <si>
    <t>DEP - $27,000</t>
  </si>
  <si>
    <t>DEP - $29,000</t>
  </si>
  <si>
    <t>DEP - $33,000</t>
  </si>
  <si>
    <t>DEP - $31,500</t>
  </si>
  <si>
    <t>DEP - $41,000</t>
  </si>
  <si>
    <t>DEP - $31,000</t>
  </si>
  <si>
    <t>DEP - $42,000</t>
  </si>
  <si>
    <t>DEP - $37,500</t>
  </si>
  <si>
    <t>DEP - $30,700</t>
  </si>
  <si>
    <t>DEP - $102,000</t>
  </si>
  <si>
    <t>DEP - $652,056</t>
  </si>
  <si>
    <t>DEP - $31,452</t>
  </si>
  <si>
    <t>DEP - $34,037</t>
  </si>
  <si>
    <t>DEP - $12,507</t>
  </si>
  <si>
    <t>DEP - $114,914</t>
  </si>
  <si>
    <t>DEP TMDL - $340,533</t>
  </si>
  <si>
    <t>SOIRL - $4,224</t>
  </si>
  <si>
    <t>USAF - $1,850,000</t>
  </si>
  <si>
    <t>USAF - $46,000</t>
  </si>
  <si>
    <t>City - $15,000</t>
  </si>
  <si>
    <t>City - $12,322</t>
  </si>
  <si>
    <t>City - $3,100</t>
  </si>
  <si>
    <t>City - $193,000</t>
  </si>
  <si>
    <t>City - $38,000</t>
  </si>
  <si>
    <t>City - $436,000</t>
  </si>
  <si>
    <t>City - $4,500</t>
  </si>
  <si>
    <t>FDOT - $708,450</t>
  </si>
  <si>
    <t>City - $193,850</t>
  </si>
  <si>
    <t>DEP - $1,150,000</t>
  </si>
  <si>
    <t>SOIRL - $26,637</t>
  </si>
  <si>
    <t>DEP - $1,796,800</t>
  </si>
  <si>
    <t>Legislative Funding - $35,000</t>
  </si>
  <si>
    <t>9. 02142020: Added projects/updates from Stacy submittal on Teamwork (already verified - Some may need new project IDs because they are new projects), and removed dupliactes.</t>
  </si>
  <si>
    <t>LP05111</t>
  </si>
  <si>
    <t>Save Our Indian River Lagoon</t>
  </si>
  <si>
    <t>Oceana Drive - BB#997A</t>
  </si>
  <si>
    <t>Georgiana Drive - BB#997C</t>
  </si>
  <si>
    <t>Savannah Drive - BB#997B</t>
  </si>
  <si>
    <t>Seagull Drive Pond Pond BAM Train BB#1304 (D-4)</t>
  </si>
  <si>
    <t>Media will be installed along side slope of existing pond and will include solar panels.</t>
  </si>
  <si>
    <t>BC-44</t>
  </si>
  <si>
    <t>MIRA Phase 2 Septic to Sewer (S. Tropical Tr.)</t>
  </si>
  <si>
    <t>Connect 80 commercial properties to sewer.</t>
  </si>
  <si>
    <t>BC-45</t>
  </si>
  <si>
    <t>Bettinger Oyster Bar</t>
  </si>
  <si>
    <t>BC-46</t>
  </si>
  <si>
    <t>Gitlin Oyster Bar</t>
  </si>
  <si>
    <t>BC-47</t>
  </si>
  <si>
    <t>Marina Isles Oyster Restoration</t>
  </si>
  <si>
    <t>BC-48</t>
  </si>
  <si>
    <t>Cocoa Beach Living Shoreline</t>
  </si>
  <si>
    <t>BC-49</t>
  </si>
  <si>
    <t>Cocoa Beach Muck Dredging Phase III</t>
  </si>
  <si>
    <t>BC-50</t>
  </si>
  <si>
    <t>BC-51</t>
  </si>
  <si>
    <t>Andrix Blvd. - BB#973</t>
  </si>
  <si>
    <t>BC-52</t>
  </si>
  <si>
    <t>MIRA Phase 2 Bioswale Treatment Train (Merritt Ridge Pond)</t>
  </si>
  <si>
    <t>BC-53</t>
  </si>
  <si>
    <t>MIRA Phase 3 Septic to Sewer (Cone Rd)</t>
  </si>
  <si>
    <t>Connect 30+ commercial properties to sewer.</t>
  </si>
  <si>
    <t>BC-54</t>
  </si>
  <si>
    <t>Grass Clippings Campaign Phase 1</t>
  </si>
  <si>
    <t>Stormwater/wastewater vault system.</t>
  </si>
  <si>
    <t>Improvements for discharge of reuse water (same as CC-14).</t>
  </si>
  <si>
    <t>CC-41</t>
  </si>
  <si>
    <t>Carbon (Micro C) Feed System Installation</t>
  </si>
  <si>
    <t>10. 021920: Added  project updates for STAR and checked project IDs for duplicates</t>
  </si>
  <si>
    <t>PAFB-01</t>
  </si>
  <si>
    <t>Youth Center Bldg. 3656</t>
  </si>
  <si>
    <t>PAFB-02</t>
  </si>
  <si>
    <t>Building 543 Replace Main Gate</t>
  </si>
  <si>
    <t>USACE</t>
  </si>
  <si>
    <t>PAFB-03</t>
  </si>
  <si>
    <t>Basin 6B No Discharge</t>
  </si>
  <si>
    <t>No discharge.</t>
  </si>
  <si>
    <t>PAFB-04</t>
  </si>
  <si>
    <t>Basin 6C No Discharge</t>
  </si>
  <si>
    <t>PAFB-05</t>
  </si>
  <si>
    <t>In addition to no fertilizer use on base, 212 personnel/ residents received initial stormwater awareness training in the monthly newcomers meetings; additional 347 personnel received stormwater awareness using the ESOHTN website or in-person training; 204 Illicit Discharge Detection and Elimination (IDDE) informational brochures were distributed to residents, businesses and base personnel in 2017. Two stormwater-related articles were published for distribution through the base newpaper and website in 2017.</t>
  </si>
  <si>
    <t>PAFB-06</t>
  </si>
  <si>
    <t>Golf Course Pond Stormwater Reuse</t>
  </si>
  <si>
    <t>Golf course pond stormwater reuse for irrigation.</t>
  </si>
  <si>
    <t>PAFB-07</t>
  </si>
  <si>
    <t>Removed 8.5 tons of sediment and disposed of it at a landfill.</t>
  </si>
  <si>
    <t>2016</t>
  </si>
  <si>
    <t>PAFB-08</t>
  </si>
  <si>
    <t>Demo AFTEC Bldg.</t>
  </si>
  <si>
    <t>Demolition/ loss of impervious area.</t>
  </si>
  <si>
    <t>Land use change</t>
  </si>
  <si>
    <t>PAFB-09</t>
  </si>
  <si>
    <t>Fuel Farm Baffle Box</t>
  </si>
  <si>
    <t>PAFB 2nd generation baffle box located north of the Fuel Farm - Subbasins 13A and 13B.</t>
  </si>
  <si>
    <t>PAFB-10</t>
  </si>
  <si>
    <t>No longer a PAFB project.</t>
  </si>
  <si>
    <t>PAFB-11</t>
  </si>
  <si>
    <t>Canal/ Basin Clean Out</t>
  </si>
  <si>
    <t>PAFB-12</t>
  </si>
  <si>
    <t>Ponds Without Discharge</t>
  </si>
  <si>
    <t>Documenting no discharge from existing retention ponds. Subbasins 11A, 18A, and 18B.</t>
  </si>
  <si>
    <t>PAFB-13</t>
  </si>
  <si>
    <t>PAFB-14</t>
  </si>
  <si>
    <t>Golf Course MAPS Install</t>
  </si>
  <si>
    <t>Install 4 MAPS at the golf course within the retention ponds.</t>
  </si>
  <si>
    <t>PAFB-15</t>
  </si>
  <si>
    <t>Collected stormwater and baseflow nutrient concentrations and rainfall data from 5 monitoring stations; collected baseflow and stormwater runoff flow volume data and groundwater elevation data from 9 monitoring stations.</t>
  </si>
  <si>
    <t>2011</t>
  </si>
  <si>
    <t>PAFB-16</t>
  </si>
  <si>
    <t>USAF/ Air Force Environmental Restoration Account (AFERA)</t>
  </si>
  <si>
    <t>PAFB-17</t>
  </si>
  <si>
    <t xml:space="preserve">Six outreach events were held: Annual Spring Beach Cleanup; PAFB Riverside Cleanup; Earth Day Memorial Tree Planting; Earth Day Outreach at the BX; Space Wing Family Day; and PAFB Fall Beach Cleanup.
</t>
  </si>
  <si>
    <t>PAFB-18</t>
  </si>
  <si>
    <t>Manatee Cove Marina entrance Dredging Project</t>
  </si>
  <si>
    <t>Removed 2,500 cubic yards of sand from the Manatee Cove Marina entrance.</t>
  </si>
  <si>
    <t>PAFB-19</t>
  </si>
  <si>
    <t>Jurisdictional wetlands consist of four canals that directly connect to the Banana River totaling 35.7 surface acres.</t>
  </si>
  <si>
    <t>Added on-line retention.</t>
  </si>
  <si>
    <t>170 inlets/ pipes/ swales/ ponds were inspected and 89 maintenance operations of stormwater systems were performed in 2017.</t>
  </si>
  <si>
    <t>Documenting treatment from existing completed ERP projects that were not included in the PLSM model.</t>
  </si>
  <si>
    <t>FEMA/ Installation Restoration Program (IRP)/  U.S. Air Force Civil Engineering Center (AFCEC)</t>
  </si>
  <si>
    <t>Shoreline Stabilization Projects</t>
  </si>
  <si>
    <t>6 Projects:
West of Runway 11: 490 LF of riprap, 780 LF of marsh sill barrier (living shoreline), and planting native marsh grasses between the existing shoreline and breakwater.
Eastern Portion of Landfill No. 5 along Survival Canal: 2,570 LF of riprap, 256 LF of living shoreline, and plantings of native species in the upland areas.
North Housing: repair and supplement existing rock rip-rap with the installation of 20 marsh sills
Fuel Farm to Runway 11: repair and supplement existing rock rip-rap with the installation of 17 marsh sills
FamCamp: supplement existing open sand areas with the installation of 26 marsh sills
Airfield: install 280 feet of new rock rip-rap, supplemental sand placement along the shoreline, fill 0.58 acre of shoreline, and installation of 56 marsh sills</t>
  </si>
  <si>
    <t>DEP/ SOIRL</t>
  </si>
  <si>
    <t>MIRA/ SJRWMD/ SOIRL/ DEP</t>
  </si>
  <si>
    <t>SOIRL/ Brevard Zoo</t>
  </si>
  <si>
    <t>SOIRL/ MRC</t>
  </si>
  <si>
    <t>SOIRL/ Cocoa Beach</t>
  </si>
  <si>
    <t>SJRWMD/ DEP</t>
  </si>
  <si>
    <t>SOIRL/ DEP</t>
  </si>
  <si>
    <t>LF/ SOIRL</t>
  </si>
  <si>
    <t>TMDL/ EPA/ Legislative/ SJRWMD</t>
  </si>
  <si>
    <t>EPA/ DEP TMDL</t>
  </si>
  <si>
    <t>SJRWMD/ SOIRL/ DEP</t>
  </si>
  <si>
    <t>SOIRL/ DEP/ SJRWMD</t>
  </si>
  <si>
    <t>SJRWMD - $57,750/ DEP - $136,000</t>
  </si>
  <si>
    <t>DEP - $10,000,000</t>
  </si>
  <si>
    <t>DEP TMDL - $307,333.86</t>
  </si>
  <si>
    <t>11. 022520: SOP and project duplicates check, Project Descriptions in green need to be shortened to less than 255 characters. Changed project types that fit project descriptions better. Also reverted dates back to 2018 because they were complete.</t>
  </si>
  <si>
    <t>DEP - $41,700/ City - $2,000</t>
  </si>
  <si>
    <t>Sum of TNReduction(lbs/yr)</t>
  </si>
  <si>
    <t>Sum of TPReduction(lbs/yr)</t>
  </si>
  <si>
    <t>Marketing and surveying.</t>
  </si>
  <si>
    <t>WWTF Effluent Polishing System.</t>
  </si>
  <si>
    <t>Modification of existing wet pond to include bioswale with BAM.</t>
  </si>
  <si>
    <t>Fertilizer, grass clippings, and septic system maintenance.</t>
  </si>
  <si>
    <t>Remove 300,000 cubic yards of muck.</t>
  </si>
  <si>
    <t>Plant 200 mangroves and 1000 spartina along shoreline of Cocoa Beach Country Club.</t>
  </si>
  <si>
    <t>Construct 1500 linear foot oyster reef.</t>
  </si>
  <si>
    <t>Construct 180 linear foot oyster reef.</t>
  </si>
  <si>
    <t>Construct 120-linear foot oyster bar.</t>
  </si>
  <si>
    <t>BC-54a</t>
  </si>
  <si>
    <t>BC-50a</t>
  </si>
  <si>
    <t>Sum of CostAnnualO&amp;M</t>
  </si>
  <si>
    <t>Sum of CostEstimate</t>
  </si>
  <si>
    <t>Column Labels</t>
  </si>
  <si>
    <t>12. 032620: added project IDs (highlighted in blue)for new projects (blanks) inserted in the STAR 2019 process from Access import. Saved a working copy to check and added a pivot table on projects type check tab to review for any errors/missing info.</t>
  </si>
  <si>
    <t>Min/Max of Project IDs</t>
  </si>
  <si>
    <t>Count of ProjID</t>
  </si>
  <si>
    <t>Sum of ProjID</t>
  </si>
  <si>
    <t>Sum of Estimated TN Load Reduction (lb-N/yr)</t>
  </si>
  <si>
    <t>TMDL</t>
  </si>
  <si>
    <t>% Achieved</t>
  </si>
  <si>
    <t>Sum of Estimated TP Load Reduction (lb-N/yr)</t>
  </si>
  <si>
    <t>Required Reduction (lbs/yr)</t>
  </si>
  <si>
    <t>Total Reductions Required</t>
  </si>
  <si>
    <t>2019 STAR Priority Projects (1-5)</t>
  </si>
  <si>
    <t>13. 051820: added Stacy's lat longs from Teamwork submittal and created lat long append page for projects with coordinates for Access import. Saved copy of "BRL Points" to Wildwood server with her comments and changes in a sub folder titled "Post STAR 2019 Updates Needed"</t>
  </si>
  <si>
    <t>28.17969718 </t>
  </si>
  <si>
    <t>28.1771708692046</t>
  </si>
  <si>
    <t>14. 070120: Per today's conversation with Stacy, reverted the project credits for CCAF-07 from 14 lbs/yr and 9 lbs/yr to N/A and N/A. The 2019 update to these numbers was an error and the N/A status is the correct one to use.</t>
  </si>
  <si>
    <t xml:space="preserve">15. 082020: TMG - corrected errors identified in the Ongoing Project Type Errors workbook and highlighted in light green. </t>
  </si>
  <si>
    <t>yes</t>
  </si>
  <si>
    <t>no</t>
  </si>
  <si>
    <t>DEP has Treatment Area Shapefile</t>
  </si>
  <si>
    <t>DEP needs Treatment Area Shapefile</t>
  </si>
  <si>
    <t>credit available?</t>
  </si>
  <si>
    <t>16. updated from information provided by the entity by Stacy</t>
  </si>
  <si>
    <t>To Do</t>
  </si>
  <si>
    <t>Apply Rolling Average</t>
  </si>
  <si>
    <t>Apply New Information</t>
  </si>
  <si>
    <t>up to 6% of area for TN and TP</t>
  </si>
  <si>
    <t>MS4 Tool</t>
  </si>
  <si>
    <t>Update with SWIL #s</t>
  </si>
  <si>
    <t>Find Shapefile</t>
  </si>
  <si>
    <t>Keep original numbers</t>
  </si>
  <si>
    <t>Verification due from Wood 9/22/2020</t>
  </si>
  <si>
    <t>Pending verification</t>
  </si>
  <si>
    <t>yes? Same as BC-53?</t>
  </si>
  <si>
    <t>additional required information for verification not provided</t>
  </si>
  <si>
    <t>Stakeholder needs to fill in additional missing project information for this project number</t>
  </si>
  <si>
    <t>Stakeholder is missing information for this cell</t>
  </si>
  <si>
    <t>Action for BMAP update</t>
  </si>
  <si>
    <t>Need to decide how to handle previous credits with no shapefile available</t>
  </si>
  <si>
    <t>Keep the previously applied credits</t>
  </si>
  <si>
    <t>Pending Verification</t>
  </si>
  <si>
    <t>Exfiltration trench of 783 lf retrofitted with a 18" perforated pipe with gravel</t>
  </si>
  <si>
    <t xml:space="preserve">Exfiltration trench of 300 lf retrofitted with a 12" perforated pipe with graveld. </t>
  </si>
  <si>
    <t>100% storage of the subdivision for the 25-year storm</t>
  </si>
  <si>
    <t>Ongoing inlet cleaning</t>
  </si>
  <si>
    <t>Ongoing street sweeping</t>
  </si>
  <si>
    <t>Diversion of an existing pipe at Bay Dr. to the existing Gleason wet pond to increase the treatment drainage of the wet detention pond</t>
  </si>
  <si>
    <t>Swale cut in the median of Atlantic Ave</t>
  </si>
  <si>
    <t>Initial effort to reuse about 58,200 gallons a week from the Gleason wet pond</t>
  </si>
  <si>
    <t>Dry detention pond with 2" of retention in the intersection of Pinetree Dr and Banana River Dr. Previously called "Fire Station Exfiltration"</t>
  </si>
  <si>
    <t>Exfiltration with 0.065" of retention in Park Dr</t>
  </si>
  <si>
    <t>Exfiltration with 0.064" of retention in Yuma Dr.</t>
  </si>
  <si>
    <t>Exfiltration with 0.014" of retention in Lime Bay subdivision</t>
  </si>
  <si>
    <t>Exfiltration with 0.066" of retention in Andros Lane</t>
  </si>
  <si>
    <t>Exfiltration with 0.38" of retention, implemented prior to IHB-11</t>
  </si>
  <si>
    <t>Exfiltration with 0.091" of retention in Inwood Lane</t>
  </si>
  <si>
    <t>Fire Station Dry Pond</t>
  </si>
  <si>
    <t>2020</t>
  </si>
  <si>
    <t>SOIRL, City of IHB Stormwater Utility</t>
  </si>
  <si>
    <t>SOIRL and State Legislature</t>
  </si>
  <si>
    <t>City of IHB Stormwater Utility &amp; SOIRL</t>
  </si>
  <si>
    <t>Exfiltration pipe</t>
  </si>
  <si>
    <t>CDS Unit downstream of Jackson Exfiltration</t>
  </si>
  <si>
    <t>Exfiltation Trench</t>
  </si>
  <si>
    <t>Existing exfiltration pipe upstream of Desoto Exfiltration Pipe</t>
  </si>
  <si>
    <t>Existing exfiltration pipe at east end of Desoto pipes (wrapped pipe)</t>
  </si>
  <si>
    <t>Existing exfiltration pipe in middle of Desoto Treatment Train</t>
  </si>
  <si>
    <t>Wet pond</t>
  </si>
  <si>
    <t>Reuse</t>
  </si>
  <si>
    <t>Baffle boxes located near the stormwater park and residental finger canal.</t>
  </si>
  <si>
    <t xml:space="preserve">Type 2 Baffle Box </t>
  </si>
  <si>
    <t>Quaterly Street Sweeing</t>
  </si>
  <si>
    <t>2023</t>
  </si>
  <si>
    <t>092020: Stacy Notes -- information beyond credit calculations provided by stakeholders has been updated</t>
  </si>
  <si>
    <t>recalculate TN and TP with SWIL model and % efficiencies on record</t>
  </si>
  <si>
    <t>update treated acres</t>
  </si>
  <si>
    <t>update project zone location information based on changes in the 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</si>
</sst>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43" formatCode="_(* #,##0.00_);_(* \(#,##0.00\);_(* &quot;-&quot;??_);_(@_)"/>
    <numFmt numFmtId="164" formatCode="&quot;$&quot;#,##0.00"/>
    <numFmt numFmtId="165" formatCode="&quot;$&quot;#,##0"/>
    <numFmt numFmtId="166" formatCode="_(* #,##0_);_(* \(#,##0\);_(* &quot;-&quot;??_);_(@_)"/>
  </numFmts>
  <fonts count="18" x14ac:knownFonts="1">
    <font>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sz val="10"/>
      <name val="Times New Roman"/>
      <family val="1"/>
    </font>
    <font>
      <sz val="11"/>
      <color theme="1"/>
      <name val="Times New Roman"/>
      <family val="1"/>
    </font>
    <font>
      <b/>
      <sz val="10"/>
      <name val="Times New Roman"/>
      <family val="1"/>
    </font>
    <font>
      <sz val="10"/>
      <color rgb="FFFF0000"/>
      <name val="Times New Roman"/>
      <family val="1"/>
    </font>
    <font>
      <sz val="11"/>
      <color rgb="FF006100"/>
      <name val="Calibri"/>
      <family val="2"/>
      <scheme val="minor"/>
    </font>
    <font>
      <sz val="11"/>
      <color rgb="FF9C5700"/>
      <name val="Calibri"/>
      <family val="2"/>
      <scheme val="minor"/>
    </font>
    <font>
      <sz val="10"/>
      <color theme="1"/>
      <name val="Calibri"/>
      <family val="2"/>
      <scheme val="minor"/>
    </font>
    <font>
      <b/>
      <sz val="11"/>
      <color theme="1"/>
      <name val="Calibri"/>
      <family val="2"/>
      <scheme val="minor"/>
    </font>
    <font>
      <sz val="9"/>
      <color rgb="FF000000"/>
      <name val="Times New Roman"/>
      <family val="1"/>
    </font>
    <font>
      <sz val="8"/>
      <color theme="1"/>
      <name val="Calibri"/>
      <family val="2"/>
      <scheme val="minor"/>
    </font>
    <font>
      <b/>
      <sz val="11"/>
      <color rgb="FF000000"/>
      <name val="Calibri"/>
      <family val="2"/>
    </font>
    <font>
      <sz val="8"/>
      <name val="Calibri"/>
      <family val="2"/>
      <scheme val="minor"/>
    </font>
    <font>
      <b/>
      <strike/>
      <u/>
      <sz val="11"/>
      <color theme="1"/>
      <name val="Calibri"/>
      <family val="2"/>
      <scheme val="minor"/>
    </font>
    <font>
      <strike/>
      <sz val="11"/>
      <color theme="1"/>
      <name val="Calibri"/>
      <family val="2"/>
      <scheme val="minor"/>
    </font>
  </fonts>
  <fills count="26">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EB9C"/>
      </patternFill>
    </fill>
    <fill>
      <patternFill patternType="solid">
        <fgColor rgb="FFFF7C8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4" tint="0.39997558519241921"/>
        <bgColor theme="4" tint="0.79998168889431442"/>
      </patternFill>
    </fill>
    <fill>
      <patternFill patternType="solid">
        <fgColor theme="4" tint="0.39997558519241921"/>
        <bgColor indexed="64"/>
      </patternFill>
    </fill>
    <fill>
      <patternFill patternType="solid">
        <fgColor theme="0" tint="-0.14999847407452621"/>
        <bgColor indexed="64"/>
      </patternFill>
    </fill>
    <fill>
      <patternFill patternType="solid">
        <fgColor rgb="FFC0C0C0"/>
        <bgColor rgb="FFC0C0C0"/>
      </patternFill>
    </fill>
    <fill>
      <patternFill patternType="solid">
        <fgColor rgb="FFFFC000"/>
        <bgColor indexed="64"/>
      </patternFill>
    </fill>
    <fill>
      <patternFill patternType="solid">
        <fgColor rgb="FFFF66FF"/>
        <bgColor indexed="64"/>
      </patternFill>
    </fill>
    <fill>
      <patternFill patternType="solid">
        <fgColor rgb="FF00B050"/>
        <bgColor indexed="64"/>
      </patternFill>
    </fill>
    <fill>
      <patternFill patternType="solid">
        <fgColor rgb="FFFFFF00"/>
        <bgColor indexed="64"/>
      </patternFill>
    </fill>
    <fill>
      <patternFill patternType="solid">
        <fgColor theme="8" tint="0.39997558519241921"/>
        <bgColor indexed="64"/>
      </patternFill>
    </fill>
    <fill>
      <patternFill patternType="solid">
        <fgColor rgb="FF009999"/>
        <bgColor indexed="64"/>
      </patternFill>
    </fill>
    <fill>
      <patternFill patternType="solid">
        <fgColor rgb="FF00B0F0"/>
        <bgColor indexed="64"/>
      </patternFill>
    </fill>
    <fill>
      <patternFill patternType="solid">
        <fgColor theme="7" tint="0.79998168889431442"/>
        <bgColor indexed="64"/>
      </patternFill>
    </fill>
    <fill>
      <patternFill patternType="solid">
        <fgColor rgb="FFCCCCFF"/>
        <bgColor indexed="64"/>
      </patternFill>
    </fill>
    <fill>
      <patternFill patternType="solid">
        <fgColor theme="5" tint="0.59999389629810485"/>
        <bgColor indexed="64"/>
      </patternFill>
    </fill>
    <fill>
      <patternFill patternType="solid">
        <fgColor rgb="FFFFCCFF"/>
        <bgColor indexed="64"/>
      </patternFill>
    </fill>
    <fill>
      <patternFill patternType="solid">
        <fgColor rgb="FFFF00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s>
  <cellStyleXfs count="21">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cellStyleXfs>
  <cellXfs count="164">
    <xf numFmtId="0" fontId="0" fillId="0" borderId="0" xfId="0"/>
    <xf numFmtId="0" fontId="3" fillId="0" borderId="0" xfId="0" applyFont="1"/>
    <xf numFmtId="3" fontId="3" fillId="0" borderId="0" xfId="0" applyNumberFormat="1" applyFont="1"/>
    <xf numFmtId="0" fontId="3" fillId="0" borderId="0" xfId="0" applyFont="1" applyAlignment="1">
      <alignment horizontal="center" vertical="center" wrapText="1"/>
    </xf>
    <xf numFmtId="0" fontId="5" fillId="0" borderId="0" xfId="0" applyFont="1"/>
    <xf numFmtId="0" fontId="4" fillId="0" borderId="0" xfId="0" applyFont="1" applyAlignment="1">
      <alignment horizontal="center" vertical="center"/>
    </xf>
    <xf numFmtId="166" fontId="3" fillId="0" borderId="1" xfId="3" applyNumberFormat="1" applyFont="1" applyBorder="1" applyAlignment="1">
      <alignment horizontal="center" vertical="center" wrapText="1"/>
    </xf>
    <xf numFmtId="166" fontId="3" fillId="0" borderId="1" xfId="3"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3" borderId="1" xfId="0" applyFont="1" applyFill="1" applyBorder="1" applyAlignment="1">
      <alignment horizontal="center" vertical="center" wrapText="1"/>
    </xf>
    <xf numFmtId="166" fontId="3" fillId="0" borderId="0" xfId="0" applyNumberFormat="1" applyFont="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xf>
    <xf numFmtId="0" fontId="6" fillId="2" borderId="1" xfId="0" applyFont="1" applyFill="1" applyBorder="1" applyAlignment="1">
      <alignment horizontal="center" wrapText="1"/>
    </xf>
    <xf numFmtId="0" fontId="4" fillId="0" borderId="1" xfId="0" applyFont="1" applyBorder="1" applyAlignment="1">
      <alignment horizontal="center" vertical="center" wrapText="1"/>
    </xf>
    <xf numFmtId="164" fontId="4" fillId="0" borderId="1" xfId="1" applyNumberFormat="1" applyFont="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5" fontId="4" fillId="0" borderId="1" xfId="1" applyNumberFormat="1" applyFont="1" applyBorder="1" applyAlignment="1">
      <alignment horizontal="center" vertical="center" wrapText="1"/>
    </xf>
    <xf numFmtId="0" fontId="4" fillId="6" borderId="1" xfId="0" applyFont="1" applyFill="1" applyBorder="1" applyAlignment="1">
      <alignment horizontal="center" vertical="center" wrapText="1"/>
    </xf>
    <xf numFmtId="165" fontId="0" fillId="0" borderId="0" xfId="0" pivotButton="1" applyNumberFormat="1"/>
    <xf numFmtId="165" fontId="0" fillId="0" borderId="0" xfId="0" applyNumberFormat="1"/>
    <xf numFmtId="3" fontId="0" fillId="0" borderId="0" xfId="0" applyNumberFormat="1"/>
    <xf numFmtId="3" fontId="3" fillId="0" borderId="1" xfId="0" applyNumberFormat="1" applyFont="1" applyBorder="1" applyAlignment="1">
      <alignment horizontal="center"/>
    </xf>
    <xf numFmtId="0" fontId="3" fillId="9" borderId="0" xfId="0" applyFont="1" applyFill="1"/>
    <xf numFmtId="0" fontId="3" fillId="0" borderId="0" xfId="0" applyFont="1" applyAlignment="1">
      <alignment horizontal="left"/>
    </xf>
    <xf numFmtId="0" fontId="3" fillId="0" borderId="1" xfId="0" pivotButton="1" applyFont="1" applyBorder="1" applyAlignment="1">
      <alignment horizontal="center"/>
    </xf>
    <xf numFmtId="9" fontId="3" fillId="0" borderId="0" xfId="2" applyFont="1"/>
    <xf numFmtId="0" fontId="3" fillId="0" borderId="1" xfId="0" pivotButton="1" applyFont="1" applyBorder="1" applyAlignment="1">
      <alignment horizontal="left"/>
    </xf>
    <xf numFmtId="3" fontId="2" fillId="3" borderId="1" xfId="0" pivotButton="1" applyNumberFormat="1" applyFont="1" applyFill="1" applyBorder="1" applyAlignment="1">
      <alignment horizontal="center" wrapText="1"/>
    </xf>
    <xf numFmtId="9" fontId="2" fillId="3" borderId="1" xfId="2" pivotButton="1" applyFont="1" applyFill="1" applyBorder="1" applyAlignment="1">
      <alignment horizontal="center" wrapText="1"/>
    </xf>
    <xf numFmtId="0" fontId="3" fillId="8" borderId="1" xfId="0" applyFont="1" applyFill="1" applyBorder="1" applyAlignment="1">
      <alignment horizontal="left"/>
    </xf>
    <xf numFmtId="3" fontId="3" fillId="8" borderId="1" xfId="0" applyNumberFormat="1" applyFont="1" applyFill="1" applyBorder="1" applyAlignment="1">
      <alignment horizontal="center"/>
    </xf>
    <xf numFmtId="3" fontId="2" fillId="8" borderId="1" xfId="0" applyNumberFormat="1" applyFont="1" applyFill="1" applyBorder="1" applyAlignment="1">
      <alignment horizontal="center"/>
    </xf>
    <xf numFmtId="0" fontId="3" fillId="0" borderId="1" xfId="0" applyFont="1" applyBorder="1" applyAlignment="1">
      <alignment horizontal="left" wrapText="1"/>
    </xf>
    <xf numFmtId="9" fontId="2" fillId="8" borderId="1" xfId="2" applyFont="1" applyFill="1" applyBorder="1" applyAlignment="1">
      <alignment horizontal="center"/>
    </xf>
    <xf numFmtId="9" fontId="3" fillId="0" borderId="1" xfId="2" applyFont="1" applyBorder="1" applyAlignment="1">
      <alignment horizontal="center"/>
    </xf>
    <xf numFmtId="3" fontId="2" fillId="2" borderId="1" xfId="0" applyNumberFormat="1" applyFont="1" applyFill="1" applyBorder="1" applyAlignment="1">
      <alignment horizontal="center"/>
    </xf>
    <xf numFmtId="9" fontId="2" fillId="2" borderId="1" xfId="2" applyFont="1" applyFill="1" applyBorder="1" applyAlignment="1">
      <alignment horizontal="center"/>
    </xf>
    <xf numFmtId="0" fontId="10" fillId="0" borderId="0" xfId="0" applyFont="1"/>
    <xf numFmtId="3" fontId="3" fillId="3" borderId="1" xfId="0" applyNumberFormat="1" applyFont="1" applyFill="1" applyBorder="1" applyAlignment="1">
      <alignment horizontal="center"/>
    </xf>
    <xf numFmtId="3" fontId="2" fillId="10" borderId="1" xfId="0" applyNumberFormat="1" applyFont="1" applyFill="1" applyBorder="1" applyAlignment="1">
      <alignment horizontal="center" wrapText="1"/>
    </xf>
    <xf numFmtId="9" fontId="2" fillId="10" borderId="1" xfId="2" applyFont="1" applyFill="1" applyBorder="1" applyAlignment="1">
      <alignment horizontal="center" wrapText="1"/>
    </xf>
    <xf numFmtId="3" fontId="2" fillId="3" borderId="1" xfId="0" applyNumberFormat="1" applyFont="1" applyFill="1" applyBorder="1" applyAlignment="1">
      <alignment horizontal="center" wrapText="1"/>
    </xf>
    <xf numFmtId="0" fontId="3" fillId="8" borderId="1" xfId="0" applyFont="1" applyFill="1" applyBorder="1" applyAlignment="1">
      <alignment wrapText="1"/>
    </xf>
    <xf numFmtId="9" fontId="3" fillId="3" borderId="1" xfId="2" applyFont="1" applyFill="1" applyBorder="1" applyAlignment="1">
      <alignment horizontal="center"/>
    </xf>
    <xf numFmtId="3" fontId="3" fillId="2" borderId="1" xfId="0" applyNumberFormat="1" applyFont="1" applyFill="1" applyBorder="1" applyAlignment="1">
      <alignment horizontal="center"/>
    </xf>
    <xf numFmtId="9" fontId="3" fillId="2" borderId="1" xfId="2" applyFont="1" applyFill="1" applyBorder="1" applyAlignment="1">
      <alignment horizontal="center"/>
    </xf>
    <xf numFmtId="0" fontId="2" fillId="9" borderId="0" xfId="0" applyFont="1" applyFill="1"/>
    <xf numFmtId="0" fontId="0" fillId="0" borderId="1" xfId="0" applyBorder="1" applyAlignment="1">
      <alignment horizontal="center"/>
    </xf>
    <xf numFmtId="0" fontId="1" fillId="0" borderId="1" xfId="0" applyFont="1" applyBorder="1" applyAlignment="1">
      <alignment horizontal="center" wrapText="1"/>
    </xf>
    <xf numFmtId="0" fontId="11" fillId="0" borderId="1" xfId="0" applyFont="1" applyBorder="1" applyAlignment="1">
      <alignment horizontal="center"/>
    </xf>
    <xf numFmtId="3" fontId="0" fillId="0" borderId="1" xfId="0" applyNumberFormat="1" applyBorder="1" applyAlignment="1">
      <alignment horizontal="center" vertical="center"/>
    </xf>
    <xf numFmtId="3" fontId="0" fillId="11" borderId="1" xfId="0" applyNumberFormat="1" applyFill="1" applyBorder="1" applyAlignment="1">
      <alignment horizontal="center" vertical="center"/>
    </xf>
    <xf numFmtId="0" fontId="4" fillId="0" borderId="1" xfId="0" quotePrefix="1" applyFont="1" applyBorder="1" applyAlignment="1">
      <alignment horizontal="center" vertical="center" wrapText="1"/>
    </xf>
    <xf numFmtId="3" fontId="4" fillId="0" borderId="1" xfId="0" applyNumberFormat="1" applyFont="1" applyBorder="1" applyAlignment="1">
      <alignment horizontal="center" vertical="center"/>
    </xf>
    <xf numFmtId="0" fontId="11" fillId="12" borderId="5" xfId="20" applyFont="1" applyFill="1" applyBorder="1" applyAlignment="1">
      <alignment horizontal="left"/>
    </xf>
    <xf numFmtId="0" fontId="12" fillId="0" borderId="6" xfId="18" applyFont="1" applyBorder="1" applyAlignment="1">
      <alignment horizontal="left" vertical="center" wrapText="1"/>
    </xf>
    <xf numFmtId="0" fontId="14" fillId="13" borderId="1" xfId="0" applyFont="1" applyFill="1" applyBorder="1" applyAlignment="1">
      <alignment horizontal="center" vertical="center"/>
    </xf>
    <xf numFmtId="49" fontId="4" fillId="0" borderId="1" xfId="0" applyNumberFormat="1"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166" fontId="0" fillId="0" borderId="1" xfId="3" applyNumberFormat="1" applyFont="1" applyBorder="1"/>
    <xf numFmtId="0" fontId="0" fillId="0" borderId="0" xfId="0" applyNumberFormat="1"/>
    <xf numFmtId="0" fontId="4" fillId="14" borderId="1"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16" borderId="1" xfId="0" applyFont="1" applyFill="1" applyBorder="1" applyAlignment="1">
      <alignment horizontal="center" vertical="center" wrapText="1"/>
    </xf>
    <xf numFmtId="49" fontId="4" fillId="17" borderId="1" xfId="0" applyNumberFormat="1" applyFont="1" applyFill="1" applyBorder="1" applyAlignment="1">
      <alignment horizontal="center" vertical="center" wrapText="1"/>
    </xf>
    <xf numFmtId="0" fontId="3" fillId="0" borderId="1" xfId="0" applyFont="1" applyBorder="1" applyAlignment="1">
      <alignment horizontal="center"/>
    </xf>
    <xf numFmtId="0" fontId="4" fillId="18" borderId="1" xfId="0" applyFont="1" applyFill="1" applyBorder="1" applyAlignment="1">
      <alignment horizontal="center" vertical="center" wrapText="1"/>
    </xf>
    <xf numFmtId="0" fontId="11" fillId="0" borderId="0" xfId="0" applyFont="1" applyAlignment="1">
      <alignment wrapText="1"/>
    </xf>
    <xf numFmtId="0" fontId="2" fillId="2" borderId="1" xfId="0" applyFont="1" applyFill="1" applyBorder="1" applyAlignment="1">
      <alignment horizontal="center" wrapText="1"/>
    </xf>
    <xf numFmtId="3" fontId="3" fillId="0" borderId="1" xfId="3" applyNumberFormat="1" applyFont="1" applyBorder="1" applyAlignment="1">
      <alignment horizontal="center"/>
    </xf>
    <xf numFmtId="3" fontId="3" fillId="0" borderId="1" xfId="3" applyNumberFormat="1" applyFont="1" applyFill="1" applyBorder="1" applyAlignment="1">
      <alignment horizontal="center"/>
    </xf>
    <xf numFmtId="9" fontId="0" fillId="0" borderId="1" xfId="2" applyFont="1" applyFill="1" applyBorder="1"/>
    <xf numFmtId="3" fontId="4" fillId="0" borderId="0" xfId="0" applyNumberFormat="1" applyFont="1" applyAlignment="1">
      <alignment horizontal="center" vertical="center"/>
    </xf>
    <xf numFmtId="49" fontId="4" fillId="17" borderId="1" xfId="1" applyNumberFormat="1" applyFont="1" applyFill="1" applyBorder="1" applyAlignment="1">
      <alignment horizontal="center" vertical="center" wrapText="1"/>
    </xf>
    <xf numFmtId="0" fontId="4" fillId="18" borderId="7" xfId="0" applyFont="1" applyFill="1" applyBorder="1" applyAlignment="1">
      <alignment horizontal="center" vertical="center" wrapText="1"/>
    </xf>
    <xf numFmtId="0" fontId="4" fillId="16" borderId="2" xfId="0" quotePrefix="1" applyFont="1" applyFill="1" applyBorder="1" applyAlignment="1">
      <alignment horizontal="center" vertical="center" wrapText="1"/>
    </xf>
    <xf numFmtId="49" fontId="4" fillId="17" borderId="1" xfId="0" quotePrefix="1" applyNumberFormat="1" applyFont="1" applyFill="1" applyBorder="1" applyAlignment="1">
      <alignment horizontal="center" vertical="center" wrapText="1"/>
    </xf>
    <xf numFmtId="49" fontId="4" fillId="17" borderId="2" xfId="0" applyNumberFormat="1" applyFont="1" applyFill="1" applyBorder="1" applyAlignment="1">
      <alignment horizontal="center" vertical="center" wrapText="1"/>
    </xf>
    <xf numFmtId="49" fontId="4" fillId="17" borderId="1" xfId="0" applyNumberFormat="1" applyFont="1" applyFill="1" applyBorder="1" applyAlignment="1">
      <alignment horizontal="center" vertical="center"/>
    </xf>
    <xf numFmtId="0" fontId="4" fillId="21" borderId="1" xfId="0" applyFont="1" applyFill="1" applyBorder="1" applyAlignment="1">
      <alignment horizontal="center" vertical="center"/>
    </xf>
    <xf numFmtId="0" fontId="4" fillId="22" borderId="1" xfId="0" applyFont="1" applyFill="1" applyBorder="1" applyAlignment="1">
      <alignment horizontal="center" vertical="center"/>
    </xf>
    <xf numFmtId="0" fontId="6" fillId="13" borderId="1" xfId="0" applyFont="1" applyFill="1" applyBorder="1" applyAlignment="1">
      <alignment horizontal="center" vertical="center"/>
    </xf>
    <xf numFmtId="49" fontId="6" fillId="13" borderId="1" xfId="0" applyNumberFormat="1" applyFont="1" applyFill="1" applyBorder="1" applyAlignment="1">
      <alignment horizontal="center" vertical="center"/>
    </xf>
    <xf numFmtId="3" fontId="6" fillId="13" borderId="1" xfId="0" applyNumberFormat="1" applyFont="1" applyFill="1" applyBorder="1" applyAlignment="1">
      <alignment horizontal="center" vertical="center"/>
    </xf>
    <xf numFmtId="165" fontId="6" fillId="13"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3" fontId="6" fillId="2"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4" fillId="0" borderId="0" xfId="0" applyFont="1" applyAlignment="1">
      <alignment horizontal="center"/>
    </xf>
    <xf numFmtId="0" fontId="4" fillId="0" borderId="1" xfId="0" applyFont="1" applyFill="1" applyBorder="1" applyAlignment="1">
      <alignment horizontal="center" vertical="center"/>
    </xf>
    <xf numFmtId="0" fontId="4" fillId="24" borderId="1" xfId="0" applyFont="1" applyFill="1" applyBorder="1" applyAlignment="1">
      <alignment horizontal="center" vertical="center"/>
    </xf>
    <xf numFmtId="0" fontId="4" fillId="0" borderId="1" xfId="0" quotePrefix="1" applyFont="1" applyFill="1" applyBorder="1" applyAlignment="1">
      <alignment horizontal="center" vertical="center"/>
    </xf>
    <xf numFmtId="49" fontId="4" fillId="24" borderId="1" xfId="0" applyNumberFormat="1" applyFont="1" applyFill="1" applyBorder="1" applyAlignment="1">
      <alignment horizontal="center" vertical="center"/>
    </xf>
    <xf numFmtId="3" fontId="4" fillId="20" borderId="1" xfId="0" applyNumberFormat="1" applyFont="1" applyFill="1" applyBorder="1" applyAlignment="1">
      <alignment horizontal="center" vertical="center"/>
    </xf>
    <xf numFmtId="0" fontId="4" fillId="20" borderId="1" xfId="0" applyFont="1" applyFill="1" applyBorder="1" applyAlignment="1">
      <alignment horizontal="center" vertical="center"/>
    </xf>
    <xf numFmtId="165" fontId="4" fillId="24" borderId="1" xfId="0" applyNumberFormat="1" applyFont="1" applyFill="1" applyBorder="1" applyAlignment="1">
      <alignment horizontal="center" vertical="center"/>
    </xf>
    <xf numFmtId="165" fontId="4" fillId="24" borderId="1" xfId="1"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3" fontId="4" fillId="0" borderId="1" xfId="1" applyNumberFormat="1" applyFont="1" applyBorder="1" applyAlignment="1">
      <alignment horizontal="center" vertical="center"/>
    </xf>
    <xf numFmtId="165" fontId="4" fillId="0" borderId="1" xfId="1" applyNumberFormat="1" applyFont="1" applyFill="1" applyBorder="1" applyAlignment="1">
      <alignment horizontal="center" vertical="center"/>
    </xf>
    <xf numFmtId="49" fontId="4" fillId="0" borderId="1" xfId="0" quotePrefix="1" applyNumberFormat="1" applyFont="1" applyFill="1" applyBorder="1" applyAlignment="1">
      <alignment horizontal="center" vertical="center"/>
    </xf>
    <xf numFmtId="165" fontId="4" fillId="0" borderId="1" xfId="0" applyNumberFormat="1" applyFont="1" applyFill="1" applyBorder="1" applyAlignment="1">
      <alignment horizontal="center" vertical="center"/>
    </xf>
    <xf numFmtId="49" fontId="4" fillId="0" borderId="1" xfId="1" applyNumberFormat="1" applyFont="1" applyFill="1" applyBorder="1" applyAlignment="1">
      <alignment horizontal="center" vertical="center"/>
    </xf>
    <xf numFmtId="3" fontId="4" fillId="20" borderId="1" xfId="1" applyNumberFormat="1" applyFont="1" applyFill="1" applyBorder="1" applyAlignment="1">
      <alignment horizontal="center" vertical="center"/>
    </xf>
    <xf numFmtId="3" fontId="4" fillId="24" borderId="1" xfId="0" applyNumberFormat="1" applyFont="1" applyFill="1" applyBorder="1" applyAlignment="1">
      <alignment horizontal="center" vertical="center"/>
    </xf>
    <xf numFmtId="3" fontId="4" fillId="23" borderId="1" xfId="0" applyNumberFormat="1" applyFont="1" applyFill="1" applyBorder="1" applyAlignment="1">
      <alignment horizontal="center" vertical="center"/>
    </xf>
    <xf numFmtId="0" fontId="4" fillId="23" borderId="1" xfId="0" applyFont="1" applyFill="1" applyBorder="1" applyAlignment="1">
      <alignment horizontal="center" vertical="center"/>
    </xf>
    <xf numFmtId="3" fontId="4" fillId="0" borderId="1" xfId="0" applyNumberFormat="1" applyFont="1" applyFill="1" applyBorder="1" applyAlignment="1">
      <alignment horizontal="center" vertical="center"/>
    </xf>
    <xf numFmtId="3" fontId="4" fillId="0" borderId="1" xfId="1" applyNumberFormat="1" applyFont="1" applyFill="1" applyBorder="1" applyAlignment="1">
      <alignment horizontal="center" vertical="center"/>
    </xf>
    <xf numFmtId="5" fontId="4" fillId="0" borderId="1" xfId="1" applyNumberFormat="1" applyFont="1" applyFill="1" applyBorder="1" applyAlignment="1">
      <alignment horizontal="center" vertical="center"/>
    </xf>
    <xf numFmtId="5" fontId="4" fillId="24" borderId="1" xfId="1" applyNumberFormat="1" applyFont="1" applyFill="1" applyBorder="1" applyAlignment="1">
      <alignment horizontal="center" vertical="center"/>
    </xf>
    <xf numFmtId="3" fontId="4" fillId="20" borderId="1" xfId="4" applyNumberFormat="1" applyFont="1" applyFill="1" applyBorder="1" applyAlignment="1">
      <alignment horizontal="center" vertical="center"/>
    </xf>
    <xf numFmtId="17" fontId="4" fillId="0" borderId="1" xfId="0" quotePrefix="1"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5" fontId="4" fillId="24" borderId="1" xfId="0" applyNumberFormat="1" applyFont="1" applyFill="1" applyBorder="1" applyAlignment="1">
      <alignment horizontal="center" vertical="center"/>
    </xf>
    <xf numFmtId="5" fontId="4" fillId="0" borderId="1" xfId="0" quotePrefix="1" applyNumberFormat="1" applyFont="1" applyFill="1" applyBorder="1" applyAlignment="1">
      <alignment horizontal="center" vertical="center"/>
    </xf>
    <xf numFmtId="3" fontId="4" fillId="20" borderId="1" xfId="5" applyNumberFormat="1" applyFont="1" applyFill="1" applyBorder="1" applyAlignment="1">
      <alignment horizontal="center" vertical="center"/>
    </xf>
    <xf numFmtId="5" fontId="4" fillId="0" borderId="1" xfId="0" applyNumberFormat="1" applyFont="1" applyFill="1" applyBorder="1" applyAlignment="1">
      <alignment horizontal="center" vertical="center"/>
    </xf>
    <xf numFmtId="164" fontId="4" fillId="0" borderId="1" xfId="1" applyNumberFormat="1" applyFont="1" applyFill="1" applyBorder="1" applyAlignment="1">
      <alignment horizontal="center" vertical="center"/>
    </xf>
    <xf numFmtId="3" fontId="4" fillId="21" borderId="1" xfId="0" applyNumberFormat="1" applyFont="1" applyFill="1" applyBorder="1" applyAlignment="1">
      <alignment horizontal="center" vertical="center"/>
    </xf>
    <xf numFmtId="3" fontId="4" fillId="22" borderId="1" xfId="0" applyNumberFormat="1" applyFont="1" applyFill="1" applyBorder="1" applyAlignment="1">
      <alignment horizontal="center" vertical="center"/>
    </xf>
    <xf numFmtId="3" fontId="4" fillId="22" borderId="1" xfId="1" applyNumberFormat="1" applyFont="1" applyFill="1" applyBorder="1" applyAlignment="1">
      <alignment horizontal="center" vertical="center"/>
    </xf>
    <xf numFmtId="49" fontId="4" fillId="0" borderId="1" xfId="0" applyNumberFormat="1" applyFont="1" applyBorder="1" applyAlignment="1">
      <alignment horizontal="center" vertical="center"/>
    </xf>
    <xf numFmtId="0" fontId="4" fillId="0" borderId="1" xfId="0" quotePrefix="1" applyFont="1" applyBorder="1" applyAlignment="1">
      <alignment horizontal="center" vertical="center"/>
    </xf>
    <xf numFmtId="5" fontId="4" fillId="0" borderId="1" xfId="1" applyNumberFormat="1" applyFont="1" applyBorder="1" applyAlignment="1">
      <alignment horizontal="center" vertical="center"/>
    </xf>
    <xf numFmtId="49" fontId="4" fillId="0" borderId="0" xfId="0" applyNumberFormat="1" applyFont="1" applyAlignment="1">
      <alignment horizontal="center" vertical="center"/>
    </xf>
    <xf numFmtId="165" fontId="4" fillId="0" borderId="0" xfId="0" applyNumberFormat="1" applyFont="1" applyAlignment="1">
      <alignment horizontal="center" vertical="center"/>
    </xf>
    <xf numFmtId="49" fontId="4" fillId="24" borderId="1" xfId="1" applyNumberFormat="1" applyFont="1" applyFill="1" applyBorder="1" applyAlignment="1">
      <alignment horizontal="center" vertical="center"/>
    </xf>
    <xf numFmtId="1" fontId="4" fillId="24" borderId="1" xfId="0" applyNumberFormat="1" applyFont="1" applyFill="1" applyBorder="1" applyAlignment="1">
      <alignment horizontal="center" vertical="center"/>
    </xf>
    <xf numFmtId="0" fontId="4" fillId="24" borderId="1" xfId="0" quotePrefix="1" applyFont="1" applyFill="1" applyBorder="1" applyAlignment="1">
      <alignment horizontal="center" vertical="center"/>
    </xf>
    <xf numFmtId="5" fontId="4" fillId="24" borderId="1" xfId="0" quotePrefix="1" applyNumberFormat="1" applyFont="1" applyFill="1" applyBorder="1" applyAlignment="1">
      <alignment horizontal="center" vertical="center"/>
    </xf>
    <xf numFmtId="17" fontId="4" fillId="24" borderId="1" xfId="0" quotePrefix="1" applyNumberFormat="1" applyFont="1" applyFill="1" applyBorder="1" applyAlignment="1">
      <alignment horizontal="center" vertical="center"/>
    </xf>
    <xf numFmtId="0" fontId="16" fillId="0" borderId="0" xfId="0" applyFont="1"/>
    <xf numFmtId="0" fontId="17" fillId="0" borderId="0" xfId="0" applyFont="1"/>
    <xf numFmtId="0" fontId="17" fillId="6" borderId="0" xfId="0" applyFont="1" applyFill="1"/>
    <xf numFmtId="0" fontId="17" fillId="7" borderId="0" xfId="0" applyFont="1" applyFill="1"/>
    <xf numFmtId="0" fontId="17" fillId="14" borderId="0" xfId="0" applyFont="1" applyFill="1"/>
    <xf numFmtId="0" fontId="17" fillId="15" borderId="0" xfId="0" applyFont="1" applyFill="1"/>
    <xf numFmtId="0" fontId="17" fillId="0" borderId="0" xfId="0" applyFont="1" applyFill="1"/>
    <xf numFmtId="0" fontId="17" fillId="16" borderId="0" xfId="0" applyFont="1" applyFill="1"/>
    <xf numFmtId="0" fontId="17" fillId="17" borderId="0" xfId="0" applyFont="1" applyFill="1"/>
    <xf numFmtId="0" fontId="17" fillId="18" borderId="0" xfId="0" applyFont="1" applyFill="1"/>
    <xf numFmtId="0" fontId="17" fillId="8" borderId="0" xfId="0" applyFont="1" applyFill="1"/>
    <xf numFmtId="0" fontId="17" fillId="19" borderId="0" xfId="0" applyFont="1" applyFill="1"/>
    <xf numFmtId="0" fontId="4" fillId="25"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center" vertical="center"/>
    </xf>
    <xf numFmtId="0" fontId="0" fillId="25" borderId="0" xfId="0" applyFill="1" applyAlignment="1">
      <alignment wrapText="1"/>
    </xf>
    <xf numFmtId="0" fontId="0" fillId="24" borderId="0" xfId="0" applyFill="1" applyAlignment="1">
      <alignment wrapText="1"/>
    </xf>
    <xf numFmtId="0" fontId="0" fillId="20" borderId="0" xfId="0" applyFill="1" applyAlignment="1">
      <alignment wrapText="1"/>
    </xf>
    <xf numFmtId="0" fontId="0" fillId="23" borderId="0" xfId="0" applyFill="1" applyAlignment="1">
      <alignment wrapText="1"/>
    </xf>
    <xf numFmtId="0" fontId="0" fillId="21" borderId="0" xfId="0" applyFill="1" applyAlignment="1">
      <alignment wrapText="1"/>
    </xf>
    <xf numFmtId="0" fontId="0" fillId="22" borderId="0" xfId="0" applyFill="1" applyAlignment="1">
      <alignment wrapText="1"/>
    </xf>
    <xf numFmtId="0" fontId="0" fillId="0" borderId="3" xfId="0" applyBorder="1" applyAlignment="1">
      <alignment horizontal="center" wrapText="1"/>
    </xf>
    <xf numFmtId="0" fontId="0" fillId="0" borderId="4" xfId="0" applyBorder="1" applyAlignment="1">
      <alignment horizontal="center" wrapText="1"/>
    </xf>
  </cellXfs>
  <cellStyles count="21">
    <cellStyle name="Comma" xfId="3" builtinId="3"/>
    <cellStyle name="Comma 2" xfId="16" xr:uid="{3079E9A9-5E1A-4CFC-8D60-5906B70992EB}"/>
    <cellStyle name="Currency" xfId="1" builtinId="4"/>
    <cellStyle name="Currency 2" xfId="17" xr:uid="{732B2211-B0B6-41F8-AB84-E9FD5EFCEA61}"/>
    <cellStyle name="Good" xfId="4" builtinId="26"/>
    <cellStyle name="Neutral 2" xfId="5" xr:uid="{00000000-0005-0000-0000-000003000000}"/>
    <cellStyle name="Normal" xfId="0" builtinId="0"/>
    <cellStyle name="Normal 11" xfId="7" xr:uid="{7590E79A-2F97-4FA9-9748-CA2AFBF03FFC}"/>
    <cellStyle name="Normal 13" xfId="8" xr:uid="{64AD9CB7-B6D3-4B68-892E-8C10A7EA776D}"/>
    <cellStyle name="Normal 14" xfId="9" xr:uid="{D973A49C-D51A-4BB3-B9BD-044DE2ECEDD0}"/>
    <cellStyle name="Normal 16" xfId="18" xr:uid="{5C70624C-EDA9-48A9-8B61-1FE39C3C455A}"/>
    <cellStyle name="Normal 2" xfId="20" xr:uid="{3DD35DA6-5E16-4968-AC78-568671E07FFC}"/>
    <cellStyle name="Normal 20" xfId="10" xr:uid="{64F67115-7CC1-4B57-8E1E-7B7ECADDC366}"/>
    <cellStyle name="Normal 23" xfId="11" xr:uid="{E9EB260B-A8CF-4D61-9FB4-4422ED8BA533}"/>
    <cellStyle name="Normal 24" xfId="12" xr:uid="{E5BF7DC3-AC60-4C5F-A554-78498765EB4A}"/>
    <cellStyle name="Normal 3" xfId="6" xr:uid="{BE0F55E2-97D9-4856-9128-8D3D7C6DC717}"/>
    <cellStyle name="Normal 31" xfId="13" xr:uid="{0770747E-FB10-4C16-8217-7A25EC8BB714}"/>
    <cellStyle name="Normal 32" xfId="14" xr:uid="{4A7611D6-ED59-474A-82E8-BE34EB9DAA58}"/>
    <cellStyle name="Normal 34" xfId="15" xr:uid="{7A91307A-E4CC-4EAC-B25C-D288E2D16910}"/>
    <cellStyle name="Normal 61" xfId="19" xr:uid="{D6395F8A-3609-4183-AD12-4F3A566DB509}"/>
    <cellStyle name="Percent" xfId="2" builtinId="5"/>
  </cellStyles>
  <dxfs count="54">
    <dxf>
      <numFmt numFmtId="3" formatCode="#,##0"/>
    </dxf>
    <dxf>
      <numFmt numFmtId="3" formatCode="#,##0"/>
    </dxf>
    <dxf>
      <numFmt numFmtId="165" formatCode="&quot;$&quot;#,##0"/>
    </dxf>
    <dxf>
      <numFmt numFmtId="165" formatCode="&quot;$&quot;#,##0"/>
    </dxf>
    <dxf>
      <numFmt numFmtId="3" formatCode="#,##0"/>
    </dxf>
    <dxf>
      <numFmt numFmtId="165" formatCode="&quot;$&quot;#,##0"/>
    </dxf>
    <dxf>
      <numFmt numFmtId="165" formatCode="&quot;$&quot;#,##0"/>
    </dxf>
    <dxf>
      <numFmt numFmtId="165" formatCode="&quot;$&quot;#,##0"/>
    </dxf>
    <dxf>
      <numFmt numFmtId="3" formatCode="#,##0"/>
    </dxf>
    <dxf>
      <numFmt numFmtId="3" formatCode="#,##0"/>
    </dxf>
    <dxf>
      <numFmt numFmtId="3" formatCode="#,##0"/>
    </dxf>
    <dxf>
      <numFmt numFmtId="3" formatCode="#,##0"/>
    </dxf>
    <dxf>
      <alignment horizontal="general"/>
    </dxf>
    <dxf>
      <font>
        <sz val="10"/>
      </font>
    </dxf>
    <dxf>
      <font>
        <sz val="10"/>
      </font>
    </dxf>
    <dxf>
      <font>
        <sz val="10"/>
      </font>
    </dxf>
    <dxf>
      <font>
        <sz val="10"/>
      </font>
    </dxf>
    <dxf>
      <font>
        <sz val="10"/>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alignment wrapText="1"/>
    </dxf>
    <dxf>
      <alignment wrapText="1"/>
    </dxf>
    <dxf>
      <fill>
        <patternFill>
          <bgColor theme="7" tint="0.59999389629810485"/>
        </patternFill>
      </fill>
    </dxf>
    <dxf>
      <fill>
        <patternFill>
          <bgColor theme="7" tint="0.59999389629810485"/>
        </patternFill>
      </fill>
    </dxf>
    <dxf>
      <fill>
        <patternFill>
          <bgColor theme="7" tint="0.59999389629810485"/>
        </patternFill>
      </fill>
    </dxf>
    <dxf>
      <fill>
        <patternFill>
          <bgColor theme="7" tint="0.59999389629810485"/>
        </patternFill>
      </fill>
    </dxf>
    <dxf>
      <alignment horizontal="left" readingOrder="0"/>
    </dxf>
    <dxf>
      <fill>
        <patternFill patternType="solid">
          <bgColor theme="7" tint="0.39997558519241921"/>
        </patternFill>
      </fill>
    </dxf>
    <dxf>
      <fill>
        <patternFill patternType="solid">
          <bgColor theme="7" tint="0.39997558519241921"/>
        </patternFill>
      </fill>
    </dxf>
    <dxf>
      <fill>
        <patternFill patternType="solid">
          <bgColor theme="7" tint="0.39997558519241921"/>
        </patternFill>
      </fill>
    </dxf>
    <dxf>
      <fill>
        <patternFill patternType="solid">
          <bgColor theme="7" tint="0.39997558519241921"/>
        </patternFill>
      </fill>
    </dxf>
    <dxf>
      <numFmt numFmtId="3" formatCode="#,##0"/>
    </dxf>
    <dxf>
      <alignment horizontal="left" readingOrder="0"/>
    </dxf>
    <dxf>
      <alignment horizontal="left" readingOrder="0"/>
    </dxf>
    <dxf>
      <alignment horizontal="left" readingOrder="0"/>
    </dxf>
    <dxf>
      <alignment horizontal="center" indent="0" readingOrder="0"/>
    </dxf>
    <dxf>
      <alignment horizontal="center" indent="0" readingOrder="0"/>
    </dxf>
    <dxf>
      <alignment horizontal="center" indent="0" readingOrder="0"/>
    </dxf>
    <dxf>
      <alignment horizontal="center" indent="0" readingOrder="0"/>
    </dxf>
    <dxf>
      <alignment horizontal="center" indent="0" readingOrder="0"/>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i val="0"/>
        <color rgb="FF9C0006"/>
      </font>
    </dxf>
  </dxfs>
  <tableStyles count="0" defaultTableStyle="TableStyleMedium2" defaultPivotStyle="PivotStyleLight16"/>
  <colors>
    <mruColors>
      <color rgb="FFFFCCFF"/>
      <color rgb="FFCCCCFF"/>
      <color rgb="FFFF9999"/>
      <color rgb="FF009999"/>
      <color rgb="FFFF66FF"/>
      <color rgb="FFFF00FF"/>
      <color rgb="FFFF7C80"/>
      <color rgb="FFFF9933"/>
      <color rgb="FFADE2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10" Type="http://schemas.openxmlformats.org/officeDocument/2006/relationships/externalLink" Target="externalLinks/externalLink2.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pivotCacheDefinition" Target="pivotCache/pivotCacheDefinition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a:t>IRL - Banana River Lagoon Zone A TN Project Reductions</a:t>
            </a:r>
          </a:p>
        </c:rich>
      </c:tx>
      <c:layout>
        <c:manualLayout>
          <c:xMode val="edge"/>
          <c:yMode val="edge"/>
          <c:x val="0.19899305555555558"/>
          <c:y val="6.289308176100628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112997594050743"/>
          <c:y val="0.18370020964360584"/>
          <c:w val="0.86414780183727036"/>
          <c:h val="0.70844682150580229"/>
        </c:manualLayout>
      </c:layout>
      <c:lineChart>
        <c:grouping val="standard"/>
        <c:varyColors val="0"/>
        <c:ser>
          <c:idx val="0"/>
          <c:order val="0"/>
          <c:tx>
            <c:strRef>
              <c:f>'TN Progress Chart'!$F$2</c:f>
              <c:strCache>
                <c:ptCount val="1"/>
                <c:pt idx="0">
                  <c:v>Zone A</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cat>
            <c:strRef>
              <c:extLst>
                <c:ext xmlns:c15="http://schemas.microsoft.com/office/drawing/2012/chart" uri="{02D57815-91ED-43cb-92C2-25804820EDAC}">
                  <c15:fullRef>
                    <c15:sqref>'TN Progress Chart'!$E$3:$E$24</c15:sqref>
                  </c15:fullRef>
                </c:ext>
              </c:extLst>
              <c:f>'TN Progress Chart'!$E$4:$E$24</c:f>
              <c:strCach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strCache>
            </c:strRef>
          </c:cat>
          <c:val>
            <c:numRef>
              <c:extLst>
                <c:ext xmlns:c15="http://schemas.microsoft.com/office/drawing/2012/chart" uri="{02D57815-91ED-43cb-92C2-25804820EDAC}">
                  <c15:fullRef>
                    <c15:sqref>'TN Progress Chart'!$F$3:$F$24</c15:sqref>
                  </c15:fullRef>
                </c:ext>
              </c:extLst>
              <c:f>'TN Progress Chart'!$F$4:$F$24</c:f>
              <c:numCache>
                <c:formatCode>#,##0</c:formatCode>
                <c:ptCount val="21"/>
                <c:pt idx="0">
                  <c:v>3421</c:v>
                </c:pt>
                <c:pt idx="1">
                  <c:v>19864</c:v>
                </c:pt>
                <c:pt idx="2">
                  <c:v>20057</c:v>
                </c:pt>
                <c:pt idx="3">
                  <c:v>20057</c:v>
                </c:pt>
                <c:pt idx="4">
                  <c:v>20057</c:v>
                </c:pt>
                <c:pt idx="5">
                  <c:v>20057</c:v>
                </c:pt>
                <c:pt idx="6">
                  <c:v>20057</c:v>
                </c:pt>
              </c:numCache>
            </c:numRef>
          </c:val>
          <c:smooth val="0"/>
          <c:extLst>
            <c:ext xmlns:c16="http://schemas.microsoft.com/office/drawing/2014/chart" uri="{C3380CC4-5D6E-409C-BE32-E72D297353CC}">
              <c16:uniqueId val="{00000000-610C-4BAF-AE3B-6D98B4A6414C}"/>
            </c:ext>
          </c:extLst>
        </c:ser>
        <c:dLbls>
          <c:showLegendKey val="0"/>
          <c:showVal val="0"/>
          <c:showCatName val="0"/>
          <c:showSerName val="0"/>
          <c:showPercent val="0"/>
          <c:showBubbleSize val="0"/>
        </c:dLbls>
        <c:marker val="1"/>
        <c:smooth val="0"/>
        <c:axId val="397599824"/>
        <c:axId val="397600152"/>
        <c:extLst>
          <c:ext xmlns:c15="http://schemas.microsoft.com/office/drawing/2012/chart" uri="{02D57815-91ED-43cb-92C2-25804820EDAC}">
            <c15:filteredLineSeries>
              <c15:ser>
                <c:idx val="1"/>
                <c:order val="1"/>
                <c:tx>
                  <c:strRef>
                    <c:extLst>
                      <c:ext uri="{02D57815-91ED-43cb-92C2-25804820EDAC}">
                        <c15:formulaRef>
                          <c15:sqref>'TN Progress Chart'!$G$2</c15:sqref>
                        </c15:formulaRef>
                      </c:ext>
                    </c:extLst>
                    <c:strCache>
                      <c:ptCount val="1"/>
                      <c:pt idx="0">
                        <c:v>Zone B</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uri="{02D57815-91ED-43cb-92C2-25804820EDAC}">
                        <c15:fullRef>
                          <c15:sqref>'TN Progress Chart'!$E$3:$E$24</c15:sqref>
                        </c15:fullRef>
                        <c15:formulaRef>
                          <c15:sqref>'TN Progress Chart'!$E$4:$E$24</c15:sqref>
                        </c15:formulaRef>
                      </c:ext>
                    </c:extLst>
                    <c:strCach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strCache>
                  </c:strRef>
                </c:cat>
                <c:val>
                  <c:numRef>
                    <c:extLst>
                      <c:ext uri="{02D57815-91ED-43cb-92C2-25804820EDAC}">
                        <c15:fullRef>
                          <c15:sqref>'TN Progress Chart'!$G$3:$G$24</c15:sqref>
                        </c15:fullRef>
                        <c15:formulaRef>
                          <c15:sqref>'TN Progress Chart'!$G$4:$G$24</c15:sqref>
                        </c15:formulaRef>
                      </c:ext>
                    </c:extLst>
                    <c:numCache>
                      <c:formatCode>#,##0</c:formatCode>
                      <c:ptCount val="21"/>
                      <c:pt idx="0">
                        <c:v>19286.555</c:v>
                      </c:pt>
                      <c:pt idx="1">
                        <c:v>19344.305</c:v>
                      </c:pt>
                      <c:pt idx="2">
                        <c:v>20447.305</c:v>
                      </c:pt>
                      <c:pt idx="3">
                        <c:v>23551.365000000002</c:v>
                      </c:pt>
                      <c:pt idx="4">
                        <c:v>25771.135000000002</c:v>
                      </c:pt>
                      <c:pt idx="5">
                        <c:v>26232.135000000002</c:v>
                      </c:pt>
                      <c:pt idx="6">
                        <c:v>26232.135000000002</c:v>
                      </c:pt>
                    </c:numCache>
                  </c:numRef>
                </c:val>
                <c:smooth val="0"/>
                <c:extLst>
                  <c:ext xmlns:c16="http://schemas.microsoft.com/office/drawing/2014/chart" uri="{C3380CC4-5D6E-409C-BE32-E72D297353CC}">
                    <c16:uniqueId val="{00000001-610C-4BAF-AE3B-6D98B4A6414C}"/>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'TN Progress Chart'!$H$2</c15:sqref>
                        </c15:formulaRef>
                      </c:ext>
                    </c:extLst>
                    <c:strCache>
                      <c:ptCount val="1"/>
                      <c:pt idx="0">
                        <c:v>Zone B 5 Year Milestone</c:v>
                      </c:pt>
                    </c:strCache>
                  </c:strRef>
                </c:tx>
                <c:spPr>
                  <a:ln w="28575" cap="rnd">
                    <a:solidFill>
                      <a:sysClr val="windowText" lastClr="000000"/>
                    </a:solidFill>
                    <a:round/>
                  </a:ln>
                  <a:effectLst/>
                </c:spPr>
                <c:marker>
                  <c:symbol val="circle"/>
                  <c:size val="5"/>
                  <c:spPr>
                    <a:solidFill>
                      <a:srgbClr val="00B050"/>
                    </a:solidFill>
                    <a:ln w="9525">
                      <a:solidFill>
                        <a:sysClr val="windowText" lastClr="000000"/>
                      </a:solidFill>
                    </a:ln>
                    <a:effectLst/>
                  </c:spPr>
                </c:marker>
                <c:dLbls>
                  <c:dLbl>
                    <c:idx val="6"/>
                    <c:layout>
                      <c:manualLayout>
                        <c:x val="1.0185067526415994E-16"/>
                        <c:y val="0.1157407407407407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1"/>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610C-4BAF-AE3B-6D98B4A641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'TN Progress Chart'!$E$3:$E$24</c15:sqref>
                        </c15:fullRef>
                        <c15:formulaRef>
                          <c15:sqref>'TN Progress Chart'!$E$4:$E$24</c15:sqref>
                        </c15:formulaRef>
                      </c:ext>
                    </c:extLst>
                    <c:strCach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strCache>
                  </c:strRef>
                </c:cat>
                <c:val>
                  <c:numRef>
                    <c:extLst>
                      <c:ext xmlns:c15="http://schemas.microsoft.com/office/drawing/2012/chart" uri="{02D57815-91ED-43cb-92C2-25804820EDAC}">
                        <c15:fullRef>
                          <c15:sqref>'TN Progress Chart'!$H$3:$H$24</c15:sqref>
                        </c15:fullRef>
                        <c15:formulaRef>
                          <c15:sqref>'TN Progress Chart'!$H$4:$H$24</c15:sqref>
                        </c15:formulaRef>
                      </c:ext>
                    </c:extLst>
                    <c:numCache>
                      <c:formatCode>#,##0</c:formatCode>
                      <c:ptCount val="21"/>
                      <c:pt idx="5">
                        <c:v>14608.4</c:v>
                      </c:pt>
                    </c:numCache>
                  </c:numRef>
                </c:val>
                <c:smooth val="0"/>
                <c:extLst xmlns:c15="http://schemas.microsoft.com/office/drawing/2012/chart">
                  <c:ext xmlns:c16="http://schemas.microsoft.com/office/drawing/2014/chart" uri="{C3380CC4-5D6E-409C-BE32-E72D297353CC}">
                    <c16:uniqueId val="{00000003-610C-4BAF-AE3B-6D98B4A6414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'TN Progress Chart'!$I$2</c15:sqref>
                        </c15:formulaRef>
                      </c:ext>
                    </c:extLst>
                    <c:strCache>
                      <c:ptCount val="1"/>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c:ext xmlns:c15="http://schemas.microsoft.com/office/drawing/2012/chart" uri="{02D57815-91ED-43cb-92C2-25804820EDAC}">
                        <c15:fullRef>
                          <c15:sqref>'TN Progress Chart'!$E$3:$E$24</c15:sqref>
                        </c15:fullRef>
                        <c15:formulaRef>
                          <c15:sqref>'TN Progress Chart'!$E$4:$E$24</c15:sqref>
                        </c15:formulaRef>
                      </c:ext>
                    </c:extLst>
                    <c:strCach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strCache>
                  </c:strRef>
                </c:cat>
                <c:val>
                  <c:numRef>
                    <c:extLst>
                      <c:ext xmlns:c15="http://schemas.microsoft.com/office/drawing/2012/chart" uri="{02D57815-91ED-43cb-92C2-25804820EDAC}">
                        <c15:fullRef>
                          <c15:sqref>'TN Progress Chart'!$I$3:$I$24</c15:sqref>
                        </c15:fullRef>
                        <c15:formulaRef>
                          <c15:sqref>'TN Progress Chart'!$I$4:$I$24</c15:sqref>
                        </c15:formulaRef>
                      </c:ext>
                    </c:extLst>
                    <c:numCache>
                      <c:formatCode>_(* #,##0_);_(* \(#,##0\);_(* "-"??_);_(@_)</c:formatCode>
                      <c:ptCount val="21"/>
                      <c:pt idx="0">
                        <c:v>97389</c:v>
                      </c:pt>
                      <c:pt idx="1">
                        <c:v>97389</c:v>
                      </c:pt>
                      <c:pt idx="2">
                        <c:v>97389</c:v>
                      </c:pt>
                      <c:pt idx="3">
                        <c:v>97389</c:v>
                      </c:pt>
                      <c:pt idx="4">
                        <c:v>97389</c:v>
                      </c:pt>
                      <c:pt idx="5">
                        <c:v>97389</c:v>
                      </c:pt>
                      <c:pt idx="6">
                        <c:v>97389</c:v>
                      </c:pt>
                      <c:pt idx="7">
                        <c:v>97389</c:v>
                      </c:pt>
                      <c:pt idx="8">
                        <c:v>97389</c:v>
                      </c:pt>
                      <c:pt idx="9">
                        <c:v>97389</c:v>
                      </c:pt>
                      <c:pt idx="10">
                        <c:v>97389</c:v>
                      </c:pt>
                      <c:pt idx="11">
                        <c:v>97389</c:v>
                      </c:pt>
                      <c:pt idx="12">
                        <c:v>97389</c:v>
                      </c:pt>
                      <c:pt idx="13">
                        <c:v>97389</c:v>
                      </c:pt>
                      <c:pt idx="14">
                        <c:v>97389</c:v>
                      </c:pt>
                      <c:pt idx="15">
                        <c:v>97389</c:v>
                      </c:pt>
                      <c:pt idx="16">
                        <c:v>97389</c:v>
                      </c:pt>
                      <c:pt idx="17">
                        <c:v>97389</c:v>
                      </c:pt>
                      <c:pt idx="18">
                        <c:v>97389</c:v>
                      </c:pt>
                      <c:pt idx="19">
                        <c:v>97389</c:v>
                      </c:pt>
                      <c:pt idx="20">
                        <c:v>97389</c:v>
                      </c:pt>
                    </c:numCache>
                  </c:numRef>
                </c:val>
                <c:smooth val="0"/>
                <c:extLst xmlns:c15="http://schemas.microsoft.com/office/drawing/2012/chart">
                  <c:ext xmlns:c16="http://schemas.microsoft.com/office/drawing/2014/chart" uri="{C3380CC4-5D6E-409C-BE32-E72D297353CC}">
                    <c16:uniqueId val="{00000004-610C-4BAF-AE3B-6D98B4A6414C}"/>
                  </c:ext>
                </c:extLst>
              </c15:ser>
            </c15:filteredLineSeries>
          </c:ext>
        </c:extLst>
      </c:lineChart>
      <c:catAx>
        <c:axId val="397599824"/>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sz="900" b="1">
                    <a:solidFill>
                      <a:sysClr val="windowText" lastClr="000000"/>
                    </a:solidFill>
                    <a:latin typeface="Times New Roman" panose="02020603050405020304" pitchFamily="18" charset="0"/>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0"/>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0"/>
        <c:lblAlgn val="ctr"/>
        <c:lblOffset val="100"/>
        <c:noMultiLvlLbl val="0"/>
      </c:catAx>
      <c:valAx>
        <c:axId val="397600152"/>
        <c:scaling>
          <c:orientation val="minMax"/>
          <c:min val="3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n-US" sz="900" b="1">
                    <a:solidFill>
                      <a:sysClr val="windowText" lastClr="000000"/>
                    </a:solidFill>
                    <a:latin typeface="Times New Roman" panose="02020603050405020304" pitchFamily="18" charset="0"/>
                    <a:cs typeface="Times New Roman" panose="02020603050405020304" pitchFamily="18" charset="0"/>
                  </a:rPr>
                  <a:t>Cumulative</a:t>
                </a:r>
                <a:r>
                  <a:rPr lang="en-US" sz="900" b="1" baseline="0">
                    <a:solidFill>
                      <a:sysClr val="windowText" lastClr="000000"/>
                    </a:solidFill>
                    <a:latin typeface="Times New Roman" panose="02020603050405020304" pitchFamily="18" charset="0"/>
                    <a:cs typeface="Times New Roman" panose="02020603050405020304" pitchFamily="18" charset="0"/>
                  </a:rPr>
                  <a:t> TN Reductions (lbs/yr)</a:t>
                </a:r>
                <a:endParaRPr lang="en-US" sz="900" b="1">
                  <a:solidFill>
                    <a:sysClr val="windowText" lastClr="000000"/>
                  </a:solidFill>
                  <a:latin typeface="Times New Roman" panose="02020603050405020304" pitchFamily="18" charset="0"/>
                  <a:cs typeface="Times New Roman" panose="02020603050405020304" pitchFamily="18" charset="0"/>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midCat"/>
        <c:majorUnit val="200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rPr>
              <a:t>IRL - Banana River Lagoon Zone B TN Project Reductions</a:t>
            </a:r>
          </a:p>
        </c:rich>
      </c:tx>
      <c:layout>
        <c:manualLayout>
          <c:xMode val="edge"/>
          <c:yMode val="edge"/>
          <c:x val="0.21400649226151514"/>
          <c:y val="9.1719077568134175E-2"/>
        </c:manualLayout>
      </c:layout>
      <c:overlay val="0"/>
      <c:spPr>
        <a:noFill/>
        <a:ln>
          <a:noFill/>
        </a:ln>
        <a:effectLst/>
      </c:spPr>
    </c:title>
    <c:autoTitleDeleted val="0"/>
    <c:plotArea>
      <c:layout>
        <c:manualLayout>
          <c:layoutTarget val="inner"/>
          <c:xMode val="edge"/>
          <c:yMode val="edge"/>
          <c:x val="0.13605333968014705"/>
          <c:y val="0.2702987008699384"/>
          <c:w val="0.834432786581778"/>
          <c:h val="0.65437073903497911"/>
        </c:manualLayout>
      </c:layout>
      <c:lineChart>
        <c:grouping val="standard"/>
        <c:varyColors val="0"/>
        <c:ser>
          <c:idx val="1"/>
          <c:order val="1"/>
          <c:tx>
            <c:strRef>
              <c:f>'[2]TN Progress Chart'!$G$2</c:f>
              <c:strCache>
                <c:ptCount val="1"/>
                <c:pt idx="0">
                  <c:v>Zone B</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cat>
            <c:numRef>
              <c:f>'[2]TN Progress Chart'!$E$4:$E$24</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f>'[2]TN Progress Chart'!$G$4:$G$24</c:f>
              <c:numCache>
                <c:formatCode>General</c:formatCode>
                <c:ptCount val="21"/>
                <c:pt idx="0">
                  <c:v>19286.555</c:v>
                </c:pt>
                <c:pt idx="1">
                  <c:v>19344.305</c:v>
                </c:pt>
                <c:pt idx="2">
                  <c:v>20447.305</c:v>
                </c:pt>
                <c:pt idx="3">
                  <c:v>23551.365000000002</c:v>
                </c:pt>
                <c:pt idx="4">
                  <c:v>25771.135000000002</c:v>
                </c:pt>
                <c:pt idx="5">
                  <c:v>26232.135000000002</c:v>
                </c:pt>
                <c:pt idx="6">
                  <c:v>26232.135000000002</c:v>
                </c:pt>
              </c:numCache>
            </c:numRef>
          </c:val>
          <c:smooth val="0"/>
          <c:extLst>
            <c:ext xmlns:c16="http://schemas.microsoft.com/office/drawing/2014/chart" uri="{C3380CC4-5D6E-409C-BE32-E72D297353CC}">
              <c16:uniqueId val="{00000000-0C37-4188-9A1D-C5F7DE50AB68}"/>
            </c:ext>
          </c:extLst>
        </c:ser>
        <c:ser>
          <c:idx val="2"/>
          <c:order val="2"/>
          <c:tx>
            <c:strRef>
              <c:f>'[2]TN Progress Chart'!$H$3</c:f>
              <c:strCache>
                <c:ptCount val="1"/>
                <c:pt idx="0">
                  <c:v>5-Year Milestone</c:v>
                </c:pt>
              </c:strCache>
            </c:strRef>
          </c:tx>
          <c:spPr>
            <a:ln w="28575" cap="rnd">
              <a:solidFill>
                <a:sysClr val="windowText" lastClr="000000"/>
              </a:solidFill>
              <a:round/>
            </a:ln>
            <a:effectLst/>
          </c:spPr>
          <c:marker>
            <c:symbol val="circle"/>
            <c:size val="5"/>
            <c:spPr>
              <a:solidFill>
                <a:schemeClr val="tx1"/>
              </a:solidFill>
              <a:ln w="9525">
                <a:solidFill>
                  <a:sysClr val="windowText" lastClr="000000"/>
                </a:solidFill>
              </a:ln>
              <a:effectLst/>
            </c:spPr>
          </c:marker>
          <c:dLbls>
            <c:dLbl>
              <c:idx val="5"/>
              <c:tx>
                <c:rich>
                  <a:bodyPr/>
                  <a:lstStyle/>
                  <a:p>
                    <a:r>
                      <a:rPr lang="en-US" sz="1100"/>
                      <a:t>5-Year Milestone</a:t>
                    </a:r>
                  </a:p>
                  <a:p>
                    <a:fld id="{14708A61-5D4E-4A74-9C3B-5430BD5F853A}" type="VALUE">
                      <a:rPr lang="en-US" sz="1100"/>
                      <a:pPr/>
                      <a:t>[VALUE]</a:t>
                    </a:fld>
                    <a:endParaRPr 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0C37-4188-9A1D-C5F7DE50AB68}"/>
                </c:ext>
              </c:extLst>
            </c:dLbl>
            <c:numFmt formatCode="#,##0" sourceLinked="0"/>
            <c:spPr>
              <a:noFill/>
              <a:ln>
                <a:noFill/>
              </a:ln>
              <a:effectLst/>
            </c:spPr>
            <c:txPr>
              <a:bodyPr rot="0" spcFirstLastPara="1" vertOverflow="ellipsis" vert="horz" wrap="square" anchor="ctr" anchorCtr="0"/>
              <a:lstStyle/>
              <a:p>
                <a:pPr algn="ctr" rtl="0">
                  <a:defRPr lang="en-US"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numRef>
              <c:f>'[2]TN Progress Chart'!$E$4:$E$24</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f>'[2]TN Progress Chart'!$H$4:$H$24</c:f>
              <c:numCache>
                <c:formatCode>General</c:formatCode>
                <c:ptCount val="21"/>
                <c:pt idx="5">
                  <c:v>14608.4</c:v>
                </c:pt>
              </c:numCache>
            </c:numRef>
          </c:val>
          <c:smooth val="0"/>
          <c:extLst>
            <c:ext xmlns:c16="http://schemas.microsoft.com/office/drawing/2014/chart" uri="{C3380CC4-5D6E-409C-BE32-E72D297353CC}">
              <c16:uniqueId val="{00000003-0C37-4188-9A1D-C5F7DE50AB68}"/>
            </c:ext>
          </c:extLst>
        </c:ser>
        <c:ser>
          <c:idx val="3"/>
          <c:order val="3"/>
          <c:tx>
            <c:strRef>
              <c:f>'[2]TN Progress Chart'!$I$3</c:f>
              <c:strCache>
                <c:ptCount val="1"/>
                <c:pt idx="0">
                  <c:v>Total Reductions Required</c:v>
                </c:pt>
              </c:strCache>
            </c:strRef>
          </c:tx>
          <c:spPr>
            <a:ln w="28575" cap="rnd">
              <a:solidFill>
                <a:schemeClr val="tx1"/>
              </a:solidFill>
              <a:prstDash val="sysDash"/>
              <a:round/>
            </a:ln>
            <a:effectLst/>
          </c:spPr>
          <c:marker>
            <c:symbol val="none"/>
          </c:marker>
          <c:dLbls>
            <c:dLbl>
              <c:idx val="10"/>
              <c:tx>
                <c:rich>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100">
                        <a:solidFill>
                          <a:sysClr val="windowText" lastClr="000000"/>
                        </a:solidFill>
                        <a:latin typeface="Times New Roman" panose="02020603050405020304" pitchFamily="18" charset="0"/>
                        <a:cs typeface="Times New Roman" panose="02020603050405020304" pitchFamily="18" charset="0"/>
                      </a:rPr>
                      <a:t>Total</a:t>
                    </a:r>
                    <a:r>
                      <a:rPr lang="en-US" sz="1100" baseline="0">
                        <a:solidFill>
                          <a:sysClr val="windowText" lastClr="000000"/>
                        </a:solidFill>
                        <a:latin typeface="Times New Roman" panose="02020603050405020304" pitchFamily="18" charset="0"/>
                        <a:cs typeface="Times New Roman" panose="02020603050405020304" pitchFamily="18" charset="0"/>
                      </a:rPr>
                      <a:t> Reductions Required</a:t>
                    </a:r>
                    <a:endParaRPr lang="en-US" sz="1100">
                      <a:solidFill>
                        <a:sysClr val="windowText" lastClr="000000"/>
                      </a:solidFill>
                      <a:latin typeface="Times New Roman" panose="02020603050405020304" pitchFamily="18" charset="0"/>
                      <a:cs typeface="Times New Roman" panose="02020603050405020304" pitchFamily="18" charset="0"/>
                    </a:endParaRPr>
                  </a:p>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fld id="{347B2C3C-DCB6-4B9A-B6C7-0159BE5E69C2}" type="VALUE">
                      <a:rPr lang="en-US" sz="1100">
                        <a:solidFill>
                          <a:sysClr val="windowText" lastClr="000000"/>
                        </a:solidFill>
                        <a:latin typeface="Times New Roman" panose="02020603050405020304" pitchFamily="18" charset="0"/>
                        <a:cs typeface="Times New Roman" panose="02020603050405020304" pitchFamily="18" charset="0"/>
                      </a:rPr>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t>[VALUE]</a:t>
                    </a:fld>
                    <a:endParaRPr lang="en-US"/>
                  </a:p>
                </c:rich>
              </c:tx>
              <c:numFmt formatCode="#,##0" sourceLinked="0"/>
              <c:spPr>
                <a:noFill/>
                <a:ln>
                  <a:noFill/>
                </a:ln>
                <a:effectLst/>
              </c:spPr>
              <c:dLblPos val="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4-0C37-4188-9A1D-C5F7DE50AB6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'[2]TN Progress Chart'!$E$4:$E$24</c:f>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f>'[2]TN Progress Chart'!$I$4:$I$24</c:f>
              <c:numCache>
                <c:formatCode>General</c:formatCode>
                <c:ptCount val="21"/>
                <c:pt idx="0">
                  <c:v>97389</c:v>
                </c:pt>
                <c:pt idx="1">
                  <c:v>97389</c:v>
                </c:pt>
                <c:pt idx="2">
                  <c:v>97389</c:v>
                </c:pt>
                <c:pt idx="3">
                  <c:v>97389</c:v>
                </c:pt>
                <c:pt idx="4">
                  <c:v>97389</c:v>
                </c:pt>
                <c:pt idx="5">
                  <c:v>97389</c:v>
                </c:pt>
                <c:pt idx="6">
                  <c:v>97389</c:v>
                </c:pt>
                <c:pt idx="7">
                  <c:v>97389</c:v>
                </c:pt>
                <c:pt idx="8">
                  <c:v>97389</c:v>
                </c:pt>
                <c:pt idx="9">
                  <c:v>97389</c:v>
                </c:pt>
                <c:pt idx="10">
                  <c:v>97389</c:v>
                </c:pt>
                <c:pt idx="11">
                  <c:v>97389</c:v>
                </c:pt>
                <c:pt idx="12">
                  <c:v>97389</c:v>
                </c:pt>
                <c:pt idx="13">
                  <c:v>97389</c:v>
                </c:pt>
                <c:pt idx="14">
                  <c:v>97389</c:v>
                </c:pt>
                <c:pt idx="15">
                  <c:v>97389</c:v>
                </c:pt>
                <c:pt idx="16">
                  <c:v>97389</c:v>
                </c:pt>
                <c:pt idx="17">
                  <c:v>97389</c:v>
                </c:pt>
                <c:pt idx="18">
                  <c:v>97389</c:v>
                </c:pt>
                <c:pt idx="19">
                  <c:v>97389</c:v>
                </c:pt>
                <c:pt idx="20">
                  <c:v>97389</c:v>
                </c:pt>
              </c:numCache>
            </c:numRef>
          </c:val>
          <c:smooth val="0"/>
          <c:extLst>
            <c:ext xmlns:c16="http://schemas.microsoft.com/office/drawing/2014/chart" uri="{C3380CC4-5D6E-409C-BE32-E72D297353CC}">
              <c16:uniqueId val="{00000005-0C37-4188-9A1D-C5F7DE50AB68}"/>
            </c:ext>
          </c:extLst>
        </c:ser>
        <c:dLbls>
          <c:showLegendKey val="0"/>
          <c:showVal val="0"/>
          <c:showCatName val="0"/>
          <c:showSerName val="0"/>
          <c:showPercent val="0"/>
          <c:showBubbleSize val="0"/>
        </c:dLbls>
        <c:marker val="1"/>
        <c:smooth val="0"/>
        <c:axId val="397599824"/>
        <c:axId val="397600152"/>
        <c:extLst>
          <c:ext xmlns:c15="http://schemas.microsoft.com/office/drawing/2012/chart" uri="{02D57815-91ED-43cb-92C2-25804820EDAC}">
            <c15:filteredLineSeries>
              <c15:ser>
                <c:idx val="0"/>
                <c:order val="0"/>
                <c:tx>
                  <c:strRef>
                    <c:extLst>
                      <c:ext uri="{02D57815-91ED-43cb-92C2-25804820EDAC}">
                        <c15:formulaRef>
                          <c15:sqref>'[2]TN Progress Chart'!$F$2</c15:sqref>
                        </c15:formulaRef>
                      </c:ext>
                    </c:extLst>
                    <c:strCache>
                      <c:ptCount val="1"/>
                      <c:pt idx="0">
                        <c:v>Zone 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ormulaRef>
                          <c15:sqref>'[2]TN Progress Chart'!$E$4:$E$24</c15:sqref>
                        </c15:formulaRef>
                      </c:ext>
                    </c:extLst>
                    <c:numCache>
                      <c:formatCode>General</c:formatCode>
                      <c:ptCount val="21"/>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numCache>
                  </c:numRef>
                </c:cat>
                <c:val>
                  <c:numRef>
                    <c:extLst>
                      <c:ext uri="{02D57815-91ED-43cb-92C2-25804820EDAC}">
                        <c15:formulaRef>
                          <c15:sqref>'[2]TN Progress Chart'!$F$3:$F$18</c15:sqref>
                        </c15:formulaRef>
                      </c:ext>
                    </c:extLst>
                    <c:numCache>
                      <c:formatCode>General</c:formatCode>
                      <c:ptCount val="16"/>
                      <c:pt idx="0">
                        <c:v>0</c:v>
                      </c:pt>
                      <c:pt idx="1">
                        <c:v>3421</c:v>
                      </c:pt>
                      <c:pt idx="2">
                        <c:v>19864</c:v>
                      </c:pt>
                      <c:pt idx="3">
                        <c:v>20057</c:v>
                      </c:pt>
                      <c:pt idx="4">
                        <c:v>20057</c:v>
                      </c:pt>
                      <c:pt idx="5">
                        <c:v>20057</c:v>
                      </c:pt>
                      <c:pt idx="6">
                        <c:v>20057</c:v>
                      </c:pt>
                      <c:pt idx="7">
                        <c:v>20057</c:v>
                      </c:pt>
                    </c:numCache>
                  </c:numRef>
                </c:val>
                <c:smooth val="0"/>
                <c:extLst>
                  <c:ext xmlns:c16="http://schemas.microsoft.com/office/drawing/2014/chart" uri="{C3380CC4-5D6E-409C-BE32-E72D297353CC}">
                    <c16:uniqueId val="{00000006-0C37-4188-9A1D-C5F7DE50AB68}"/>
                  </c:ext>
                </c:extLst>
              </c15:ser>
            </c15:filteredLineSeries>
          </c:ext>
        </c:extLst>
      </c:lineChart>
      <c:catAx>
        <c:axId val="397599824"/>
        <c:scaling>
          <c:orientation val="minMax"/>
        </c:scaling>
        <c:delete val="0"/>
        <c:axPos val="b"/>
        <c:title>
          <c:tx>
            <c:rich>
              <a:bodyPr rot="0" spcFirstLastPara="1" vertOverflow="ellipsis" vert="horz" wrap="square" anchor="ctr" anchorCtr="1"/>
              <a:lstStyle/>
              <a:p>
                <a:pPr algn="ctr" rtl="0">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lgn="ctr" rtl="0">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1"/>
        <c:lblAlgn val="ctr"/>
        <c:lblOffset val="100"/>
        <c:noMultiLvlLbl val="0"/>
      </c:catAx>
      <c:valAx>
        <c:axId val="397600152"/>
        <c:scaling>
          <c:orientation val="minMax"/>
          <c:max val="100000"/>
          <c:min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Cumulative TN Reductions (lbs/yr)</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midCat"/>
      </c:valAx>
      <c:spPr>
        <a:noFill/>
        <a:ln>
          <a:noFill/>
          <a:prstDash val="sysDash"/>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a:t>IRL - Banana River Lagoon Zone B TP Project Reductions</a:t>
            </a:r>
          </a:p>
        </c:rich>
      </c:tx>
      <c:layout>
        <c:manualLayout>
          <c:xMode val="edge"/>
          <c:yMode val="edge"/>
          <c:x val="0.18993055555555557"/>
          <c:y val="7.760023451424633E-2"/>
        </c:manualLayout>
      </c:layout>
      <c:overlay val="0"/>
      <c:spPr>
        <a:noFill/>
        <a:ln>
          <a:noFill/>
        </a:ln>
        <a:effectLst/>
      </c:spPr>
      <c:txPr>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112997594050743"/>
          <c:y val="0.14233276780889179"/>
          <c:w val="0.86414780183727036"/>
          <c:h val="0.76019724856011317"/>
        </c:manualLayout>
      </c:layout>
      <c:lineChart>
        <c:grouping val="standard"/>
        <c:varyColors val="0"/>
        <c:ser>
          <c:idx val="1"/>
          <c:order val="1"/>
          <c:tx>
            <c:strRef>
              <c:f>'TP Progress Chart'!$G$2</c:f>
              <c:strCache>
                <c:ptCount val="1"/>
                <c:pt idx="0">
                  <c:v>Zone B</c:v>
                </c:pt>
              </c:strCache>
            </c:strRef>
          </c:tx>
          <c:spPr>
            <a:ln w="28575" cap="rnd">
              <a:solidFill>
                <a:schemeClr val="tx1"/>
              </a:solidFill>
              <a:round/>
            </a:ln>
            <a:effectLst/>
          </c:spPr>
          <c:marker>
            <c:symbol val="circle"/>
            <c:size val="6"/>
            <c:spPr>
              <a:solidFill>
                <a:schemeClr val="tx1"/>
              </a:solidFill>
              <a:ln w="9525">
                <a:solidFill>
                  <a:schemeClr val="tx1"/>
                </a:solidFill>
              </a:ln>
              <a:effectLst/>
            </c:spPr>
          </c:marker>
          <c:cat>
            <c:numRef>
              <c:f>'TP Progress Chart'!$E$4:$E$23</c:f>
              <c:numCache>
                <c:formatCode>General</c:formatCod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numCache>
            </c:numRef>
          </c:cat>
          <c:val>
            <c:numRef>
              <c:f>'TP Progress Chart'!$G$4:$G$23</c:f>
              <c:numCache>
                <c:formatCode>#,##0</c:formatCode>
                <c:ptCount val="20"/>
                <c:pt idx="0">
                  <c:v>4694.2890000000016</c:v>
                </c:pt>
                <c:pt idx="1">
                  <c:v>4706.7590000000018</c:v>
                </c:pt>
                <c:pt idx="2">
                  <c:v>5109.1590000000015</c:v>
                </c:pt>
                <c:pt idx="3">
                  <c:v>5390.9790000000012</c:v>
                </c:pt>
                <c:pt idx="4">
                  <c:v>5780.679000000001</c:v>
                </c:pt>
                <c:pt idx="5">
                  <c:v>5876.679000000001</c:v>
                </c:pt>
                <c:pt idx="6">
                  <c:v>5876.679000000001</c:v>
                </c:pt>
              </c:numCache>
            </c:numRef>
          </c:val>
          <c:smooth val="0"/>
          <c:extLst>
            <c:ext xmlns:c16="http://schemas.microsoft.com/office/drawing/2014/chart" uri="{C3380CC4-5D6E-409C-BE32-E72D297353CC}">
              <c16:uniqueId val="{00000000-6164-44EF-8A23-874EF422A90F}"/>
            </c:ext>
          </c:extLst>
        </c:ser>
        <c:ser>
          <c:idx val="2"/>
          <c:order val="2"/>
          <c:tx>
            <c:strRef>
              <c:f>'TP Progress Chart'!$H$2</c:f>
              <c:strCache>
                <c:ptCount val="1"/>
                <c:pt idx="0">
                  <c:v>Zone B 5 Year Milestone</c:v>
                </c:pt>
              </c:strCache>
            </c:strRef>
          </c:tx>
          <c:spPr>
            <a:ln w="28575" cap="rnd">
              <a:solidFill>
                <a:sysClr val="windowText" lastClr="000000"/>
              </a:solidFill>
              <a:round/>
            </a:ln>
            <a:effectLst/>
          </c:spPr>
          <c:marker>
            <c:symbol val="circle"/>
            <c:size val="5"/>
            <c:spPr>
              <a:solidFill>
                <a:schemeClr val="tx1"/>
              </a:solidFill>
              <a:ln w="9525">
                <a:solidFill>
                  <a:sysClr val="windowText" lastClr="000000"/>
                </a:solidFill>
              </a:ln>
              <a:effectLst/>
            </c:spPr>
          </c:marker>
          <c:dLbls>
            <c:dLbl>
              <c:idx val="6"/>
              <c:layout>
                <c:manualLayout>
                  <c:x val="-8.1831665573053367E-2"/>
                  <c:y val="-4.0680446194225825E-2"/>
                </c:manualLayout>
              </c:layout>
              <c:tx>
                <c:rich>
                  <a:bodyPr/>
                  <a:lstStyle/>
                  <a:p>
                    <a:r>
                      <a:rPr lang="en-US" b="0"/>
                      <a:t>5-Year</a:t>
                    </a:r>
                    <a:r>
                      <a:rPr lang="en-US" b="0" baseline="0"/>
                      <a:t> Milestone</a:t>
                    </a:r>
                    <a:br>
                      <a:rPr lang="en-US" b="0" baseline="0"/>
                    </a:br>
                    <a:fld id="{254F3CE4-F22F-4BC9-8036-1E4CC5397D80}" type="VALUE">
                      <a:rPr lang="en-US" b="0"/>
                      <a:pPr/>
                      <a:t>[VALUE]</a:t>
                    </a:fld>
                    <a:endParaRPr lang="en-US" b="0" baseline="0"/>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742B-4BDD-B36B-87E2A972CBD2}"/>
                </c:ext>
              </c:extLst>
            </c:dLbl>
            <c:dLbl>
              <c:idx val="7"/>
              <c:dLblPos val="t"/>
              <c:showLegendKey val="0"/>
              <c:showVal val="1"/>
              <c:showCatName val="0"/>
              <c:showSerName val="1"/>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50DA-4D47-A60E-00A1041DEA7C}"/>
                </c:ext>
              </c:extLst>
            </c:dLbl>
            <c:spPr>
              <a:noFill/>
              <a:ln>
                <a:noFill/>
              </a:ln>
              <a:effectLst/>
            </c:spPr>
            <c:txPr>
              <a:bodyPr rot="0" spcFirstLastPara="1" vertOverflow="ellipsis" vert="horz" wrap="square" anchor="ctr" anchorCtr="1"/>
              <a:lstStyle/>
              <a:p>
                <a:pPr>
                  <a:defRPr lang="en-US" sz="11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numRef>
              <c:f>'TP Progress Chart'!$E$4:$E$23</c:f>
              <c:numCache>
                <c:formatCode>General</c:formatCod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numCache>
            </c:numRef>
          </c:cat>
          <c:val>
            <c:numRef>
              <c:f>'TP Progress Chart'!$H$3:$H$18</c:f>
              <c:numCache>
                <c:formatCode>#,##0</c:formatCode>
                <c:ptCount val="16"/>
                <c:pt idx="0" formatCode="General">
                  <c:v>0</c:v>
                </c:pt>
                <c:pt idx="6">
                  <c:v>3353.3</c:v>
                </c:pt>
              </c:numCache>
            </c:numRef>
          </c:val>
          <c:smooth val="0"/>
          <c:extLst>
            <c:ext xmlns:c16="http://schemas.microsoft.com/office/drawing/2014/chart" uri="{C3380CC4-5D6E-409C-BE32-E72D297353CC}">
              <c16:uniqueId val="{00000002-6164-44EF-8A23-874EF422A90F}"/>
            </c:ext>
          </c:extLst>
        </c:ser>
        <c:ser>
          <c:idx val="3"/>
          <c:order val="3"/>
          <c:tx>
            <c:strRef>
              <c:f>'TP Progress Chart'!$I$3</c:f>
              <c:strCache>
                <c:ptCount val="1"/>
                <c:pt idx="0">
                  <c:v>Reductions Needed</c:v>
                </c:pt>
              </c:strCache>
            </c:strRef>
          </c:tx>
          <c:spPr>
            <a:ln w="28575" cap="rnd">
              <a:solidFill>
                <a:schemeClr val="tx1"/>
              </a:solidFill>
              <a:prstDash val="sysDash"/>
              <a:round/>
            </a:ln>
            <a:effectLst/>
          </c:spPr>
          <c:marker>
            <c:symbol val="none"/>
          </c:marker>
          <c:dLbls>
            <c:dLbl>
              <c:idx val="9"/>
              <c:layout>
                <c:manualLayout>
                  <c:x val="-9.3315972222222224E-2"/>
                  <c:y val="-6.2597003499562542E-2"/>
                </c:manualLayout>
              </c:layout>
              <c:tx>
                <c:rich>
                  <a:bodyPr rot="0" spcFirstLastPara="1" vertOverflow="ellipsis" vert="horz" wrap="square" lIns="38100" tIns="19050" rIns="38100" bIns="19050" anchor="ctr" anchorCtr="1">
                    <a:noAutofit/>
                  </a:bodyPr>
                  <a:lstStyle/>
                  <a:p>
                    <a:pPr>
                      <a:defRPr lang="en-US" sz="11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100" b="0"/>
                      <a:t>Total</a:t>
                    </a:r>
                    <a:r>
                      <a:rPr lang="en-US" sz="1100" b="0" baseline="0"/>
                      <a:t> Reductions Required</a:t>
                    </a:r>
                  </a:p>
                  <a:p>
                    <a:pPr>
                      <a:defRPr sz="1100"/>
                    </a:pPr>
                    <a:r>
                      <a:rPr lang="en-US" sz="1100" b="0" baseline="0"/>
                      <a:t> </a:t>
                    </a:r>
                    <a:fld id="{C492106A-1492-4F03-ACE1-41D6494EF3E1}" type="VALUE">
                      <a:rPr lang="en-US" sz="1100" b="0"/>
                      <a:pPr>
                        <a:defRPr sz="1100"/>
                      </a:pPr>
                      <a:t>[VALUE]</a:t>
                    </a:fld>
                    <a:endParaRPr lang="en-US" sz="1100" b="0" baseline="0"/>
                  </a:p>
                </c:rich>
              </c:tx>
              <c:spPr>
                <a:noFill/>
                <a:ln>
                  <a:noFill/>
                </a:ln>
                <a:effectLst/>
              </c:spPr>
              <c:txPr>
                <a:bodyPr rot="0" spcFirstLastPara="1" vertOverflow="ellipsis" vert="horz" wrap="square" lIns="38100" tIns="19050" rIns="38100" bIns="19050" anchor="ctr" anchorCtr="1">
                  <a:noAutofit/>
                </a:bodyPr>
                <a:lstStyle/>
                <a:p>
                  <a:pPr>
                    <a:defRPr lang="en-US" sz="11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r"/>
              <c:showLegendKey val="0"/>
              <c:showVal val="0"/>
              <c:showCatName val="0"/>
              <c:showSerName val="0"/>
              <c:showPercent val="0"/>
              <c:showBubbleSize val="0"/>
              <c:separator>
</c:separator>
              <c:extLst>
                <c:ext xmlns:c15="http://schemas.microsoft.com/office/drawing/2012/chart" uri="{CE6537A1-D6FC-4f65-9D91-7224C49458BB}">
                  <c15:layout>
                    <c:manualLayout>
                      <c:w val="0.16753472222222221"/>
                      <c:h val="0.12797222222222221"/>
                    </c:manualLayout>
                  </c15:layout>
                  <c15:dlblFieldTable/>
                  <c15:showDataLabelsRange val="0"/>
                </c:ext>
                <c:ext xmlns:c16="http://schemas.microsoft.com/office/drawing/2014/chart" uri="{C3380CC4-5D6E-409C-BE32-E72D297353CC}">
                  <c16:uniqueId val="{00000001-0C2F-4A73-841F-05C48370E099}"/>
                </c:ext>
              </c:extLst>
            </c:dLbl>
            <c:spPr>
              <a:noFill/>
              <a:ln>
                <a:noFill/>
              </a:ln>
              <a:effectLst/>
            </c:spPr>
            <c:txPr>
              <a:bodyPr rot="0" spcFirstLastPara="1" vertOverflow="ellipsis" vert="horz" wrap="square" lIns="38100" tIns="19050" rIns="38100" bIns="19050" anchor="ctr" anchorCtr="1">
                <a:spAutoFit/>
              </a:bodyPr>
              <a:lstStyle/>
              <a:p>
                <a:pPr>
                  <a:defRPr lang="en-US" sz="11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separator>
</c:separator>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'TP Progress Chart'!$E$4:$E$23</c:f>
              <c:numCache>
                <c:formatCode>General</c:formatCod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numCache>
            </c:numRef>
          </c:cat>
          <c:val>
            <c:numRef>
              <c:f>'TP Progress Chart'!$I$4:$I$24</c:f>
              <c:numCache>
                <c:formatCode>_(* #,##0_);_(* \(#,##0\);_(* "-"??_);_(@_)</c:formatCode>
                <c:ptCount val="21"/>
                <c:pt idx="0">
                  <c:v>22355</c:v>
                </c:pt>
                <c:pt idx="1">
                  <c:v>22355</c:v>
                </c:pt>
                <c:pt idx="2">
                  <c:v>22355</c:v>
                </c:pt>
                <c:pt idx="3">
                  <c:v>22355</c:v>
                </c:pt>
                <c:pt idx="4">
                  <c:v>22355</c:v>
                </c:pt>
                <c:pt idx="5">
                  <c:v>22355</c:v>
                </c:pt>
                <c:pt idx="6">
                  <c:v>22355</c:v>
                </c:pt>
                <c:pt idx="7">
                  <c:v>22355</c:v>
                </c:pt>
                <c:pt idx="8">
                  <c:v>22355</c:v>
                </c:pt>
                <c:pt idx="9">
                  <c:v>22355</c:v>
                </c:pt>
                <c:pt idx="10">
                  <c:v>22355</c:v>
                </c:pt>
                <c:pt idx="11">
                  <c:v>22355</c:v>
                </c:pt>
                <c:pt idx="12">
                  <c:v>22355</c:v>
                </c:pt>
                <c:pt idx="13">
                  <c:v>22355</c:v>
                </c:pt>
                <c:pt idx="14">
                  <c:v>22355</c:v>
                </c:pt>
                <c:pt idx="15">
                  <c:v>22355</c:v>
                </c:pt>
                <c:pt idx="16">
                  <c:v>22355</c:v>
                </c:pt>
                <c:pt idx="17">
                  <c:v>22355</c:v>
                </c:pt>
                <c:pt idx="18">
                  <c:v>22355</c:v>
                </c:pt>
                <c:pt idx="19">
                  <c:v>22355</c:v>
                </c:pt>
              </c:numCache>
            </c:numRef>
          </c:val>
          <c:smooth val="0"/>
          <c:extLst>
            <c:ext xmlns:c16="http://schemas.microsoft.com/office/drawing/2014/chart" uri="{C3380CC4-5D6E-409C-BE32-E72D297353CC}">
              <c16:uniqueId val="{00000000-0C2F-4A73-841F-05C48370E099}"/>
            </c:ext>
          </c:extLst>
        </c:ser>
        <c:dLbls>
          <c:showLegendKey val="0"/>
          <c:showVal val="0"/>
          <c:showCatName val="0"/>
          <c:showSerName val="0"/>
          <c:showPercent val="0"/>
          <c:showBubbleSize val="0"/>
        </c:dLbls>
        <c:marker val="1"/>
        <c:smooth val="0"/>
        <c:axId val="397599824"/>
        <c:axId val="397600152"/>
        <c:extLst>
          <c:ext xmlns:c15="http://schemas.microsoft.com/office/drawing/2012/chart" uri="{02D57815-91ED-43cb-92C2-25804820EDAC}">
            <c15:filteredLineSeries>
              <c15:ser>
                <c:idx val="0"/>
                <c:order val="0"/>
                <c:tx>
                  <c:strRef>
                    <c:extLst>
                      <c:ext uri="{02D57815-91ED-43cb-92C2-25804820EDAC}">
                        <c15:formulaRef>
                          <c15:sqref>'TP Progress Chart'!$F$2</c15:sqref>
                        </c15:formulaRef>
                      </c:ext>
                    </c:extLst>
                    <c:strCache>
                      <c:ptCount val="1"/>
                      <c:pt idx="0">
                        <c:v>Zone 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ormulaRef>
                          <c15:sqref>'TP Progress Chart'!$E$4:$E$23</c15:sqref>
                        </c15:formulaRef>
                      </c:ext>
                    </c:extLst>
                    <c:numCache>
                      <c:formatCode>General</c:formatCod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numCache>
                  </c:numRef>
                </c:cat>
                <c:val>
                  <c:numRef>
                    <c:extLst>
                      <c:ext uri="{02D57815-91ED-43cb-92C2-25804820EDAC}">
                        <c15:formulaRef>
                          <c15:sqref>'TP Progress Chart'!$F$3:$F$18</c15:sqref>
                        </c15:formulaRef>
                      </c:ext>
                    </c:extLst>
                    <c:numCache>
                      <c:formatCode>#,##0</c:formatCode>
                      <c:ptCount val="16"/>
                      <c:pt idx="0" formatCode="General">
                        <c:v>0</c:v>
                      </c:pt>
                      <c:pt idx="1">
                        <c:v>901</c:v>
                      </c:pt>
                      <c:pt idx="2">
                        <c:v>3427.1</c:v>
                      </c:pt>
                      <c:pt idx="3">
                        <c:v>3537.7</c:v>
                      </c:pt>
                      <c:pt idx="4">
                        <c:v>3537.7</c:v>
                      </c:pt>
                      <c:pt idx="5">
                        <c:v>3537.7</c:v>
                      </c:pt>
                      <c:pt idx="6">
                        <c:v>3537.7</c:v>
                      </c:pt>
                      <c:pt idx="7">
                        <c:v>3537.7</c:v>
                      </c:pt>
                    </c:numCache>
                  </c:numRef>
                </c:val>
                <c:smooth val="0"/>
                <c:extLst>
                  <c:ext xmlns:c16="http://schemas.microsoft.com/office/drawing/2014/chart" uri="{C3380CC4-5D6E-409C-BE32-E72D297353CC}">
                    <c16:uniqueId val="{00000003-6164-44EF-8A23-874EF422A90F}"/>
                  </c:ext>
                </c:extLst>
              </c15:ser>
            </c15:filteredLineSeries>
          </c:ext>
        </c:extLst>
      </c:lineChart>
      <c:catAx>
        <c:axId val="397599824"/>
        <c:scaling>
          <c:orientation val="minMax"/>
        </c:scaling>
        <c:delete val="0"/>
        <c:axPos val="b"/>
        <c:title>
          <c:tx>
            <c:rich>
              <a:bodyPr rot="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solidFill>
                      <a:sysClr val="windowText" lastClr="000000"/>
                    </a:solidFill>
                  </a:rPr>
                  <a:t>Year</a:t>
                </a:r>
              </a:p>
            </c:rich>
          </c:tx>
          <c:overlay val="0"/>
          <c:spPr>
            <a:noFill/>
            <a:ln>
              <a:noFill/>
            </a:ln>
            <a:effectLst/>
          </c:spPr>
          <c:txPr>
            <a:bodyPr rot="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0"/>
        <c:lblAlgn val="ctr"/>
        <c:lblOffset val="100"/>
        <c:noMultiLvlLbl val="0"/>
      </c:catAx>
      <c:valAx>
        <c:axId val="397600152"/>
        <c:scaling>
          <c:orientation val="minMax"/>
          <c:max val="26000"/>
          <c:min val="3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Cumulative TP Reductions (lbs/yr)</a:t>
                </a:r>
              </a:p>
            </c:rich>
          </c:tx>
          <c:overlay val="0"/>
          <c:spPr>
            <a:noFill/>
            <a:ln>
              <a:noFill/>
            </a:ln>
            <a:effectLst/>
          </c:spPr>
          <c:txPr>
            <a:bodyPr rot="-54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At val="1"/>
        <c:crossBetween val="midCat"/>
        <c:majorUnit val="200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a:t>IRL - Banana River Lagoon Zone A TP Project Reductions</a:t>
            </a:r>
          </a:p>
        </c:rich>
      </c:tx>
      <c:layout>
        <c:manualLayout>
          <c:xMode val="edge"/>
          <c:yMode val="edge"/>
          <c:x val="0.19580722331583553"/>
          <c:y val="7.0754716981132074E-2"/>
        </c:manualLayout>
      </c:layout>
      <c:overlay val="0"/>
      <c:spPr>
        <a:noFill/>
        <a:ln>
          <a:noFill/>
        </a:ln>
        <a:effectLst/>
      </c:spPr>
      <c:txPr>
        <a:bodyPr rot="0" spcFirstLastPara="1" vertOverflow="ellipsis" vert="horz" wrap="square" anchor="ctr" anchorCtr="1"/>
        <a:lstStyle/>
        <a:p>
          <a:pP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9.3317475940507433E-2"/>
          <c:y val="0.20728511530398319"/>
          <c:w val="0.87196030183727036"/>
          <c:h val="0.684861915845425"/>
        </c:manualLayout>
      </c:layout>
      <c:lineChart>
        <c:grouping val="standard"/>
        <c:varyColors val="0"/>
        <c:ser>
          <c:idx val="0"/>
          <c:order val="0"/>
          <c:tx>
            <c:strRef>
              <c:f>'TP Progress Chart'!$F$2</c:f>
              <c:strCache>
                <c:ptCount val="1"/>
                <c:pt idx="0">
                  <c:v>Zone A</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cat>
            <c:strRef>
              <c:extLst>
                <c:ext xmlns:c15="http://schemas.microsoft.com/office/drawing/2012/chart" uri="{02D57815-91ED-43cb-92C2-25804820EDAC}">
                  <c15:fullRef>
                    <c15:sqref>'TP Progress Chart'!$E$3:$E$23</c15:sqref>
                  </c15:fullRef>
                </c:ext>
              </c:extLst>
              <c:f>'TP Progress Chart'!$E$4:$E$23</c:f>
              <c:strCach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strCache>
            </c:strRef>
          </c:cat>
          <c:val>
            <c:numRef>
              <c:extLst>
                <c:ext xmlns:c15="http://schemas.microsoft.com/office/drawing/2012/chart" uri="{02D57815-91ED-43cb-92C2-25804820EDAC}">
                  <c15:fullRef>
                    <c15:sqref>'TP Progress Chart'!$F$3:$F$23</c15:sqref>
                  </c15:fullRef>
                </c:ext>
              </c:extLst>
              <c:f>'TP Progress Chart'!$F$4:$F$23</c:f>
              <c:numCache>
                <c:formatCode>#,##0</c:formatCode>
                <c:ptCount val="20"/>
                <c:pt idx="0">
                  <c:v>901</c:v>
                </c:pt>
                <c:pt idx="1">
                  <c:v>3427.1</c:v>
                </c:pt>
                <c:pt idx="2">
                  <c:v>3537.7</c:v>
                </c:pt>
                <c:pt idx="3">
                  <c:v>3537.7</c:v>
                </c:pt>
                <c:pt idx="4">
                  <c:v>3537.7</c:v>
                </c:pt>
                <c:pt idx="5">
                  <c:v>3537.7</c:v>
                </c:pt>
                <c:pt idx="6">
                  <c:v>3537.7</c:v>
                </c:pt>
              </c:numCache>
            </c:numRef>
          </c:val>
          <c:smooth val="0"/>
          <c:extLst>
            <c:ext xmlns:c16="http://schemas.microsoft.com/office/drawing/2014/chart" uri="{C3380CC4-5D6E-409C-BE32-E72D297353CC}">
              <c16:uniqueId val="{00000000-9FD7-4D56-A04A-C9E591026621}"/>
            </c:ext>
          </c:extLst>
        </c:ser>
        <c:dLbls>
          <c:showLegendKey val="0"/>
          <c:showVal val="0"/>
          <c:showCatName val="0"/>
          <c:showSerName val="0"/>
          <c:showPercent val="0"/>
          <c:showBubbleSize val="0"/>
        </c:dLbls>
        <c:marker val="1"/>
        <c:smooth val="0"/>
        <c:axId val="397599824"/>
        <c:axId val="397600152"/>
        <c:extLst>
          <c:ext xmlns:c15="http://schemas.microsoft.com/office/drawing/2012/chart" uri="{02D57815-91ED-43cb-92C2-25804820EDAC}">
            <c15:filteredLineSeries>
              <c15:ser>
                <c:idx val="1"/>
                <c:order val="1"/>
                <c:tx>
                  <c:strRef>
                    <c:extLst>
                      <c:ext uri="{02D57815-91ED-43cb-92C2-25804820EDAC}">
                        <c15:formulaRef>
                          <c15:sqref>'TP Progress Chart'!$G$2</c15:sqref>
                        </c15:formulaRef>
                      </c:ext>
                    </c:extLst>
                    <c:strCache>
                      <c:ptCount val="1"/>
                      <c:pt idx="0">
                        <c:v>Zone B</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uri="{02D57815-91ED-43cb-92C2-25804820EDAC}">
                        <c15:fullRef>
                          <c15:sqref>'TP Progress Chart'!$E$3:$E$23</c15:sqref>
                        </c15:fullRef>
                        <c15:formulaRef>
                          <c15:sqref>'TP Progress Chart'!$E$4:$E$23</c15:sqref>
                        </c15:formulaRef>
                      </c:ext>
                    </c:extLst>
                    <c:strCach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strCache>
                  </c:strRef>
                </c:cat>
                <c:val>
                  <c:numRef>
                    <c:extLst>
                      <c:ext uri="{02D57815-91ED-43cb-92C2-25804820EDAC}">
                        <c15:fullRef>
                          <c15:sqref>'TP Progress Chart'!$G$3:$G$23</c15:sqref>
                        </c15:fullRef>
                        <c15:formulaRef>
                          <c15:sqref>'TP Progress Chart'!$G$4:$G$23</c15:sqref>
                        </c15:formulaRef>
                      </c:ext>
                    </c:extLst>
                    <c:numCache>
                      <c:formatCode>#,##0</c:formatCode>
                      <c:ptCount val="20"/>
                      <c:pt idx="0">
                        <c:v>4694.2890000000016</c:v>
                      </c:pt>
                      <c:pt idx="1">
                        <c:v>4706.7590000000018</c:v>
                      </c:pt>
                      <c:pt idx="2">
                        <c:v>5109.1590000000015</c:v>
                      </c:pt>
                      <c:pt idx="3">
                        <c:v>5390.9790000000012</c:v>
                      </c:pt>
                      <c:pt idx="4">
                        <c:v>5780.679000000001</c:v>
                      </c:pt>
                      <c:pt idx="5">
                        <c:v>5876.679000000001</c:v>
                      </c:pt>
                      <c:pt idx="6">
                        <c:v>5876.679000000001</c:v>
                      </c:pt>
                    </c:numCache>
                  </c:numRef>
                </c:val>
                <c:smooth val="0"/>
                <c:extLst>
                  <c:ext xmlns:c16="http://schemas.microsoft.com/office/drawing/2014/chart" uri="{C3380CC4-5D6E-409C-BE32-E72D297353CC}">
                    <c16:uniqueId val="{00000001-9FD7-4D56-A04A-C9E59102662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'TP Progress Chart'!$H$2</c15:sqref>
                        </c15:formulaRef>
                      </c:ext>
                    </c:extLst>
                    <c:strCache>
                      <c:ptCount val="1"/>
                      <c:pt idx="0">
                        <c:v>Zone B 5 Year Milestone</c:v>
                      </c:pt>
                    </c:strCache>
                  </c:strRef>
                </c:tx>
                <c:spPr>
                  <a:ln w="28575" cap="rnd">
                    <a:solidFill>
                      <a:sysClr val="windowText" lastClr="000000"/>
                    </a:solidFill>
                    <a:round/>
                  </a:ln>
                  <a:effectLst/>
                </c:spPr>
                <c:marker>
                  <c:symbol val="circle"/>
                  <c:size val="5"/>
                  <c:spPr>
                    <a:solidFill>
                      <a:srgbClr val="00B050"/>
                    </a:solidFill>
                    <a:ln w="9525">
                      <a:solidFill>
                        <a:sysClr val="windowText" lastClr="000000"/>
                      </a:solidFill>
                    </a:ln>
                    <a:effectLst/>
                  </c:spPr>
                </c:marker>
                <c:dLbls>
                  <c:dLbl>
                    <c:idx val="6"/>
                    <c:layout>
                      <c:manualLayout>
                        <c:x val="1.0185067526415994E-16"/>
                        <c:y val="0.11574074074074074"/>
                      </c:manualLayout>
                    </c:layout>
                    <c:showLegendKey val="0"/>
                    <c:showVal val="1"/>
                    <c:showCatName val="0"/>
                    <c:showSerName val="1"/>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9FD7-4D56-A04A-C9E591026621}"/>
                      </c:ext>
                    </c:extLst>
                  </c:dLbl>
                  <c:spPr>
                    <a:noFill/>
                    <a:ln>
                      <a:noFill/>
                    </a:ln>
                    <a:effectLst/>
                  </c:spPr>
                  <c:txPr>
                    <a:bodyPr rot="0" spcFirstLastPara="1" vertOverflow="ellipsis" vert="horz" wrap="square" lIns="38100" tIns="19050" rIns="38100" bIns="19050" anchor="ctr" anchorCtr="1">
                      <a:spAutoFit/>
                    </a:bodyPr>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'TP Progress Chart'!$E$3:$E$23</c15:sqref>
                        </c15:fullRef>
                        <c15:formulaRef>
                          <c15:sqref>'TP Progress Chart'!$E$4:$E$23</c15:sqref>
                        </c15:formulaRef>
                      </c:ext>
                    </c:extLst>
                    <c:strCach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strCache>
                  </c:strRef>
                </c:cat>
                <c:val>
                  <c:numRef>
                    <c:extLst>
                      <c:ext xmlns:c15="http://schemas.microsoft.com/office/drawing/2012/chart" uri="{02D57815-91ED-43cb-92C2-25804820EDAC}">
                        <c15:fullRef>
                          <c15:sqref>'TP Progress Chart'!$H$3:$H$23</c15:sqref>
                        </c15:fullRef>
                        <c15:formulaRef>
                          <c15:sqref>'TP Progress Chart'!$H$4:$H$23</c15:sqref>
                        </c15:formulaRef>
                      </c:ext>
                    </c:extLst>
                    <c:numCache>
                      <c:formatCode>#,##0</c:formatCode>
                      <c:ptCount val="20"/>
                      <c:pt idx="5">
                        <c:v>3353.3</c:v>
                      </c:pt>
                    </c:numCache>
                  </c:numRef>
                </c:val>
                <c:smooth val="0"/>
                <c:extLst xmlns:c15="http://schemas.microsoft.com/office/drawing/2012/chart">
                  <c:ext xmlns:c16="http://schemas.microsoft.com/office/drawing/2014/chart" uri="{C3380CC4-5D6E-409C-BE32-E72D297353CC}">
                    <c16:uniqueId val="{00000003-9FD7-4D56-A04A-C9E59102662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'TP Progress Chart'!$I$2</c15:sqref>
                        </c15:formulaRef>
                      </c:ext>
                    </c:extLst>
                    <c:strCache>
                      <c:ptCount val="1"/>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c:ext xmlns:c15="http://schemas.microsoft.com/office/drawing/2012/chart" uri="{02D57815-91ED-43cb-92C2-25804820EDAC}">
                        <c15:fullRef>
                          <c15:sqref>'TP Progress Chart'!$E$3:$E$23</c15:sqref>
                        </c15:fullRef>
                        <c15:formulaRef>
                          <c15:sqref>'TP Progress Chart'!$E$4:$E$23</c15:sqref>
                        </c15:formulaRef>
                      </c:ext>
                    </c:extLst>
                    <c:strCach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strCache>
                  </c:strRef>
                </c:cat>
                <c:val>
                  <c:numRef>
                    <c:extLst>
                      <c:ext xmlns:c15="http://schemas.microsoft.com/office/drawing/2012/chart" uri="{02D57815-91ED-43cb-92C2-25804820EDAC}">
                        <c15:fullRef>
                          <c15:sqref>'TP Progress Chart'!$I$3:$I$23</c15:sqref>
                        </c15:fullRef>
                        <c15:formulaRef>
                          <c15:sqref>'TP Progress Chart'!$I$4:$I$23</c15:sqref>
                        </c15:formulaRef>
                      </c:ext>
                    </c:extLst>
                    <c:numCache>
                      <c:formatCode>_(* #,##0_);_(* \(#,##0\);_(* "-"??_);_(@_)</c:formatCode>
                      <c:ptCount val="20"/>
                      <c:pt idx="0">
                        <c:v>22355</c:v>
                      </c:pt>
                      <c:pt idx="1">
                        <c:v>22355</c:v>
                      </c:pt>
                      <c:pt idx="2">
                        <c:v>22355</c:v>
                      </c:pt>
                      <c:pt idx="3">
                        <c:v>22355</c:v>
                      </c:pt>
                      <c:pt idx="4">
                        <c:v>22355</c:v>
                      </c:pt>
                      <c:pt idx="5">
                        <c:v>22355</c:v>
                      </c:pt>
                      <c:pt idx="6">
                        <c:v>22355</c:v>
                      </c:pt>
                      <c:pt idx="7">
                        <c:v>22355</c:v>
                      </c:pt>
                      <c:pt idx="8">
                        <c:v>22355</c:v>
                      </c:pt>
                      <c:pt idx="9">
                        <c:v>22355</c:v>
                      </c:pt>
                      <c:pt idx="10">
                        <c:v>22355</c:v>
                      </c:pt>
                      <c:pt idx="11">
                        <c:v>22355</c:v>
                      </c:pt>
                      <c:pt idx="12">
                        <c:v>22355</c:v>
                      </c:pt>
                      <c:pt idx="13">
                        <c:v>22355</c:v>
                      </c:pt>
                      <c:pt idx="14">
                        <c:v>22355</c:v>
                      </c:pt>
                      <c:pt idx="15">
                        <c:v>22355</c:v>
                      </c:pt>
                      <c:pt idx="16">
                        <c:v>22355</c:v>
                      </c:pt>
                      <c:pt idx="17">
                        <c:v>22355</c:v>
                      </c:pt>
                      <c:pt idx="18">
                        <c:v>22355</c:v>
                      </c:pt>
                      <c:pt idx="19">
                        <c:v>22355</c:v>
                      </c:pt>
                    </c:numCache>
                  </c:numRef>
                </c:val>
                <c:smooth val="0"/>
                <c:extLst xmlns:c15="http://schemas.microsoft.com/office/drawing/2012/chart">
                  <c:ext xmlns:c16="http://schemas.microsoft.com/office/drawing/2014/chart" uri="{C3380CC4-5D6E-409C-BE32-E72D297353CC}">
                    <c16:uniqueId val="{00000004-9FD7-4D56-A04A-C9E591026621}"/>
                  </c:ext>
                </c:extLst>
              </c15:ser>
            </c15:filteredLineSeries>
          </c:ext>
        </c:extLst>
      </c:lineChart>
      <c:catAx>
        <c:axId val="397599824"/>
        <c:scaling>
          <c:orientation val="minMax"/>
        </c:scaling>
        <c:delete val="0"/>
        <c:axPos val="b"/>
        <c:title>
          <c:tx>
            <c:rich>
              <a:bodyPr rot="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Year</a:t>
                </a:r>
              </a:p>
            </c:rich>
          </c:tx>
          <c:overlay val="0"/>
          <c:spPr>
            <a:noFill/>
            <a:ln>
              <a:noFill/>
            </a:ln>
            <a:effectLst/>
          </c:spPr>
          <c:txPr>
            <a:bodyPr rot="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1"/>
        <c:lblAlgn val="ctr"/>
        <c:lblOffset val="100"/>
        <c:noMultiLvlLbl val="0"/>
      </c:catAx>
      <c:valAx>
        <c:axId val="397600152"/>
        <c:scaling>
          <c:orientation val="minMax"/>
          <c:min val="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Cumulative TP Reductions (lbs/yr)</a:t>
                </a:r>
              </a:p>
            </c:rich>
          </c:tx>
          <c:overlay val="0"/>
          <c:spPr>
            <a:noFill/>
            <a:ln>
              <a:noFill/>
            </a:ln>
            <a:effectLst/>
          </c:spPr>
          <c:txPr>
            <a:bodyPr rot="-54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9</xdr:col>
      <xdr:colOff>419100</xdr:colOff>
      <xdr:row>0</xdr:row>
      <xdr:rowOff>95250</xdr:rowOff>
    </xdr:from>
    <xdr:to>
      <xdr:col>21</xdr:col>
      <xdr:colOff>419100</xdr:colOff>
      <xdr:row>22</xdr:row>
      <xdr:rowOff>179070</xdr:rowOff>
    </xdr:to>
    <xdr:graphicFrame macro="">
      <xdr:nvGraphicFramePr>
        <xdr:cNvPr id="4" name="Chart 3">
          <a:extLst>
            <a:ext uri="{FF2B5EF4-FFF2-40B4-BE49-F238E27FC236}">
              <a16:creationId xmlns:a16="http://schemas.microsoft.com/office/drawing/2014/main" id="{89A9588C-3D3C-4501-929A-10C2A5643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361950</xdr:colOff>
      <xdr:row>24</xdr:row>
      <xdr:rowOff>0</xdr:rowOff>
    </xdr:from>
    <xdr:to>
      <xdr:col>22</xdr:col>
      <xdr:colOff>0</xdr:colOff>
      <xdr:row>49</xdr:row>
      <xdr:rowOff>83820</xdr:rowOff>
    </xdr:to>
    <xdr:graphicFrame macro="">
      <xdr:nvGraphicFramePr>
        <xdr:cNvPr id="7" name="Chart 6">
          <a:extLst>
            <a:ext uri="{FF2B5EF4-FFF2-40B4-BE49-F238E27FC236}">
              <a16:creationId xmlns:a16="http://schemas.microsoft.com/office/drawing/2014/main" id="{858985D8-B4DC-460B-9FEC-86A1C2F779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123824</xdr:colOff>
      <xdr:row>26</xdr:row>
      <xdr:rowOff>1</xdr:rowOff>
    </xdr:from>
    <xdr:to>
      <xdr:col>22</xdr:col>
      <xdr:colOff>123824</xdr:colOff>
      <xdr:row>54</xdr:row>
      <xdr:rowOff>28575</xdr:rowOff>
    </xdr:to>
    <xdr:graphicFrame macro="">
      <xdr:nvGraphicFramePr>
        <xdr:cNvPr id="3" name="Chart 2">
          <a:extLst>
            <a:ext uri="{FF2B5EF4-FFF2-40B4-BE49-F238E27FC236}">
              <a16:creationId xmlns:a16="http://schemas.microsoft.com/office/drawing/2014/main" id="{99AB3A4B-69FF-4643-A5C5-4C9EBAE1D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23</xdr:col>
      <xdr:colOff>0</xdr:colOff>
      <xdr:row>23</xdr:row>
      <xdr:rowOff>83820</xdr:rowOff>
    </xdr:to>
    <xdr:graphicFrame macro="">
      <xdr:nvGraphicFramePr>
        <xdr:cNvPr id="4" name="Chart 3">
          <a:extLst>
            <a:ext uri="{FF2B5EF4-FFF2-40B4-BE49-F238E27FC236}">
              <a16:creationId xmlns:a16="http://schemas.microsoft.com/office/drawing/2014/main" id="{0AB28256-58DB-400C-9D62-9D00EC55C5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eather%20York/Desktop/IRL%20BMAP/2017%20progress%20reports/BRL/received/Patrick%20AF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hris%20Caschera/Desktop/Stacy/BRL%20_metrics_0424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derway"/>
      <sheetName val="Cancelled"/>
      <sheetName val="Completed"/>
      <sheetName val="New"/>
      <sheetName val="Sheet4"/>
    </sheetNames>
    <sheetDataSet>
      <sheetData sheetId="0"/>
      <sheetData sheetId="1"/>
      <sheetData sheetId="2"/>
      <sheetData sheetId="3"/>
      <sheetData sheetId="4">
        <row r="1">
          <cell r="A1" t="str">
            <v>Agriculutral Projects</v>
          </cell>
        </row>
        <row r="2">
          <cell r="A2" t="str">
            <v>Education and Outreach Efforts</v>
          </cell>
        </row>
        <row r="3">
          <cell r="A3" t="str">
            <v>Housekeeping BMPs</v>
          </cell>
        </row>
        <row r="4">
          <cell r="A4" t="str">
            <v>Land Acquisition</v>
          </cell>
        </row>
        <row r="5">
          <cell r="A5" t="str">
            <v>Model-related Projects</v>
          </cell>
        </row>
        <row r="6">
          <cell r="A6" t="str">
            <v>Regulations, Ordinances, and Programs</v>
          </cell>
        </row>
        <row r="7">
          <cell r="A7" t="str">
            <v>Restoration Project</v>
          </cell>
        </row>
        <row r="8">
          <cell r="A8" t="str">
            <v>Studies, Research, Assessments, and Planning Efforts</v>
          </cell>
        </row>
        <row r="9">
          <cell r="A9" t="str">
            <v>Stormwater Chemical Treatment</v>
          </cell>
        </row>
        <row r="10">
          <cell r="A10" t="str">
            <v>Stormwater LID</v>
          </cell>
        </row>
        <row r="11">
          <cell r="A11" t="str">
            <v>Stormwater Management Systems</v>
          </cell>
        </row>
        <row r="12">
          <cell r="A12" t="str">
            <v>Stormwater Reuse</v>
          </cell>
        </row>
        <row r="13">
          <cell r="A13" t="str">
            <v>Surface Water Quality Iprovement Project</v>
          </cell>
        </row>
        <row r="14">
          <cell r="A14" t="str">
            <v>Wastewater - Centralized/Sewered</v>
          </cell>
        </row>
        <row r="15">
          <cell r="A15" t="str">
            <v>Wastewater - OSTDS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RL All Projects"/>
      <sheetName val="Project Type Corrections 2019"/>
      <sheetName val="Load Reductions"/>
      <sheetName val="TN Progress Chart"/>
      <sheetName val="TP Progress Chart"/>
      <sheetName val="Summary Info"/>
    </sheetNames>
    <sheetDataSet>
      <sheetData sheetId="0" refreshError="1"/>
      <sheetData sheetId="1" refreshError="1"/>
      <sheetData sheetId="2" refreshError="1"/>
      <sheetData sheetId="3" refreshError="1"/>
      <sheetData sheetId="4">
        <row r="2">
          <cell r="F2" t="str">
            <v>Zone A</v>
          </cell>
          <cell r="G2" t="str">
            <v>Zone B</v>
          </cell>
        </row>
        <row r="3">
          <cell r="F3" t="str">
            <v>Cumulative TN Reductions (lbs/yr)</v>
          </cell>
          <cell r="H3" t="str">
            <v>5-Year Milestone</v>
          </cell>
          <cell r="I3" t="str">
            <v>Total Reductions Required</v>
          </cell>
        </row>
        <row r="4">
          <cell r="E4">
            <v>2013</v>
          </cell>
          <cell r="F4">
            <v>3421</v>
          </cell>
          <cell r="G4">
            <v>19286.555</v>
          </cell>
          <cell r="I4">
            <v>97389</v>
          </cell>
        </row>
        <row r="5">
          <cell r="E5">
            <v>2014</v>
          </cell>
          <cell r="F5">
            <v>19864</v>
          </cell>
          <cell r="G5">
            <v>19344.305</v>
          </cell>
          <cell r="I5">
            <v>97389</v>
          </cell>
        </row>
        <row r="6">
          <cell r="E6">
            <v>2015</v>
          </cell>
          <cell r="F6">
            <v>20057</v>
          </cell>
          <cell r="G6">
            <v>20447.305</v>
          </cell>
          <cell r="I6">
            <v>97389</v>
          </cell>
        </row>
        <row r="7">
          <cell r="E7">
            <v>2016</v>
          </cell>
          <cell r="F7">
            <v>20057</v>
          </cell>
          <cell r="G7">
            <v>23551.365000000002</v>
          </cell>
          <cell r="I7">
            <v>97389</v>
          </cell>
        </row>
        <row r="8">
          <cell r="E8">
            <v>2017</v>
          </cell>
          <cell r="F8">
            <v>20057</v>
          </cell>
          <cell r="G8">
            <v>25771.135000000002</v>
          </cell>
          <cell r="I8">
            <v>97389</v>
          </cell>
        </row>
        <row r="9">
          <cell r="E9">
            <v>2018</v>
          </cell>
          <cell r="F9">
            <v>20057</v>
          </cell>
          <cell r="G9">
            <v>26232.135000000002</v>
          </cell>
          <cell r="H9">
            <v>14608.4</v>
          </cell>
          <cell r="I9">
            <v>97389</v>
          </cell>
        </row>
        <row r="10">
          <cell r="E10">
            <v>2019</v>
          </cell>
          <cell r="F10">
            <v>20057</v>
          </cell>
          <cell r="G10">
            <v>26232.135000000002</v>
          </cell>
          <cell r="I10">
            <v>97389</v>
          </cell>
        </row>
        <row r="11">
          <cell r="E11">
            <v>2020</v>
          </cell>
          <cell r="I11">
            <v>97389</v>
          </cell>
        </row>
        <row r="12">
          <cell r="E12">
            <v>2021</v>
          </cell>
          <cell r="I12">
            <v>97389</v>
          </cell>
        </row>
        <row r="13">
          <cell r="E13">
            <v>2022</v>
          </cell>
          <cell r="I13">
            <v>97389</v>
          </cell>
        </row>
        <row r="14">
          <cell r="E14">
            <v>2023</v>
          </cell>
          <cell r="I14">
            <v>97389</v>
          </cell>
        </row>
        <row r="15">
          <cell r="E15">
            <v>2024</v>
          </cell>
          <cell r="I15">
            <v>97389</v>
          </cell>
        </row>
        <row r="16">
          <cell r="E16">
            <v>2025</v>
          </cell>
          <cell r="I16">
            <v>97389</v>
          </cell>
        </row>
        <row r="17">
          <cell r="E17">
            <v>2026</v>
          </cell>
          <cell r="I17">
            <v>97389</v>
          </cell>
        </row>
        <row r="18">
          <cell r="E18">
            <v>2027</v>
          </cell>
          <cell r="I18">
            <v>97389</v>
          </cell>
        </row>
        <row r="19">
          <cell r="E19">
            <v>2028</v>
          </cell>
          <cell r="I19">
            <v>97389</v>
          </cell>
        </row>
        <row r="20">
          <cell r="E20">
            <v>2029</v>
          </cell>
          <cell r="I20">
            <v>97389</v>
          </cell>
        </row>
        <row r="21">
          <cell r="E21">
            <v>2030</v>
          </cell>
          <cell r="I21">
            <v>97389</v>
          </cell>
        </row>
        <row r="22">
          <cell r="E22">
            <v>2031</v>
          </cell>
          <cell r="I22">
            <v>97389</v>
          </cell>
        </row>
        <row r="23">
          <cell r="E23">
            <v>2032</v>
          </cell>
          <cell r="I23">
            <v>97389</v>
          </cell>
        </row>
        <row r="24">
          <cell r="E24">
            <v>2033</v>
          </cell>
          <cell r="I24">
            <v>97389</v>
          </cell>
        </row>
      </sheetData>
      <sheetData sheetId="5">
        <row r="2">
          <cell r="F2" t="str">
            <v>Zone A</v>
          </cell>
        </row>
      </sheetData>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1F1194DB-FC69-4B82-8AB8-32E4E0E5B758}" userId="Tina Gordon" providerId="None"/>
  <person displayName="Christopher Caschera" id="{64A5AAD1-0634-445E-B52B-4579069EB02F}" userId="Christopher Caschera" providerId="None"/>
  <person displayName="Tiffany Busby" id="{1B1C08DE-D089-41A3-9CE8-4405CF556F58}" userId="S::tlbusby@wildwoodconsulting.net::819af12a-277d-40a9-b4ef-38c9f0a4d5a2"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Z:\FileServer%20Data\FDEP%20IRL\Project%20Metrics%20Workbooks\Current%20Versions\BRL%20_metrics_042618.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199.371876736113" createdVersion="5" refreshedVersion="5" minRefreshableVersion="3" recordCount="269" xr:uid="{00000000-000A-0000-FFFF-FFFF14000000}">
  <cacheSource type="worksheet">
    <worksheetSource ref="A1:Q1048576" sheet="BRL STAR Table" r:id="rId2"/>
  </cacheSource>
  <cacheFields count="17">
    <cacheField name="Lead Entity" numFmtId="0">
      <sharedItems containsBlank="1"/>
    </cacheField>
    <cacheField name="Partners" numFmtId="0">
      <sharedItems containsBlank="1"/>
    </cacheField>
    <cacheField name="Project Number " numFmtId="0">
      <sharedItems containsBlank="1"/>
    </cacheField>
    <cacheField name="Project Name" numFmtId="0">
      <sharedItems containsBlank="1"/>
    </cacheField>
    <cacheField name="Project Description" numFmtId="0">
      <sharedItems containsBlank="1" longText="1"/>
    </cacheField>
    <cacheField name="Project Type" numFmtId="0">
      <sharedItems containsBlank="1"/>
    </cacheField>
    <cacheField name="Project Status" numFmtId="0">
      <sharedItems containsBlank="1" count="5">
        <s v="Completed"/>
        <s v="Canceled"/>
        <s v="Underway"/>
        <s v="Planned"/>
        <m/>
      </sharedItems>
    </cacheField>
    <cacheField name="Estimated Completion Date" numFmtId="0">
      <sharedItems containsBlank="1" containsMixedTypes="1" containsNumber="1" containsInteger="1" minValue="2002" maxValue="2022"/>
    </cacheField>
    <cacheField name="TN Reduction (lbs/yr)" numFmtId="0">
      <sharedItems containsBlank="1" containsMixedTypes="1" containsNumber="1" minValue="0" maxValue="4139"/>
    </cacheField>
    <cacheField name="TP Reduction (lbs/yr)" numFmtId="0">
      <sharedItems containsBlank="1" containsMixedTypes="1" containsNumber="1" minValue="0" maxValue="1022.1"/>
    </cacheField>
    <cacheField name="Location" numFmtId="0">
      <sharedItems containsBlank="1"/>
    </cacheField>
    <cacheField name="Acres Treated" numFmtId="0">
      <sharedItems containsBlank="1" containsMixedTypes="1" containsNumber="1" minValue="0" maxValue="14705"/>
    </cacheField>
    <cacheField name="Cost Estimate" numFmtId="0">
      <sharedItems containsBlank="1" containsMixedTypes="1" containsNumber="1" containsInteger="1" minValue="3100" maxValue="20000000"/>
    </cacheField>
    <cacheField name="Cost Annual O&amp;M" numFmtId="0">
      <sharedItems containsBlank="1" containsMixedTypes="1" containsNumber="1" containsInteger="1" minValue="0" maxValue="370000"/>
    </cacheField>
    <cacheField name="Funding Source" numFmtId="0">
      <sharedItems containsBlank="1"/>
    </cacheField>
    <cacheField name="Funding Amount" numFmtId="0">
      <sharedItems containsBlank="1" containsMixedTypes="1" containsNumber="1" containsInteger="1" minValue="3100" maxValue="20000000"/>
    </cacheField>
    <cacheField name="DEP Contract Agreement Number"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903.48042349537" createdVersion="6" refreshedVersion="6" minRefreshableVersion="3" recordCount="309" xr:uid="{4F5805D7-0479-4A0E-BC71-F50D20D71F93}">
  <cacheSource type="worksheet">
    <worksheetSource ref="A1:Y1048576" sheet="BRL All Projects"/>
  </cacheSource>
  <cacheFields count="25">
    <cacheField name="ProjID" numFmtId="0">
      <sharedItems containsBlank="1" containsMixedTypes="1" containsNumber="1" containsInteger="1" minValue="2389" maxValue="2891"/>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longText="1"/>
    </cacheField>
    <cacheField name="ProjectType" numFmtId="0">
      <sharedItems containsBlank="1"/>
    </cacheField>
    <cacheField name="ProjectStatus" numFmtId="0">
      <sharedItems containsBlank="1" count="5">
        <s v="Completed"/>
        <s v="Canceled"/>
        <s v="Underway"/>
        <s v="Planned"/>
        <m/>
      </sharedItems>
    </cacheField>
    <cacheField name="EstimatedCompletionDate" numFmtId="49">
      <sharedItems containsBlank="1" containsMixedTypes="1" containsNumber="1" containsInteger="1" minValue="2004" maxValue="2028"/>
    </cacheField>
    <cacheField name="TNReduction(lbs/yr)" numFmtId="3">
      <sharedItems containsBlank="1" containsMixedTypes="1" containsNumber="1" minValue="0" maxValue="29554"/>
    </cacheField>
    <cacheField name="TPReduction(lbs/yr)" numFmtId="3">
      <sharedItems containsBlank="1" containsMixedTypes="1" containsNumber="1" minValue="0" maxValue="3069"/>
    </cacheField>
    <cacheField name="Location" numFmtId="0">
      <sharedItems containsBlank="1"/>
    </cacheField>
    <cacheField name="AcresTreated" numFmtId="3">
      <sharedItems containsBlank="1" containsMixedTypes="1" containsNumber="1" minValue="0" maxValue="14705"/>
    </cacheField>
    <cacheField name="CostEstimate" numFmtId="165">
      <sharedItems containsBlank="1" containsMixedTypes="1" containsNumber="1" minValue="0" maxValue="20000000"/>
    </cacheField>
    <cacheField name="CostAnnualO&amp;M" numFmtId="165">
      <sharedItems containsBlank="1" containsMixedTypes="1" containsNumber="1" containsInteger="1" minValue="0" maxValue="370000"/>
    </cacheField>
    <cacheField name="FundingSource" numFmtId="0">
      <sharedItems containsBlank="1"/>
    </cacheField>
    <cacheField name="FundingAmount" numFmtId="0">
      <sharedItems containsBlank="1" containsMixedTypes="1" containsNumber="1" containsInteger="1" minValue="4224" maxValue="14000000"/>
    </cacheField>
    <cacheField name="DEPContractAgreementNumber" numFmtId="0">
      <sharedItems containsBlank="1" containsMixedTypes="1" containsNumber="1" containsInteger="1" minValue="28731" maxValue="28731"/>
    </cacheField>
    <cacheField name="Structural, Non-structural, or Trade" numFmtId="0">
      <sharedItems containsBlank="1"/>
    </cacheField>
    <cacheField name="(Original) Project Status" numFmtId="0">
      <sharedItems containsBlank="1"/>
    </cacheField>
    <cacheField name="Year Project Added" numFmtId="0">
      <sharedItems containsString="0" containsBlank="1" containsNumber="1" containsInteger="1" minValue="2013" maxValue="2019"/>
    </cacheField>
    <cacheField name="BMAP" numFmtId="0">
      <sharedItems containsBlank="1"/>
    </cacheField>
    <cacheField name="Latitude" numFmtId="0">
      <sharedItems containsBlank="1" containsMixedTypes="1" containsNumber="1" minValue="28.139733" maxValue="28.5441"/>
    </cacheField>
    <cacheField name="Longitude" numFmtId="0">
      <sharedItems containsBlank="1" containsMixedTypes="1" containsNumber="1" minValue="-80.922321999999994" maxValue="80.644490000000005"/>
    </cacheField>
    <cacheField name="Start Date" numFmtId="0">
      <sharedItems containsDate="1" containsBlank="1" containsMixedTypes="1" minDate="1900-01-01T22:40:04" maxDate="1900-01-05T14:40:04"/>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16.577030671295" createdVersion="6" refreshedVersion="6" minRefreshableVersion="3" recordCount="308" xr:uid="{F6F18B52-6169-4CA5-B7A0-550A4FBF7687}">
  <cacheSource type="worksheet">
    <worksheetSource ref="A1:A309" sheet="BRL All Projects"/>
  </cacheSource>
  <cacheFields count="1">
    <cacheField name="ProjID" numFmtId="0">
      <sharedItems containsSemiMixedTypes="0" containsString="0" containsNumber="1" containsInteger="1" minValue="2389" maxValue="5159"/>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7.601593865744" createdVersion="6" refreshedVersion="6" minRefreshableVersion="3" recordCount="308" xr:uid="{DCD19C15-7DC5-4375-A4E8-4AD8771204F1}">
  <cacheSource type="worksheet">
    <worksheetSource ref="A1:Y309" sheet="BRL All Projects"/>
  </cacheSource>
  <cacheFields count="25">
    <cacheField name="ProjID" numFmtId="0">
      <sharedItems containsSemiMixedTypes="0" containsString="0" containsNumber="1" containsInteger="1" minValue="2389" maxValue="5159"/>
    </cacheField>
    <cacheField name="LeadEntity" numFmtId="0">
      <sharedItems/>
    </cacheField>
    <cacheField name="Partners" numFmtId="0">
      <sharedItems/>
    </cacheField>
    <cacheField name="ProjectNumber" numFmtId="0">
      <sharedItems/>
    </cacheField>
    <cacheField name="ProjectName" numFmtId="0">
      <sharedItems/>
    </cacheField>
    <cacheField name="ProjectDescription" numFmtId="0">
      <sharedItems longText="1"/>
    </cacheField>
    <cacheField name="ProjectType" numFmtId="0">
      <sharedItems/>
    </cacheField>
    <cacheField name="ProjectStatus" numFmtId="0">
      <sharedItems count="4">
        <s v="Completed"/>
        <s v="Canceled"/>
        <s v="Underway"/>
        <s v="Planned"/>
      </sharedItems>
    </cacheField>
    <cacheField name="EstimatedCompletionDate" numFmtId="49">
      <sharedItems containsMixedTypes="1" containsNumber="1" containsInteger="1" minValue="2004" maxValue="2028" count="25">
        <n v="2015"/>
        <s v="N/A"/>
        <s v="Prior to 2013"/>
        <n v="2013"/>
        <n v="2017"/>
        <n v="2016"/>
        <n v="2011"/>
        <n v="2019"/>
        <n v="2020"/>
        <n v="2018"/>
        <s v="TBD"/>
        <n v="2006"/>
        <n v="2004"/>
        <n v="2005"/>
        <n v="2009"/>
        <n v="2022"/>
        <n v="2014"/>
        <n v="2021"/>
        <s v="2018"/>
        <n v="2023"/>
        <n v="2024"/>
        <n v="2025"/>
        <n v="2026"/>
        <n v="2027"/>
        <n v="2028"/>
      </sharedItems>
    </cacheField>
    <cacheField name="TNReduction(lbs/yr)" numFmtId="3">
      <sharedItems containsMixedTypes="1" containsNumber="1" minValue="0" maxValue="29554"/>
    </cacheField>
    <cacheField name="TPReduction(lbs/yr)" numFmtId="3">
      <sharedItems containsMixedTypes="1" containsNumber="1" minValue="0" maxValue="3069"/>
    </cacheField>
    <cacheField name="Location" numFmtId="0">
      <sharedItems count="4">
        <s v="B"/>
        <s v="N/A"/>
        <s v="A"/>
        <s v="Outside Model Boundary"/>
      </sharedItems>
    </cacheField>
    <cacheField name="AcresTreated" numFmtId="3">
      <sharedItems containsMixedTypes="1" containsNumber="1" minValue="0" maxValue="14705"/>
    </cacheField>
    <cacheField name="CostEstimate" numFmtId="165">
      <sharedItems containsMixedTypes="1" containsNumber="1" minValue="0" maxValue="20000000"/>
    </cacheField>
    <cacheField name="CostAnnualO&amp;M" numFmtId="165">
      <sharedItems containsMixedTypes="1" containsNumber="1" containsInteger="1" minValue="0" maxValue="370000"/>
    </cacheField>
    <cacheField name="FundingSource" numFmtId="0">
      <sharedItems/>
    </cacheField>
    <cacheField name="FundingAmount" numFmtId="0">
      <sharedItems containsMixedTypes="1" containsNumber="1" containsInteger="1" minValue="4224" maxValue="14000000"/>
    </cacheField>
    <cacheField name="DEPContractAgreementNumber" numFmtId="0">
      <sharedItems containsMixedTypes="1" containsNumber="1" containsInteger="1" minValue="28731" maxValue="28731"/>
    </cacheField>
    <cacheField name="Structural, Non-structural, or Trade" numFmtId="0">
      <sharedItems/>
    </cacheField>
    <cacheField name="(Original) Project Status" numFmtId="0">
      <sharedItems containsBlank="1"/>
    </cacheField>
    <cacheField name="Year Project Added" numFmtId="0">
      <sharedItems containsSemiMixedTypes="0" containsString="0" containsNumber="1" containsInteger="1" minValue="2013" maxValue="2019"/>
    </cacheField>
    <cacheField name="BMAP" numFmtId="0">
      <sharedItems/>
    </cacheField>
    <cacheField name="Latitude" numFmtId="0">
      <sharedItems containsMixedTypes="1" containsNumber="1" minValue="28.139733" maxValue="28.5441"/>
    </cacheField>
    <cacheField name="Longitude" numFmtId="0">
      <sharedItems containsMixedTypes="1" containsNumber="1" minValue="-80.922321999999994" maxValue="80.644490000000005"/>
    </cacheField>
    <cacheField name="Start Date" numFmtId="0">
      <sharedItems containsDate="1" containsMixedTypes="1" minDate="1900-01-01T22:40:04" maxDate="1900-01-05T14:40:04"/>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7.641527662039" createdVersion="6" refreshedVersion="6" minRefreshableVersion="3" recordCount="309" xr:uid="{00000000-000A-0000-FFFF-FFFF1A000000}">
  <cacheSource type="worksheet">
    <worksheetSource ref="B1:Y1048576" sheet="BRL All Projects"/>
  </cacheSource>
  <cacheFields count="24">
    <cacheField name="LeadEntity" numFmtId="0">
      <sharedItems containsBlank="1" count="10">
        <s v="Brevard County"/>
        <s v="City of Cocoa Beach"/>
        <s v="City of Cape Canaveral"/>
        <s v="City of Indian Harbour Beach"/>
        <s v="Cape Canaveral Air Force Station"/>
        <s v="City of Satellite Beach"/>
        <s v="FDOT District 5"/>
        <s v="Kennedy Space Center"/>
        <s v="Patrick Air Force Base"/>
        <m/>
      </sharedItems>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longText="1"/>
    </cacheField>
    <cacheField name="ProjectType" numFmtId="0">
      <sharedItems containsBlank="1"/>
    </cacheField>
    <cacheField name="ProjectStatus" numFmtId="0">
      <sharedItems containsBlank="1" count="5">
        <s v="Completed"/>
        <s v="Canceled"/>
        <s v="Underway"/>
        <s v="Planned"/>
        <m/>
      </sharedItems>
    </cacheField>
    <cacheField name="EstimatedCompletionDate" numFmtId="49">
      <sharedItems containsBlank="1" containsMixedTypes="1" containsNumber="1" containsInteger="1" minValue="2004" maxValue="2028" count="26">
        <n v="2015"/>
        <s v="N/A"/>
        <s v="Prior to 2013"/>
        <n v="2013"/>
        <n v="2017"/>
        <n v="2016"/>
        <n v="2011"/>
        <n v="2019"/>
        <n v="2020"/>
        <n v="2018"/>
        <s v="TBD"/>
        <n v="2006"/>
        <n v="2004"/>
        <n v="2005"/>
        <n v="2009"/>
        <n v="2022"/>
        <n v="2014"/>
        <n v="2021"/>
        <s v="2018"/>
        <n v="2023"/>
        <n v="2024"/>
        <n v="2025"/>
        <n v="2026"/>
        <n v="2027"/>
        <n v="2028"/>
        <m/>
      </sharedItems>
    </cacheField>
    <cacheField name="TNReduction(lbs/yr)" numFmtId="3">
      <sharedItems containsBlank="1" containsMixedTypes="1" containsNumber="1" minValue="0" maxValue="29554"/>
    </cacheField>
    <cacheField name="TPReduction(lbs/yr)" numFmtId="3">
      <sharedItems containsBlank="1" containsMixedTypes="1" containsNumber="1" minValue="0" maxValue="3069"/>
    </cacheField>
    <cacheField name="Location" numFmtId="0">
      <sharedItems containsBlank="1" count="5">
        <s v="B"/>
        <s v="N/A"/>
        <s v="A"/>
        <s v="Outside Model Boundary"/>
        <m/>
      </sharedItems>
    </cacheField>
    <cacheField name="AcresTreated" numFmtId="3">
      <sharedItems containsBlank="1" containsMixedTypes="1" containsNumber="1" minValue="0" maxValue="14705"/>
    </cacheField>
    <cacheField name="CostEstimate" numFmtId="165">
      <sharedItems containsBlank="1" containsMixedTypes="1" containsNumber="1" minValue="0" maxValue="20000000"/>
    </cacheField>
    <cacheField name="CostAnnualO&amp;M" numFmtId="165">
      <sharedItems containsBlank="1" containsMixedTypes="1" containsNumber="1" containsInteger="1" minValue="0" maxValue="370000"/>
    </cacheField>
    <cacheField name="FundingSource" numFmtId="0">
      <sharedItems containsBlank="1"/>
    </cacheField>
    <cacheField name="FundingAmount" numFmtId="0">
      <sharedItems containsBlank="1" containsMixedTypes="1" containsNumber="1" containsInteger="1" minValue="4224" maxValue="14000000"/>
    </cacheField>
    <cacheField name="DEPContractAgreementNumber" numFmtId="0">
      <sharedItems containsBlank="1" containsMixedTypes="1" containsNumber="1" containsInteger="1" minValue="28731" maxValue="28731"/>
    </cacheField>
    <cacheField name="Structural, Non-structural, or Trade" numFmtId="0">
      <sharedItems containsBlank="1"/>
    </cacheField>
    <cacheField name="(Original) Project Status" numFmtId="0">
      <sharedItems containsBlank="1"/>
    </cacheField>
    <cacheField name="Year Project Added" numFmtId="0">
      <sharedItems containsString="0" containsBlank="1" containsNumber="1" containsInteger="1" minValue="2013" maxValue="2020" count="9">
        <n v="2013"/>
        <n v="2014"/>
        <n v="2015"/>
        <n v="2017"/>
        <n v="2018"/>
        <n v="2016"/>
        <n v="2019"/>
        <m/>
        <n v="2020" u="1"/>
      </sharedItems>
    </cacheField>
    <cacheField name="BMAP" numFmtId="0">
      <sharedItems containsBlank="1"/>
    </cacheField>
    <cacheField name="Latitude" numFmtId="0">
      <sharedItems containsBlank="1" containsMixedTypes="1" containsNumber="1" minValue="28.139733" maxValue="28.5441"/>
    </cacheField>
    <cacheField name="Longitude" numFmtId="0">
      <sharedItems containsBlank="1" containsMixedTypes="1" containsNumber="1" minValue="-80.922321999999994" maxValue="80.644490000000005"/>
    </cacheField>
    <cacheField name="Start Date" numFmtId="0">
      <sharedItems containsDate="1" containsBlank="1" containsMixedTypes="1" minDate="1900-01-01T22:40:04" maxDate="1900-01-05T14:4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69">
  <r>
    <s v="Brevard County"/>
    <s v="N/A"/>
    <s v="BC-01"/>
    <s v="Education Efforts"/>
    <s v="Florida Yards and Neighbors (FYN); landscape, irrigation, fertilizer, and pet waste ordinances; public service announcements (PSAs); pamphlets; website; Illicit Discharge Program."/>
    <s v="Education Efforts"/>
    <x v="0"/>
    <s v="N/A"/>
    <n v="79"/>
    <n v="14"/>
    <s v="A"/>
    <s v="N/A"/>
    <s v="Not Provided"/>
    <s v="Not Provided"/>
    <s v="Not Provided"/>
    <s v="Not Provided"/>
    <s v="N/A"/>
  </r>
  <r>
    <s v="Brevard County"/>
    <s v="DEP"/>
    <s v="BC-02"/>
    <s v="Pine Island Phase I and II"/>
    <s v="Not Provided"/>
    <s v="Wet Detention Pond"/>
    <x v="0"/>
    <n v="2015"/>
    <n v="160"/>
    <n v="102"/>
    <s v="A"/>
    <n v="15.3"/>
    <n v="19235"/>
    <s v="Not Provided"/>
    <s v="DEP"/>
    <n v="19235"/>
    <s v="G0288/G0344"/>
  </r>
  <r>
    <s v="Brevard County"/>
    <s v="DEP"/>
    <s v="BC-03"/>
    <s v="Florida Blvd. Pond"/>
    <s v="Not Provided"/>
    <s v="Wet Detention Pond"/>
    <x v="0"/>
    <n v="2013"/>
    <n v="324"/>
    <n v="126.4"/>
    <s v="B"/>
    <n v="73.599999999999994"/>
    <n v="350384"/>
    <s v="Not Provided"/>
    <s v="DEP"/>
    <n v="350384"/>
    <s v="WM744"/>
  </r>
  <r>
    <s v="Brevard County"/>
    <s v="DEP"/>
    <s v="BC-04"/>
    <s v="Hampton North (Riverside)"/>
    <s v="Not Provided"/>
    <s v="Baffle Boxes-First Generation (hydrodynamic separator)"/>
    <x v="0"/>
    <n v="2013"/>
    <n v="1"/>
    <n v="1.4"/>
    <s v="B"/>
    <n v="15.3"/>
    <n v="27000"/>
    <s v="Not Provided"/>
    <s v="DEP"/>
    <n v="27000"/>
    <s v="G0268"/>
  </r>
  <r>
    <s v="Brevard County"/>
    <s v="DEP"/>
    <s v="BC-05"/>
    <s v="Hampton South (Needle Blvd)"/>
    <s v="Not Provided"/>
    <s v="Baffle Boxes-First Generation (hydrodynamic separator)"/>
    <x v="0"/>
    <n v="2013"/>
    <n v="1"/>
    <n v="1.6"/>
    <s v="B"/>
    <n v="18.100000000000001"/>
    <n v="29000"/>
    <s v="Not Provided"/>
    <s v="DEP"/>
    <n v="29000"/>
    <s v="G0268"/>
  </r>
  <r>
    <s v="Brevard County"/>
    <s v="DEP"/>
    <s v="BC-06"/>
    <s v="Albatross"/>
    <s v="Not Provided"/>
    <s v="Baffle Boxes-First Generation (hydrodynamic separator)"/>
    <x v="0"/>
    <n v="2013"/>
    <n v="1"/>
    <n v="1.5"/>
    <s v="B"/>
    <n v="21.8"/>
    <n v="33000"/>
    <s v="Not Provided"/>
    <s v="DEP"/>
    <n v="33000"/>
    <s v="G0268"/>
  </r>
  <r>
    <s v="Brevard County"/>
    <s v="DEP"/>
    <s v="BC-07"/>
    <s v="Surfside"/>
    <s v="Not Provided"/>
    <s v="Baffle Boxes-First Generation (hydrodynamic separator)"/>
    <x v="0"/>
    <n v="2013"/>
    <n v="2"/>
    <n v="2.2000000000000002"/>
    <s v="B"/>
    <n v="22.8"/>
    <n v="31500"/>
    <s v="Not Provided"/>
    <s v="DEP"/>
    <n v="31500"/>
    <s v="G0268"/>
  </r>
  <r>
    <s v="Brevard County"/>
    <s v="DEP"/>
    <s v="BC-08"/>
    <s v="West Scots"/>
    <s v="Not Provided"/>
    <s v="Baffle Boxes-Second Generation"/>
    <x v="0"/>
    <n v="2013"/>
    <n v="30"/>
    <n v="5.9"/>
    <s v="B"/>
    <n v="9.6999999999999993"/>
    <n v="41000"/>
    <s v="Not Provided"/>
    <s v="DEP"/>
    <n v="41000"/>
    <s v="G0268"/>
  </r>
  <r>
    <s v="Brevard County"/>
    <s v="DEP"/>
    <s v="BC-09"/>
    <s v="Johns Circle"/>
    <s v="Not Provided"/>
    <s v="Baffle Boxes-First Generation (hydrodynamic separator)"/>
    <x v="0"/>
    <n v="2013"/>
    <n v="2"/>
    <n v="1.8"/>
    <s v="B"/>
    <n v="19.5"/>
    <n v="31000"/>
    <s v="Not Provided"/>
    <s v="DEP"/>
    <n v="31000"/>
    <s v="G0268"/>
  </r>
  <r>
    <s v="Brevard County"/>
    <s v="DEP"/>
    <s v="BC-10"/>
    <s v="Farrington Drive"/>
    <s v="Not Provided"/>
    <s v="Baffle Boxes-Second Generation"/>
    <x v="0"/>
    <n v="2013"/>
    <n v="24"/>
    <n v="4.9000000000000004"/>
    <s v="B"/>
    <n v="7.8"/>
    <n v="37500"/>
    <s v="Not Provided"/>
    <s v="DEP"/>
    <n v="37500"/>
    <s v="G0268"/>
  </r>
  <r>
    <s v="Brevard County"/>
    <s v="DEP"/>
    <s v="BC-11"/>
    <s v="Porpoise Street"/>
    <s v="Not Provided"/>
    <s v="Baffle Boxes-Second Generation"/>
    <x v="0"/>
    <n v="2013"/>
    <n v="25"/>
    <n v="4.9000000000000004"/>
    <s v="B"/>
    <n v="7.8"/>
    <n v="42000"/>
    <s v="Not Provided"/>
    <s v="DEP"/>
    <n v="42000"/>
    <s v="G0268"/>
  </r>
  <r>
    <s v="Brevard County"/>
    <s v="DEP"/>
    <s v="BC-12"/>
    <s v="Angler Street"/>
    <s v="Not Provided"/>
    <s v="Baffle Boxes-First Generation (hydrodynamic separator)"/>
    <x v="0"/>
    <n v="2013"/>
    <n v="1"/>
    <n v="0.9"/>
    <s v="B"/>
    <n v="10.199999999999999"/>
    <n v="30700"/>
    <s v="Not Provided"/>
    <s v="DEP"/>
    <n v="30700"/>
    <s v="G0268"/>
  </r>
  <r>
    <s v="Brevard County"/>
    <s v="DEP"/>
    <s v="BC-13"/>
    <s v="Diana Shores"/>
    <s v="Not Provided"/>
    <s v="Stormceptor Unit"/>
    <x v="0"/>
    <n v="2013"/>
    <n v="0"/>
    <n v="17"/>
    <s v="B"/>
    <n v="38.6"/>
    <n v="102000"/>
    <s v="Not Provided"/>
    <s v="DEP"/>
    <n v="102000"/>
    <s v="G0268"/>
  </r>
  <r>
    <s v="Brevard County"/>
    <s v="N/A"/>
    <s v="BC-14"/>
    <s v="Education Efforts"/>
    <s v="FYN; landscape, irrigation, fertilizer, and pet waste ordinances; public service announcements (PSAs); pamphlets; website; Illicit Discharge Program."/>
    <s v="Education Efforts"/>
    <x v="0"/>
    <s v="N/A"/>
    <n v="3854"/>
    <n v="825"/>
    <s v="B"/>
    <s v="N/A"/>
    <s v="Not Provided"/>
    <s v="Not Provided"/>
    <s v="Not Provided"/>
    <s v="Not Provided"/>
    <s v="N/A"/>
  </r>
  <r>
    <s v="Brevard County"/>
    <s v="N/A"/>
    <s v="BC-15"/>
    <s v="Street Sweeping"/>
    <s v="Monthly street sweeping on 786 miles."/>
    <s v="Street Sweeping"/>
    <x v="0"/>
    <s v="N/A"/>
    <n v="525"/>
    <n v="336"/>
    <s v="A"/>
    <s v="N/A"/>
    <s v="Not Provided"/>
    <s v="Not Provided"/>
    <s v="Not Provided"/>
    <s v="Not Provided"/>
    <s v="N/A"/>
  </r>
  <r>
    <s v="Brevard County"/>
    <s v="DEP"/>
    <s v="BC-16"/>
    <s v="Fortenberry Pond"/>
    <s v="Not Provided"/>
    <s v="Wet Detention Pond"/>
    <x v="0"/>
    <n v="2015"/>
    <n v="847"/>
    <n v="364.6"/>
    <s v="B"/>
    <n v="164.5"/>
    <n v="10900000"/>
    <n v="35000"/>
    <s v="DEP"/>
    <n v="10900000"/>
    <s v="S0646"/>
  </r>
  <r>
    <s v="Brevard County"/>
    <s v="DEP"/>
    <s v="BC-17"/>
    <s v="Merritt Island Airport Pond"/>
    <s v="Not Provided"/>
    <s v="Wet Detention Pond"/>
    <x v="0"/>
    <n v="2013"/>
    <n v="458"/>
    <n v="160"/>
    <s v="B"/>
    <n v="148.19999999999999"/>
    <n v="652056"/>
    <s v="Not Provided"/>
    <s v="DEP"/>
    <n v="652056"/>
    <s v="S0439"/>
  </r>
  <r>
    <s v="Brevard County"/>
    <s v="Not Provided"/>
    <s v="BC-18"/>
    <s v="Florida Boulevard"/>
    <s v="Not Provided"/>
    <s v="Floating Islands/ Managed Aquatic Plants Systems (MAPS)"/>
    <x v="0"/>
    <n v="2013"/>
    <n v="117"/>
    <n v="14.3"/>
    <s v="B"/>
    <n v="73.599999999999994"/>
    <n v="40772"/>
    <n v="18295"/>
    <s v="Not Provided"/>
    <n v="40772"/>
    <s v="Not Provided"/>
  </r>
  <r>
    <s v="Brevard County"/>
    <s v="DEP"/>
    <s v="BC-19"/>
    <s v="Third Ave Baffle Box"/>
    <s v="Not Provided"/>
    <s v="Baffle Boxes-First Generation (hydrodynamic separator)"/>
    <x v="0"/>
    <n v="2015"/>
    <n v="93"/>
    <n v="10"/>
    <s v="B"/>
    <n v="53.1"/>
    <n v="31452"/>
    <s v="Not Provided"/>
    <s v="DEP"/>
    <n v="31452"/>
    <s v="S0648"/>
  </r>
  <r>
    <s v="Brevard County"/>
    <s v="Not Provided"/>
    <s v="BC-20"/>
    <s v="Bes Management Practice (BMP) Cleanout"/>
    <s v="Not Provided"/>
    <s v="BMP Cleanout"/>
    <x v="0"/>
    <s v="Not Provided"/>
    <n v="1"/>
    <n v="1"/>
    <s v="B"/>
    <s v="Not Provided"/>
    <n v="95069"/>
    <n v="55300"/>
    <s v="Not Provided"/>
    <n v="95069"/>
    <s v="Not Provided"/>
  </r>
  <r>
    <s v="Brevard County"/>
    <s v="DEP"/>
    <s v="BC-21"/>
    <s v="Fourth Place Baffle Box"/>
    <s v="Not Provided"/>
    <s v="Baffle Boxes-First Generation (hydrodynamic separator)"/>
    <x v="0"/>
    <n v="2015"/>
    <n v="146"/>
    <n v="25.7"/>
    <s v="B"/>
    <n v="57"/>
    <n v="34037"/>
    <s v="Not Provided"/>
    <s v="DEP"/>
    <n v="34037"/>
    <s v="S0648"/>
  </r>
  <r>
    <s v="Brevard County"/>
    <s v="DEP"/>
    <s v="BC-22"/>
    <s v="Thrush 405 Baffle Box"/>
    <s v="Not Provided"/>
    <s v="Baffle Boxes-First Generation (hydrodynamic separator)"/>
    <x v="0"/>
    <n v="2015"/>
    <n v="7"/>
    <n v="0.7"/>
    <s v="B"/>
    <n v="4.3"/>
    <n v="12507"/>
    <s v="Not Provided"/>
    <s v="DEP"/>
    <n v="12507"/>
    <s v="S0648"/>
  </r>
  <r>
    <s v="Brevard County"/>
    <s v="Not Provided"/>
    <s v="BC-23"/>
    <s v="Fortenberry Pond MAPS"/>
    <s v="Not Provided"/>
    <s v="Floating Islands/ Managed Aquatic Plants Systems (MAPS)"/>
    <x v="1"/>
    <s v="N/A"/>
    <s v="N/A"/>
    <s v="N/A"/>
    <s v="N/A"/>
    <s v="N/A"/>
    <s v="N/A"/>
    <s v="N/A"/>
    <s v="N/A"/>
    <s v="N/A"/>
    <s v="N/A"/>
  </r>
  <r>
    <s v="Brevard County"/>
    <s v="DEP"/>
    <s v="BC-24"/>
    <s v="Merritt Ridge Pond 3A"/>
    <s v="Not Provided"/>
    <s v="Floating Islands/ Managed Aquatic Plants Systems (MAPS)"/>
    <x v="2"/>
    <s v="Not Provided"/>
    <n v="210"/>
    <n v="48.7"/>
    <s v="B"/>
    <n v="84.4"/>
    <n v="114914"/>
    <n v="25091"/>
    <s v="DEP"/>
    <n v="114914"/>
    <s v="G0430"/>
  </r>
  <r>
    <s v="Brevard County"/>
    <s v="Not Provided"/>
    <s v="BC-25"/>
    <s v="Cassia Phase 3"/>
    <s v="Not Provided"/>
    <s v="On-line Retention BMP"/>
    <x v="0"/>
    <n v="2013"/>
    <n v="100"/>
    <n v="0"/>
    <s v="B"/>
    <n v="18.399999999999999"/>
    <n v="100000"/>
    <s v="Not Provided"/>
    <s v="Not Provided"/>
    <n v="100000"/>
    <s v="N/A"/>
  </r>
  <r>
    <s v="Brevard County"/>
    <s v="SJRWMD"/>
    <s v="BC-26"/>
    <s v="South Patrick Drive Baffle Box "/>
    <s v="2nd generation baffle box with denitrification bioreactor."/>
    <s v="Baffle Boxes-Second Generation"/>
    <x v="2"/>
    <s v="Not Provided"/>
    <n v="132"/>
    <n v="16.899999999999999"/>
    <s v="B"/>
    <n v="73.900000000000006"/>
    <n v="625000"/>
    <s v="Not Provided"/>
    <s v="SJRWMD"/>
    <n v="625000"/>
    <s v="SJRWMD #28401"/>
  </r>
  <r>
    <s v="Brevard County"/>
    <s v="Not Provided"/>
    <s v="BC-27"/>
    <s v="Kelly Park Reuse"/>
    <s v="Not Provided"/>
    <s v="Stormwater Reuse"/>
    <x v="0"/>
    <n v="2013"/>
    <n v="19"/>
    <n v="1.3"/>
    <s v="B"/>
    <n v="32.9"/>
    <s v="Not Provided"/>
    <s v="Not Provided"/>
    <s v="Not Provided"/>
    <s v="Not Provided"/>
    <s v="N/A"/>
  </r>
  <r>
    <s v="Brevard County"/>
    <s v="Not Provided"/>
    <s v="BC-28"/>
    <s v="Patrick Air Force Base Golf Course Pond Stormwater Reuse"/>
    <s v="Not Provided"/>
    <s v="Stormwater Reuse"/>
    <x v="2"/>
    <s v="Not Provided"/>
    <n v="359.1"/>
    <n v="0"/>
    <s v="B"/>
    <n v="88.331207629214006"/>
    <s v="Not Provided"/>
    <s v="Not Provided"/>
    <s v="Not Provided"/>
    <s v="Not Provided"/>
    <s v="N/A"/>
  </r>
  <r>
    <s v="Brevard County"/>
    <s v="DEP"/>
    <s v="BC-29"/>
    <s v="Ocean Boulevard"/>
    <s v="Not Provided"/>
    <s v="Baffle Boxes-First Generation (hydrodynamic separator)"/>
    <x v="0"/>
    <n v="2015"/>
    <n v="10"/>
    <n v="1.4"/>
    <s v="B"/>
    <n v="6"/>
    <n v="12507"/>
    <s v="Not Provided"/>
    <s v="DEP"/>
    <n v="12507"/>
    <s v="S0648"/>
  </r>
  <r>
    <s v="Brevard County"/>
    <s v="N/A"/>
    <s v="BC-30"/>
    <s v="Street Sweeping"/>
    <s v="Monthly street sweeping."/>
    <s v="Street Sweeping"/>
    <x v="0"/>
    <s v="N/A"/>
    <n v="0"/>
    <n v="0"/>
    <s v="A"/>
    <s v="N/A"/>
    <s v="Not Provided"/>
    <s v="Not Provided"/>
    <s v="Not Provided"/>
    <s v="Not Provided"/>
    <s v="Not Provided"/>
  </r>
  <r>
    <s v="Brevard County"/>
    <s v="Not Provided"/>
    <s v="BC-31"/>
    <s v="BMP Cleanout"/>
    <s v="Quarterly baffle box/sediment trap cleaning."/>
    <s v="BMP Cleanout"/>
    <x v="0"/>
    <s v="N/A"/>
    <n v="0"/>
    <n v="0"/>
    <s v="A"/>
    <s v="N/A"/>
    <s v="Not Provided"/>
    <s v="Not Provided"/>
    <s v="Not Provided"/>
    <s v="Not Provided"/>
    <s v="Not Provided"/>
  </r>
  <r>
    <s v="Brevard County"/>
    <s v="DEP"/>
    <s v="BC-32"/>
    <s v="Cocoa Beach Canal Dredging"/>
    <s v="Muck removal of 84,000 cubic yards of material."/>
    <s v="Muck Removal / Restoration Dredging"/>
    <x v="0"/>
    <n v="2017"/>
    <n v="0"/>
    <n v="0"/>
    <s v="B"/>
    <s v="Not Provided"/>
    <n v="20000000"/>
    <s v="Not Provided"/>
    <s v="DEP"/>
    <n v="20000000"/>
    <s v="S0714"/>
  </r>
  <r>
    <s v="Cape Canaveral Air Force Station"/>
    <s v="N/A"/>
    <s v="CCAFS-01"/>
    <s v="Nonuse of Fertilizer/ Fertilizer Ordinance"/>
    <s v="No fertilizer is used at CCAFS."/>
    <s v="Education Efforts"/>
    <x v="0"/>
    <s v="N/A"/>
    <n v="377"/>
    <n v="107.9"/>
    <s v="A"/>
    <s v="N/A"/>
    <s v="N/A"/>
    <s v="N/A"/>
    <s v="USAF"/>
    <s v="N/A"/>
    <s v="N/A"/>
  </r>
  <r>
    <s v="Cape Canaveral Air Force Station"/>
    <s v="N/A"/>
    <s v="CCAFS-02"/>
    <s v="Street Sweeping"/>
    <s v="Removed 21.93 tons of sediment and disposed of it at a landfill."/>
    <s v="Street Sweeping"/>
    <x v="0"/>
    <s v="N/A"/>
    <n v="128"/>
    <n v="60"/>
    <s v="A"/>
    <s v="N/A"/>
    <s v="Not Provided"/>
    <n v="715"/>
    <s v="USAF"/>
    <s v="Not Provided"/>
    <s v="N/A"/>
  </r>
  <r>
    <s v="Cape Canaveral Air Force Station"/>
    <s v="N/A"/>
    <s v="CCAFS-03"/>
    <s v="Dry Detention Ponds after 2000"/>
    <s v="Identified 36 parcels subject to environmental resource permits (ERPs) that provide treatment that were not included in the PLSM model. "/>
    <s v="Dry Detention Pond"/>
    <x v="0"/>
    <s v="N/A"/>
    <s v="TBD"/>
    <s v="TBD"/>
    <s v="A"/>
    <n v="477"/>
    <s v="N/A"/>
    <n v="12000"/>
    <s v="USAF"/>
    <s v="N/A"/>
    <s v="N/A"/>
  </r>
  <r>
    <s v="Cape Canaveral Air Force Station"/>
    <s v="N/A"/>
    <s v="CCAFS-04"/>
    <s v="Online Wet Retention Ponds after 2000"/>
    <s v="Providiving 3.187 inches of additional treatment within 5 ERP drainage basins that were not included in the PLSM model."/>
    <s v="Online Retention BMPs"/>
    <x v="0"/>
    <s v="N/A"/>
    <s v="TBD"/>
    <s v="TBD"/>
    <s v="A"/>
    <n v="157"/>
    <s v="N/A"/>
    <n v="2000"/>
    <s v="USAF"/>
    <s v="N/A"/>
    <s v="N/A"/>
  </r>
  <r>
    <s v="Cape Canaveral Air Force Station"/>
    <s v="N/A"/>
    <s v="CCAFS-05"/>
    <s v="TMDL Monitoring and Data Collection"/>
    <s v="Collect stormwater and baseflow nutrient concentrations and rainfall data at 5 monitoring stations; collect baseflow and stormwater runoff flow volume data and groundwater elevation data at 6 monitoring stations."/>
    <s v="Monitoring/Data Collection"/>
    <x v="2"/>
    <s v="TBD"/>
    <s v="N/A"/>
    <s v="N/A"/>
    <s v="A"/>
    <s v="N/A"/>
    <n v="1850000"/>
    <n v="370000"/>
    <s v="USAF"/>
    <n v="1850000"/>
    <s v="N/A"/>
  </r>
  <r>
    <s v="Cape Canaveral Air Force Station"/>
    <s v="N/A"/>
    <s v="CCAFS-06"/>
    <s v="WWTF Upgrade Feasibility Study"/>
    <s v="Pilot study to improve removal rates of nitrates, TN, and ammonia in WWTF effluent. "/>
    <s v="Study"/>
    <x v="0"/>
    <n v="2017"/>
    <s v="N/A"/>
    <s v="N/A"/>
    <s v="A"/>
    <s v="N/A"/>
    <n v="46000"/>
    <s v="N/A"/>
    <s v="USAF"/>
    <n v="46000"/>
    <s v="N/A"/>
  </r>
  <r>
    <s v="Cape Canaveral Air Force Station"/>
    <s v="N/A"/>
    <s v="CCAFS-07"/>
    <s v="Invasive Vegetation Management"/>
    <s v="Wetland enhancement through annual exotic vegetation removal. "/>
    <s v="Exotic Vegetation Removal"/>
    <x v="2"/>
    <s v="TBD"/>
    <s v="N/A"/>
    <s v="N/A"/>
    <s v="A"/>
    <s v="N/A"/>
    <s v="Not Provided"/>
    <s v="Not Provided"/>
    <s v="USAF"/>
    <s v="Not Provided"/>
    <s v="N/A"/>
  </r>
  <r>
    <s v="Cape Canaveral Air Force Station"/>
    <s v="N/A"/>
    <s v="CCAFS-08"/>
    <s v="Sanitary Sewer Infiltration and Inflow Study"/>
    <s v="Conduct infiltration and inflow study of the CCAFS sanitary sewer system."/>
    <s v="Study"/>
    <x v="3"/>
    <s v="TBD"/>
    <s v="N/A"/>
    <s v="N/A"/>
    <s v="A"/>
    <s v="N/A"/>
    <s v="TBD"/>
    <s v="N/A"/>
    <s v="USAF"/>
    <s v="TBD"/>
    <s v="N/A"/>
  </r>
  <r>
    <s v="Cape Canaveral Air Force Station"/>
    <s v="N/A"/>
    <s v="CCAFS-09"/>
    <s v="Public Education"/>
    <s v="Three outreach events were held that removed 30 tons of debris through beach cleanups "/>
    <s v="Enhanced Public Education"/>
    <x v="0"/>
    <n v="2017"/>
    <s v="N/A"/>
    <s v="N/A"/>
    <s v="B"/>
    <s v="N/A"/>
    <s v="Not Provided"/>
    <s v="N/A"/>
    <s v="USAF"/>
    <s v="Not Provided"/>
    <s v="N/A"/>
  </r>
  <r>
    <s v="Cape Canaveral Air Force Station"/>
    <s v="N/A"/>
    <s v="CCAFS-10"/>
    <s v="Wetlands as Filters"/>
    <s v="CCAFS has many canals and functional culvert openings that allow connection with the Banana River Lagoon at an estimated 11 surface acres. There are approximately 65 surface acres of the Army wharf that connect with the Atlantic Ocean and 106 surface acres of the Trident wharf that connect with the Atlantic Ocean.  For CCAFS this would yield approximately 182 surface acres of jurisdictional wetlands."/>
    <s v="Natural Wetlands as Filters"/>
    <x v="3"/>
    <s v="TBD"/>
    <s v="TBD"/>
    <s v="TBD"/>
    <s v="B"/>
    <n v="182"/>
    <s v="TBD"/>
    <s v="TBD"/>
    <s v="USAF"/>
    <s v="TBD"/>
    <s v="N/A"/>
  </r>
  <r>
    <s v="City of Cape Canaveral"/>
    <s v="SJRWMD"/>
    <s v="CC-01"/>
    <s v="Holman Road Baffle Box"/>
    <s v="First generation baffle box installation near Holman Road outfall."/>
    <s v="Baffle Boxes-First Generation (hydrodynamic separator)"/>
    <x v="0"/>
    <n v="2006"/>
    <n v="1.9"/>
    <n v="2.1"/>
    <s v="B"/>
    <n v="29.2"/>
    <n v="75000"/>
    <n v="1200"/>
    <s v="SJRWMD/City"/>
    <s v="SJRWMD: $45,000  City: $30,000"/>
    <s v="N/A"/>
  </r>
  <r>
    <s v="City of Cape Canaveral"/>
    <s v="SJRWMD"/>
    <s v="CC-02"/>
    <s v="Center Street Baffle Box"/>
    <s v="First generation baffle box installation near Center Street outfall."/>
    <s v="Baffle Boxes-First Generation (hydrodynamic separator)"/>
    <x v="0"/>
    <n v="2006"/>
    <n v="7.8"/>
    <n v="8.8000000000000007"/>
    <s v="B"/>
    <n v="117.2"/>
    <n v="75000"/>
    <n v="1200"/>
    <s v="SJRWMD/City"/>
    <s v="SJRWMD: $45,000 City: $30,000"/>
    <s v="N/A"/>
  </r>
  <r>
    <s v="City of Cape Canaveral"/>
    <s v="SJRWMD"/>
    <s v="CC-03"/>
    <s v=" International Drive Baffle Box"/>
    <s v="First generation baffle box installation near International Drive outfall."/>
    <s v="Baffle Boxes-First Generation (hydrodynamic separator)"/>
    <x v="0"/>
    <n v="2006"/>
    <n v="11.6"/>
    <n v="3.5"/>
    <s v="B"/>
    <n v="179.4"/>
    <n v="75000"/>
    <n v="1200"/>
    <s v="SJRWMD/City"/>
    <s v="SJRWMD: $45,000 City: $30,000"/>
    <s v="N/A"/>
  </r>
  <r>
    <s v="City of Cape Canaveral"/>
    <s v="SJRWMD"/>
    <s v="CC-04"/>
    <s v="Angel Isles Baffle Box"/>
    <s v="First generation baffle box installation near Angel Isles outfall."/>
    <s v="Baffle Boxes-First Generation (hydrodynamic separator)"/>
    <x v="0"/>
    <n v="2006"/>
    <n v="3.5"/>
    <n v="2.8"/>
    <s v="B"/>
    <n v="105.5"/>
    <n v="75000"/>
    <n v="1200"/>
    <s v="SJRWMD/City"/>
    <s v="SJRWMD: $45,000 City: $30,000"/>
    <s v="N/A"/>
  </r>
  <r>
    <s v="City of Cape Canaveral"/>
    <s v="N/A"/>
    <s v="CC-05"/>
    <s v="WWTP Baffle Box"/>
    <s v="First generation baffle box installation at WWTP."/>
    <s v="Baffle Boxes-First Generation (hydrodynamic separator)"/>
    <x v="0"/>
    <n v="2004"/>
    <n v="0.1"/>
    <n v="0.1"/>
    <s v="B"/>
    <n v="11.1"/>
    <n v="15000"/>
    <n v="1200"/>
    <s v="City"/>
    <n v="15000"/>
    <s v="N/A"/>
  </r>
  <r>
    <s v="City of Cape Canaveral"/>
    <s v="SJRWMD"/>
    <s v="CC-06"/>
    <s v="West Central Boulevard Baffle Box"/>
    <s v="First generation baffle box installation at West Central Boulevard outfall to Central Ditch."/>
    <s v="Baffle Boxes-First Generation (hydrodynamic separator)"/>
    <x v="0"/>
    <n v="2005"/>
    <n v="12.6"/>
    <n v="13.6"/>
    <s v="B"/>
    <n v="213.4"/>
    <n v="75000"/>
    <n v="1200"/>
    <s v="SJRWMD/City"/>
    <s v="SJRWMD: $45,000 City: $30,000"/>
    <s v="N/A"/>
  </r>
  <r>
    <s v="City of Cape Canaveral"/>
    <s v="DEP"/>
    <s v="CC-07"/>
    <s v="Central Ditch Baffle Box (3 count)"/>
    <s v="Second generation baffle box installations (3) in northern portion of Central Ditch."/>
    <s v="Baffle Boxes-Second Generation"/>
    <x v="0"/>
    <n v="2009"/>
    <n v="222.8"/>
    <n v="39.6"/>
    <s v="B"/>
    <n v="248.2"/>
    <n v="443003"/>
    <n v="3600"/>
    <s v="DEP/City"/>
    <s v="DEP: $263,402   City: $179,601"/>
    <s v="G0136"/>
  </r>
  <r>
    <s v="City of Cape Canaveral"/>
    <s v="N/A"/>
    <s v="CC-08"/>
    <s v="Street Sweeping"/>
    <s v="Sweeping of streets/pedways."/>
    <s v="Street Sweeping"/>
    <x v="0"/>
    <n v="2002"/>
    <s v="Not Provided"/>
    <s v="Not Provided"/>
    <s v="B"/>
    <s v="Not Provided"/>
    <n v="12322"/>
    <s v="N/A"/>
    <s v="City"/>
    <n v="12322"/>
    <s v="N/A"/>
  </r>
  <r>
    <s v="City of Cape Canaveral"/>
    <s v="N/A"/>
    <s v="CC-09"/>
    <s v="Shorewood Drainage Sub-basin"/>
    <s v="Basin with no stormwater discharge."/>
    <s v="100% On-site Retention"/>
    <x v="0"/>
    <s v="Pre-2013"/>
    <s v="Not Provided"/>
    <s v="Not Provided"/>
    <s v="B"/>
    <n v="169.8"/>
    <s v="Not Provided"/>
    <n v="0"/>
    <s v="Private Developer"/>
    <s v="Not Provided"/>
    <s v="N/A"/>
  </r>
  <r>
    <s v="City of Cape Canaveral"/>
    <s v="N/A"/>
    <s v="CC-10"/>
    <s v="Education Efforts"/>
    <s v="FYN (Blue Life); landscape, irrigation, fertilizer, and pet waste ordinances; public service announcements (PSAs); pamphlets; website; Illicit Discharge Program."/>
    <s v="Education Efforts"/>
    <x v="0"/>
    <n v="2014"/>
    <n v="230.1"/>
    <n v="54.6"/>
    <s v="B"/>
    <s v="N/A"/>
    <n v="3100"/>
    <n v="500"/>
    <s v="City"/>
    <n v="3100"/>
    <s v="N/A"/>
  </r>
  <r>
    <s v="City of Cape Canaveral"/>
    <s v="N/A"/>
    <s v="CC-11"/>
    <s v="Manatee Park Stormwater Improvements"/>
    <s v="Wet detention pond and swales."/>
    <s v="Wet Detention Pond"/>
    <x v="0"/>
    <n v="2013"/>
    <n v="59.3"/>
    <n v="27.8"/>
    <s v="B"/>
    <n v="11.1"/>
    <n v="193000"/>
    <n v="5000"/>
    <s v="City"/>
    <n v="193000"/>
    <s v="N/A"/>
  </r>
  <r>
    <s v="City of Cape Canaveral"/>
    <s v="N/A"/>
    <s v="CC-12"/>
    <s v="Banana River Park Stormwater Improvements"/>
    <s v="Stormwater swales."/>
    <s v="Grass Swales without Swale Blocks or Raised Culverts"/>
    <x v="0"/>
    <n v="2013"/>
    <n v="40.4"/>
    <n v="10.6"/>
    <s v="B"/>
    <n v="5.3"/>
    <n v="38000"/>
    <n v="2500"/>
    <s v="City"/>
    <n v="38000"/>
    <s v="N/A"/>
  </r>
  <r>
    <s v="City of Cape Canaveral"/>
    <s v="N/A"/>
    <s v="CC-13"/>
    <s v="Exfiltration on North Atlantic Ave"/>
    <s v="Stormwater swales."/>
    <s v="Grass Swales without Swale Blocks or Raised Culverts"/>
    <x v="0"/>
    <n v="2016"/>
    <n v="102"/>
    <n v="24"/>
    <s v="B"/>
    <n v="37"/>
    <n v="436000"/>
    <n v="5000"/>
    <s v="City"/>
    <n v="436000"/>
    <s v="N/A"/>
  </r>
  <r>
    <s v="City of Cape Canaveral"/>
    <s v="DEP"/>
    <s v="CC-14"/>
    <s v="Exfiltration at Canaveral City Park"/>
    <s v="Stormwater vault system."/>
    <s v="Exfiltration Trench"/>
    <x v="0"/>
    <n v="2017"/>
    <n v="324.11"/>
    <n v="76.430000000000007"/>
    <s v="B"/>
    <n v="30.3"/>
    <n v="1820500"/>
    <n v="3500"/>
    <s v="DEP/City"/>
    <s v="DEP: $1,162,662 City: $657,838"/>
    <s v="WW050500/LP05052"/>
  </r>
  <r>
    <s v="City of Cape Canaveral"/>
    <s v="TBD"/>
    <s v="CC-15"/>
    <s v="Stormwater Pond on West Central Blvd"/>
    <s v="Not Provided"/>
    <s v="Wet Detention Pond"/>
    <x v="3"/>
    <n v="2022"/>
    <n v="1420.2"/>
    <n v="548.70000000000005"/>
    <s v="B"/>
    <n v="333.98"/>
    <n v="3130200"/>
    <n v="10000"/>
    <s v="TBD"/>
    <s v="TBD"/>
    <s v="TBD"/>
  </r>
  <r>
    <s v="City of Cape Canaveral"/>
    <s v="N/A"/>
    <s v="CC-16"/>
    <s v="Clean Out of Baffle Boxes"/>
    <s v="Maintenance of baffle boxes."/>
    <s v="BMP Cleanout"/>
    <x v="0"/>
    <n v="2014"/>
    <n v="1"/>
    <n v="0"/>
    <s v="B"/>
    <s v="N/A"/>
    <n v="4500"/>
    <n v="1500"/>
    <s v="City"/>
    <n v="4500"/>
    <s v="N/A"/>
  </r>
  <r>
    <s v="City of Cape Canaveral"/>
    <s v="N/A"/>
    <s v="CC-17"/>
    <s v="Central Ditch Dredging Project"/>
    <s v="Dredging of southern portion of Central Ditch."/>
    <s v="Muck Removal / Restoration Dredging"/>
    <x v="1"/>
    <s v="N/A"/>
    <s v="N/A"/>
    <s v="N/A"/>
    <s v="B"/>
    <s v="N/A"/>
    <s v="N/A"/>
    <s v="N/A"/>
    <s v="N/A"/>
    <s v="N/A"/>
    <s v="N/A"/>
  </r>
  <r>
    <s v="City of Cape Canaveral"/>
    <s v="N/A"/>
    <s v="CC-18"/>
    <s v="Exfiltration Piping Installations"/>
    <s v="Exfiltration piping installations – 8 locations (two additional installations are added each year)"/>
    <s v="Exfiltration Trench"/>
    <x v="1"/>
    <s v="N/A"/>
    <s v="N/A"/>
    <s v="N/A"/>
    <s v="B"/>
    <s v="N/A"/>
    <s v="N/A"/>
    <s v="N/A"/>
    <s v="N/A"/>
    <s v="N/A"/>
    <s v="N/A"/>
  </r>
  <r>
    <s v="City of Cape Canaveral"/>
    <s v="SJRWMD"/>
    <s v="CC-19"/>
    <s v="Reclaimed Water Tank"/>
    <s v="Reclaimed water system improvements (2.5 million gallon reclaimed water tank)."/>
    <s v="WWTF Upgrade"/>
    <x v="0"/>
    <n v="2016"/>
    <n v="2151"/>
    <n v="158"/>
    <s v="B"/>
    <s v="N/A"/>
    <n v="3030000"/>
    <n v="10000"/>
    <s v="SJRWMD/City"/>
    <s v="SJRWMD: $75,000 City: $2,955,000"/>
    <s v="WW050500"/>
  </r>
  <r>
    <s v="City of Cape Canaveral"/>
    <s v="DEP/ Brevard County (Save Our Indian River Lagoon Program [SOIRLP])"/>
    <s v="CC-20"/>
    <s v="Central Boulevard Baffle Box Upgrade"/>
    <s v="Baffle box upgrade to 2nd generation - Central Ditch Baffle Box"/>
    <s v="Baffle Boxes-Second Generation"/>
    <x v="0"/>
    <n v="2017"/>
    <n v="1221"/>
    <n v="207"/>
    <s v="B"/>
    <n v="509"/>
    <n v="43700"/>
    <n v="1200"/>
    <s v="DEP/City/County"/>
    <s v="DEP: $7,000 County: $34,700 City: $2,000"/>
    <s v="NF025"/>
  </r>
  <r>
    <s v="City of Cape Canaveral"/>
    <s v="Brevard County (SOIRLP)"/>
    <s v="CC-21"/>
    <s v="Holman Road Swale"/>
    <s v="Swales and biosorption activated media (BAM)."/>
    <s v="BMP Treatment Train"/>
    <x v="3"/>
    <n v="2019"/>
    <n v="14.06"/>
    <n v="5.59"/>
    <s v="B"/>
    <n v="1.62"/>
    <n v="28000"/>
    <n v="500"/>
    <s v="City/County"/>
    <s v="TBD"/>
    <s v="N/A"/>
  </r>
  <r>
    <s v="City of Cape Canaveral"/>
    <s v="Brevard County (SOIRLP)"/>
    <s v="CC-22"/>
    <s v="Cocoa Palms LID"/>
    <s v="Exfiltration and BAM wall."/>
    <s v="BMP Treatment Train"/>
    <x v="3"/>
    <n v="2018"/>
    <n v="13.29"/>
    <n v="10.44"/>
    <s v="B"/>
    <n v="3.99"/>
    <n v="85000"/>
    <n v="1000"/>
    <s v="City/County"/>
    <s v="TBD"/>
    <s v="N/A"/>
  </r>
  <r>
    <s v="City of Cape Canaveral"/>
    <s v="N/A"/>
    <s v="CC-23"/>
    <s v="Cherrie Down Park"/>
    <s v="Swale with biosorption activated media (BAM)."/>
    <s v="BMP Treatment Train"/>
    <x v="1"/>
    <s v="N/A"/>
    <s v="N/A"/>
    <s v="N/A"/>
    <s v="B"/>
    <s v="N/A"/>
    <s v="N/A"/>
    <s v="N/A"/>
    <s v="N/A"/>
    <s v="N/A"/>
    <s v="N/A"/>
  </r>
  <r>
    <s v="City of Cape Canaveral"/>
    <s v="Brevard County (SOIRLP)"/>
    <s v="CC-24"/>
    <s v="Carver Cove Swale"/>
    <s v="Swale with biosorption activated media (BAM)."/>
    <s v="BMP Treatment Train"/>
    <x v="3"/>
    <n v="2018"/>
    <n v="32.11"/>
    <n v="9.18"/>
    <s v="B"/>
    <n v="5.59"/>
    <n v="20340"/>
    <n v="1000"/>
    <s v="City/County"/>
    <s v="TBD"/>
    <s v="N/A"/>
  </r>
  <r>
    <s v="City of Cape Canaveral"/>
    <s v="Brevard County (SOIRLP)"/>
    <s v="CC-25"/>
    <s v="Cape Shores Swales (3 count)"/>
    <s v="Swale with biosorption activated media (BAM)."/>
    <s v="BMP Treatment Train"/>
    <x v="3"/>
    <n v="2018"/>
    <n v="31.26"/>
    <n v="14.88"/>
    <s v="B"/>
    <n v="7.71"/>
    <n v="108100"/>
    <n v="1000"/>
    <s v="City/County"/>
    <s v="TBD"/>
    <s v="N/A"/>
  </r>
  <r>
    <s v="City of Cape Canaveral"/>
    <s v="FDOT"/>
    <s v="CC-26"/>
    <s v="International Drive"/>
    <s v="Wet detention pond as part of SR A1A Streetscape Project."/>
    <s v="Wet Detention Pond"/>
    <x v="3"/>
    <n v="2021"/>
    <n v="600.79999999999995"/>
    <n v="283.2"/>
    <s v="B"/>
    <n v="168.14"/>
    <n v="708450"/>
    <n v="2500"/>
    <s v="FDOT"/>
    <n v="708450"/>
    <s v="N/A"/>
  </r>
  <r>
    <s v="City of Cape Canaveral"/>
    <s v="Brevard County (SOIRLP)"/>
    <s v="CC-27"/>
    <s v="Justamere Road Swale"/>
    <s v="Dry detention swale without blocks or raised culverts and media filter."/>
    <s v="BMP Treatment Train"/>
    <x v="3"/>
    <n v="2018"/>
    <n v="5.52"/>
    <n v="3.29"/>
    <s v="B"/>
    <n v="1.21"/>
    <n v="7800"/>
    <n v="1000"/>
    <s v="City/County"/>
    <s v="TBD"/>
    <s v="N/A"/>
  </r>
  <r>
    <s v="City of Cape Canaveral"/>
    <s v="Brevard County (SOIRLP)"/>
    <s v="CC-28"/>
    <s v="Hitching Post Berm"/>
    <s v="Berm and associated grass swale without blocks or raised culverts and media filter."/>
    <s v="BMP Treatment Train"/>
    <x v="3"/>
    <n v="2018"/>
    <n v="27.06"/>
    <n v="22.08"/>
    <s v="B"/>
    <n v="9.0500000000000007"/>
    <n v="40300"/>
    <n v="1000"/>
    <s v="City/County"/>
    <s v="TBD"/>
    <s v="N/A"/>
  </r>
  <r>
    <s v="City of Cape Canaveral"/>
    <s v="Brevard County (SOIRLP)"/>
    <s v="CC-29"/>
    <s v="Center Street Pond"/>
    <s v="Wet detention pond."/>
    <s v="Wet Detention Pond"/>
    <x v="3"/>
    <n v="2020"/>
    <n v="413"/>
    <n v="190.3"/>
    <s v="B"/>
    <n v="106.41"/>
    <n v="277850"/>
    <n v="2500"/>
    <s v="City/County"/>
    <s v="TBD"/>
    <s v="N/A"/>
  </r>
  <r>
    <s v="City of Cape Canaveral"/>
    <s v="Brevard County (SOIRLP)"/>
    <s v="CC-30"/>
    <s v="Holman Road Pond"/>
    <s v="Wet detension pond."/>
    <s v="Wet Detention Pond"/>
    <x v="3"/>
    <n v="2021"/>
    <n v="36.200000000000003"/>
    <n v="37.200000000000003"/>
    <s v="B"/>
    <n v="29.16"/>
    <n v="235630"/>
    <n v="2500"/>
    <s v="City/County"/>
    <s v="TBD"/>
    <s v="N/A"/>
  </r>
  <r>
    <s v="City of Cape Canaveral"/>
    <s v="Brevard County (SOIRLP)"/>
    <s v="CC-31"/>
    <s v="Costa Del Sol Pond"/>
    <s v="Dry detention swale without blocks or raised culverts and media filter."/>
    <s v="Dry Detention Pond"/>
    <x v="3"/>
    <n v="2019"/>
    <n v="10.039999999999999"/>
    <n v="2.5099999999999998"/>
    <s v="B"/>
    <n v="2.66"/>
    <n v="58120"/>
    <n v="2500"/>
    <s v="City/County"/>
    <s v="TBD"/>
    <s v="N/A"/>
  </r>
  <r>
    <s v="City of Cape Canaveral"/>
    <s v="Brevard County (SOIRLP)"/>
    <s v="CC-32"/>
    <s v="Costa del Sol Denitrificaiton Wall"/>
    <s v="Exfiltration and BAM wall."/>
    <s v="BMP Treatment Train"/>
    <x v="3"/>
    <n v="2021"/>
    <n v="38.72"/>
    <n v="33.67"/>
    <s v="B"/>
    <n v="13.04"/>
    <n v="18800"/>
    <n v="1000"/>
    <s v="City/County"/>
    <s v="TBD"/>
    <s v="N/A"/>
  </r>
  <r>
    <s v="City of Cocoa Beach"/>
    <s v="Not Provided"/>
    <s v="CB-01"/>
    <s v="Maritime Hammock Preserve Alum Pond"/>
    <s v="Wet detention pond with alum."/>
    <s v="Wet Detention Pond"/>
    <x v="0"/>
    <n v="2013"/>
    <n v="746"/>
    <n v="317.5"/>
    <s v="B"/>
    <n v="130.19999999999999"/>
    <n v="960000"/>
    <n v="20000"/>
    <s v="Not Provided"/>
    <n v="960000"/>
    <s v="N/A"/>
  </r>
  <r>
    <s v="City of Cocoa Beach"/>
    <s v="DEP"/>
    <s v="CB-02"/>
    <s v="Ocean Beach Blvd Bioretention/Exfiltration"/>
    <s v="Not Provided"/>
    <s v="Grass Swales without Swale Blocks or Raised Culverts"/>
    <x v="0"/>
    <n v="2013"/>
    <n v="218"/>
    <n v="46.3"/>
    <s v="B"/>
    <n v="50.6"/>
    <n v="1150000"/>
    <n v="18000"/>
    <s v="DEP"/>
    <n v="1150000"/>
    <s v="G0170"/>
  </r>
  <r>
    <s v="City of Cocoa Beach"/>
    <s v="Not Provided"/>
    <s v="CB-03"/>
    <s v="2nd Street South PCD"/>
    <s v="Not Provided"/>
    <s v="Baffle Boxes-Second Generation"/>
    <x v="0"/>
    <n v="2013"/>
    <n v="135"/>
    <n v="25"/>
    <s v="B"/>
    <n v="52"/>
    <n v="181974"/>
    <n v="1200"/>
    <s v="Not Provided"/>
    <n v="181974"/>
    <s v="N/A"/>
  </r>
  <r>
    <s v="City of Cocoa Beach"/>
    <s v="Not Provided"/>
    <s v="CB-04"/>
    <s v="Cottage Row Parking Facilities Lot "/>
    <s v="Not Provided"/>
    <s v="Exfiltration Trench"/>
    <x v="0"/>
    <n v="2013"/>
    <n v="37"/>
    <n v="9.1"/>
    <s v="B"/>
    <n v="2.4"/>
    <s v="Not Provided"/>
    <n v="500"/>
    <s v="Not Provided"/>
    <s v="Not Provided"/>
    <s v="N/A"/>
  </r>
  <r>
    <s v="City of Cocoa Beach"/>
    <s v="Not Provided"/>
    <s v="CB-05"/>
    <s v="Shepard Park Improvements"/>
    <s v="Not Provided"/>
    <s v="Dry Detention Pond"/>
    <x v="0"/>
    <n v="2013"/>
    <n v="0"/>
    <n v="0"/>
    <s v="B"/>
    <n v="0"/>
    <s v="Not Provided"/>
    <n v="3000"/>
    <s v="Not Provided"/>
    <s v="Not Provided"/>
    <s v="N/A"/>
  </r>
  <r>
    <s v="City of Cocoa Beach"/>
    <s v="Not Provided"/>
    <s v="CB-06"/>
    <s v="Burris Way (alley) Exfiltration"/>
    <s v="Not Provided"/>
    <s v="Exfiltration Trench"/>
    <x v="0"/>
    <n v="2013"/>
    <n v="4"/>
    <n v="1"/>
    <s v="B"/>
    <n v="0.8"/>
    <s v="Not Provided"/>
    <n v="1200"/>
    <s v="Not Provided"/>
    <s v="Not Provided"/>
    <s v="N/A"/>
  </r>
  <r>
    <s v="City of Cocoa Beach"/>
    <s v="Not Provided"/>
    <s v="CB-07"/>
    <s v="Brevard Av Exfiltration"/>
    <s v="Not Provided"/>
    <s v="Grass Swales without Swale Blocks or Raised Culverts"/>
    <x v="0"/>
    <n v="2013"/>
    <n v="5"/>
    <n v="1"/>
    <s v="B"/>
    <n v="0.5"/>
    <s v="Not Provided"/>
    <n v="300"/>
    <s v="Not Provided"/>
    <s v="Not Provided"/>
    <s v="N/A"/>
  </r>
  <r>
    <s v="City of Cocoa Beach"/>
    <s v="Not Provided"/>
    <s v="CB-08"/>
    <s v="50 Danube River Exfiltration"/>
    <s v="Not Provided"/>
    <s v="Grass Swales without Swale Blocks or Raised Culverts"/>
    <x v="0"/>
    <n v="2013"/>
    <n v="1"/>
    <n v="0.1"/>
    <s v="B"/>
    <n v="1.5"/>
    <s v="Not Provided"/>
    <n v="300"/>
    <s v="Not Provided"/>
    <s v="Not Provided"/>
    <s v="N/A"/>
  </r>
  <r>
    <s v="City of Cocoa Beach"/>
    <s v="Not Provided"/>
    <s v="CB-09"/>
    <s v="12 Bougainvillea Dr. Exfiltration"/>
    <s v="Not Provided"/>
    <s v="Grass Swales without Swale Blocks or Raised Culverts"/>
    <x v="0"/>
    <n v="2013"/>
    <n v="1"/>
    <n v="0.1"/>
    <s v="B"/>
    <n v="1"/>
    <s v="Not Provided"/>
    <n v="300"/>
    <s v="Not Provided"/>
    <s v="Not Provided"/>
    <s v="N/A"/>
  </r>
  <r>
    <s v="City of Cocoa Beach"/>
    <s v="Not Provided"/>
    <s v="CB-10"/>
    <s v="9th St S &amp; Brevard Ave. Exfiltration"/>
    <s v="Not Provided"/>
    <s v="Grass Swales without Swale Blocks or Raised Culverts"/>
    <x v="0"/>
    <n v="2013"/>
    <n v="0.1"/>
    <n v="0.02"/>
    <s v="B"/>
    <n v="0.1"/>
    <s v="Not Provided"/>
    <n v="300"/>
    <s v="Not Provided"/>
    <s v="Not Provided"/>
    <s v="N/A"/>
  </r>
  <r>
    <s v="City of Cocoa Beach"/>
    <s v="Not Provided"/>
    <s v="CB-11"/>
    <s v="321 Jack Dr. Exfiltration"/>
    <s v="Not Provided"/>
    <s v="Grass Swales without Swale Blocks or Raised Culverts"/>
    <x v="0"/>
    <n v="2013"/>
    <n v="0.42"/>
    <n v="0.06"/>
    <s v="B"/>
    <n v="0.7"/>
    <s v="Not Provided"/>
    <n v="120"/>
    <s v="Not Provided"/>
    <s v="Not Provided"/>
    <s v="N/A"/>
  </r>
  <r>
    <s v="City of Cocoa Beach"/>
    <s v="Not Provided"/>
    <s v="CB-12"/>
    <s v="125 Cedar Ave. Exfiltration"/>
    <s v="Not Provided"/>
    <s v="Grass Swales without Swale Blocks or Raised Culverts"/>
    <x v="0"/>
    <n v="2013"/>
    <n v="1"/>
    <n v="0.2"/>
    <s v="B"/>
    <n v="0.9"/>
    <s v="Not Provided"/>
    <n v="120"/>
    <s v="Not Provided"/>
    <s v="Not Provided"/>
    <s v="N/A"/>
  </r>
  <r>
    <s v="City of Cocoa Beach"/>
    <s v="Not Provided"/>
    <s v="CB-13"/>
    <s v="Meade Bioretention"/>
    <s v="Not Provided"/>
    <s v="Grass Swales without Swale Blocks or Raised Culverts"/>
    <x v="0"/>
    <n v="2013"/>
    <n v="0.01"/>
    <n v="0"/>
    <s v="B"/>
    <n v="0.01"/>
    <s v="Not Provided"/>
    <n v="300"/>
    <s v="Not Provided"/>
    <s v="Not Provided"/>
    <s v="N/A"/>
  </r>
  <r>
    <s v="City of Cocoa Beach"/>
    <s v="Not Provided"/>
    <s v="CB-14"/>
    <s v="Osceola E Bioretention"/>
    <s v="Not Provided"/>
    <s v="Grass Swales without Swale Blocks or Raised Culverts"/>
    <x v="0"/>
    <n v="2013"/>
    <s v="Not Provided"/>
    <s v="Not Provided"/>
    <s v="Outside Model Boundary"/>
    <s v="Not Provided"/>
    <s v="Not Provided"/>
    <s v="Not Provided"/>
    <s v="Not Provided"/>
    <s v="Not Provided"/>
    <s v="N/A"/>
  </r>
  <r>
    <s v="City of Cocoa Beach"/>
    <s v="Not Provided"/>
    <s v="CB-15"/>
    <s v="4th St. N Bioretention"/>
    <s v="Not Provided"/>
    <s v="Grass Swales without Swale Blocks or Raised Culverts"/>
    <x v="0"/>
    <n v="2013"/>
    <n v="1"/>
    <n v="0.3"/>
    <s v="B"/>
    <n v="0.1"/>
    <s v="Not Provided"/>
    <n v="120"/>
    <s v="Not Provided"/>
    <s v="Not Provided"/>
    <s v="N/A"/>
  </r>
  <r>
    <s v="City of Cocoa Beach"/>
    <s v="Not Provided"/>
    <s v="CB-16"/>
    <s v="4th St. S Bioretention"/>
    <s v="Not Provided"/>
    <s v="Grass Swales without Swale Blocks or Raised Culverts"/>
    <x v="0"/>
    <n v="2013"/>
    <n v="2"/>
    <n v="0.5"/>
    <s v="B"/>
    <n v="0.5"/>
    <s v="Not Provided"/>
    <n v="120"/>
    <s v="Not Provided"/>
    <s v="Not Provided"/>
    <s v="N/A"/>
  </r>
  <r>
    <s v="City of Cocoa Beach"/>
    <s v="Not Provided"/>
    <s v="CB-17"/>
    <s v="3rd St South N Bioretention"/>
    <s v="Not Provided"/>
    <s v="Grass Swales without Swale Blocks or Raised Culverts"/>
    <x v="0"/>
    <n v="2013"/>
    <s v="Not Provided"/>
    <s v="Not Provided"/>
    <s v="Outside Model Boundary"/>
    <s v="Not Provided"/>
    <s v="Not Provided"/>
    <s v="Not Provided"/>
    <s v="Not Provided"/>
    <s v="Not Provided"/>
    <s v="N/A"/>
  </r>
  <r>
    <s v="City of Cocoa Beach"/>
    <s v="Not Provided"/>
    <s v="CB-18"/>
    <s v="3rd St South S Bioretention"/>
    <s v="Not Provided"/>
    <s v="Grass Swales without Swale Blocks or Raised Culverts"/>
    <x v="0"/>
    <n v="2013"/>
    <s v="Not Provided"/>
    <s v="Not Provided"/>
    <s v="Outside Model Boundary"/>
    <s v="Not Provided"/>
    <s v="Not Provided"/>
    <s v="Not Provided"/>
    <s v="Not Provided"/>
    <s v="Not Provided"/>
    <s v="N/A"/>
  </r>
  <r>
    <s v="City of Cocoa Beach"/>
    <s v="Not Provided"/>
    <s v="CB-19"/>
    <s v="Holiday Lane Bioretention"/>
    <s v="Not Provided"/>
    <s v="Grass Swales without Swale Blocks or Raised Culverts"/>
    <x v="0"/>
    <n v="2013"/>
    <n v="34"/>
    <n v="7.3"/>
    <s v="B"/>
    <n v="5.2"/>
    <s v="Not Provided"/>
    <n v="1200"/>
    <s v="Not Provided"/>
    <s v="Not Provided"/>
    <s v="N/A"/>
  </r>
  <r>
    <s v="City of Cocoa Beach"/>
    <s v="Not Provided"/>
    <s v="CB-20"/>
    <s v="S Banana/St. Lucie Swale"/>
    <s v="Not Provided"/>
    <s v="Grass Swales without Swale Blocks or Raised Culverts"/>
    <x v="0"/>
    <n v="2013"/>
    <n v="13"/>
    <n v="2.8"/>
    <s v="B"/>
    <n v="3.8"/>
    <s v="Not Provided"/>
    <n v="120"/>
    <s v="Not Provided"/>
    <s v="Not Provided"/>
    <s v="N/A"/>
  </r>
  <r>
    <s v="City of Cocoa Beach"/>
    <s v="Not Provided"/>
    <s v="CB-21"/>
    <s v="S Banana/St. Lucie Swale"/>
    <s v="Not Provided"/>
    <s v="Grass Swales without Swale Blocks or Raised Culverts"/>
    <x v="0"/>
    <n v="2013"/>
    <n v="2"/>
    <n v="0.2"/>
    <s v="B"/>
    <n v="0.8"/>
    <s v="Not Provided"/>
    <n v="120"/>
    <s v="Not Provided"/>
    <s v="Not Provided"/>
    <s v="N/A"/>
  </r>
  <r>
    <s v="City of Cocoa Beach"/>
    <s v="Not Provided"/>
    <s v="CB-22"/>
    <s v="Banana River Retention"/>
    <s v="Not Provided"/>
    <s v="Dry Detention Pond"/>
    <x v="0"/>
    <n v="2013"/>
    <n v="2"/>
    <n v="0.4"/>
    <s v="B"/>
    <n v="1.1000000000000001"/>
    <s v="Not Provided"/>
    <n v="1500"/>
    <s v="Not Provided"/>
    <s v="Not Provided"/>
    <s v="N/A"/>
  </r>
  <r>
    <s v="City of Cocoa Beach"/>
    <s v="Not Provided"/>
    <s v="CB-23"/>
    <s v="Banana River Retention"/>
    <s v="Not Provided"/>
    <s v="Dry Detention Pond"/>
    <x v="0"/>
    <n v="2013"/>
    <n v="2"/>
    <n v="0.5"/>
    <s v="B"/>
    <n v="1.4"/>
    <s v="Not Provided"/>
    <n v="1500"/>
    <s v="Not Provided"/>
    <s v="Not Provided"/>
    <s v="N/A"/>
  </r>
  <r>
    <s v="City of Cocoa Beach"/>
    <s v="Not Provided"/>
    <s v="CB-24"/>
    <s v="Minutemen/Country Club Swale"/>
    <s v="Not Provided"/>
    <s v="Grass Swales without Swale Blocks or Raised Culverts"/>
    <x v="0"/>
    <n v="2013"/>
    <n v="7"/>
    <n v="1.6"/>
    <s v="B"/>
    <n v="1.9"/>
    <s v="Not Provided"/>
    <n v="120"/>
    <s v="Not Provided"/>
    <s v="Not Provided"/>
    <s v="N/A"/>
  </r>
  <r>
    <s v="City of Cocoa Beach"/>
    <s v="Not Provided"/>
    <s v="CB-25"/>
    <s v="Palm Ave. Swale"/>
    <s v="Not Provided"/>
    <s v="Grass Swales without Swale Blocks or Raised Culverts"/>
    <x v="0"/>
    <n v="2013"/>
    <n v="0"/>
    <n v="0"/>
    <s v="B"/>
    <n v="0.2"/>
    <s v="Not Provided"/>
    <n v="120"/>
    <s v="Not Provided"/>
    <s v="Not Provided"/>
    <s v="N/A"/>
  </r>
  <r>
    <s v="City of Cocoa Beach"/>
    <s v="Not Provided"/>
    <s v="CB-26"/>
    <s v="Minutemen/CBHS"/>
    <s v="Not Provided"/>
    <s v="Grass Swales without Swale Blocks or Raised Culverts"/>
    <x v="0"/>
    <n v="2013"/>
    <n v="20"/>
    <n v="4.8"/>
    <s v="B"/>
    <n v="1.3"/>
    <s v="Not Provided"/>
    <n v="500"/>
    <s v="Not Provided"/>
    <s v="Not Provided"/>
    <s v="N/A"/>
  </r>
  <r>
    <s v="City of Cocoa Beach"/>
    <s v="Not Provided"/>
    <s v="CB-27"/>
    <s v="Minutemen/PW Complex Swale"/>
    <s v="Not Provided"/>
    <s v="Grass Swales without Swale Blocks or Raised Culverts"/>
    <x v="0"/>
    <n v="2013"/>
    <n v="4"/>
    <n v="0.8"/>
    <s v="B"/>
    <n v="1.9"/>
    <s v="Not Provided"/>
    <n v="3000"/>
    <s v="Not Provided"/>
    <s v="Not Provided"/>
    <s v="N/A"/>
  </r>
  <r>
    <s v="City of Cocoa Beach"/>
    <s v="Not Provided"/>
    <s v="CB-28"/>
    <s v="Tom Warriner/PW Complex Swale"/>
    <s v="Not Provided"/>
    <s v="Grass Swales without Swale Blocks or Raised Culverts"/>
    <x v="0"/>
    <n v="2013"/>
    <n v="3"/>
    <n v="0.4"/>
    <s v="B"/>
    <n v="0.9"/>
    <s v="Not Provided"/>
    <n v="3000"/>
    <s v="Not Provided"/>
    <s v="Not Provided"/>
    <s v="N/A"/>
  </r>
  <r>
    <s v="City of Cocoa Beach"/>
    <s v="Not Provided"/>
    <s v="CB-29"/>
    <s v="Shepard Drive Swale"/>
    <s v="Not Provided"/>
    <s v="Grass Swales without Swale Blocks or Raised Culverts"/>
    <x v="0"/>
    <n v="2013"/>
    <n v="3"/>
    <n v="0.5"/>
    <s v="B"/>
    <n v="0.6"/>
    <s v="Not Provided"/>
    <n v="120"/>
    <s v="Not Provided"/>
    <s v="Not Provided"/>
    <s v="N/A"/>
  </r>
  <r>
    <s v="City of Cocoa Beach"/>
    <s v="Not Provided"/>
    <s v="CB-30"/>
    <s v="Shepard Drive Swale"/>
    <s v="Not Provided"/>
    <s v="Grass Swales without Swale Blocks or Raised Culverts"/>
    <x v="0"/>
    <n v="2013"/>
    <n v="5"/>
    <n v="0.4"/>
    <s v="B"/>
    <n v="1.3"/>
    <s v="Not Provided"/>
    <n v="120"/>
    <s v="Not Provided"/>
    <s v="Not Provided"/>
    <s v="N/A"/>
  </r>
  <r>
    <s v="City of Cocoa Beach"/>
    <s v="Not Provided"/>
    <s v="CB-31"/>
    <s v="W Gadsden/ Banana Swale"/>
    <s v="Not Provided"/>
    <s v="Grass Swales without Swale Blocks or Raised Culverts"/>
    <x v="1"/>
    <s v="N/A"/>
    <s v="N/A"/>
    <s v="N/A"/>
    <s v="N/A"/>
    <s v="N/A"/>
    <s v="N/A"/>
    <s v="N/A"/>
    <s v="N/A"/>
    <s v="N/A"/>
    <s v="N/A"/>
  </r>
  <r>
    <s v="City of Cocoa Beach"/>
    <s v="Not Provided"/>
    <s v="CB-32"/>
    <s v="W Pasco/Banana Swale"/>
    <s v="Not Provided"/>
    <s v="Grass Swales without Swale Blocks or Raised Culverts"/>
    <x v="0"/>
    <n v="2013"/>
    <n v="2"/>
    <n v="0.2"/>
    <s v="B"/>
    <n v="1"/>
    <s v="Not Provided"/>
    <n v="120"/>
    <s v="Not Provided"/>
    <s v="Not Provided"/>
    <s v="N/A"/>
  </r>
  <r>
    <s v="City of Cocoa Beach"/>
    <s v="Not Provided"/>
    <s v="CB-33"/>
    <s v="W Pasco/Banana Swale"/>
    <s v="Not Provided"/>
    <s v="Grass Swales without Swale Blocks or Raised Culverts"/>
    <x v="0"/>
    <n v="2013"/>
    <n v="3"/>
    <n v="0.4"/>
    <s v="B"/>
    <n v="2.2999999999999998"/>
    <s v="Not Provided"/>
    <n v="120"/>
    <s v="Not Provided"/>
    <s v="Not Provided"/>
    <s v="N/A"/>
  </r>
  <r>
    <s v="City of Cocoa Beach"/>
    <s v="Not Provided"/>
    <s v="CB-34"/>
    <s v="32 Inlet Baskets"/>
    <s v="Not Provided"/>
    <s v="BMP Cleanout"/>
    <x v="0"/>
    <n v="2013"/>
    <n v="32"/>
    <n v="10.3"/>
    <s v="B"/>
    <s v="Not Provided"/>
    <s v="Not Provided"/>
    <n v="1200"/>
    <s v="Not Provided"/>
    <s v="Not Provided"/>
    <s v="N/A"/>
  </r>
  <r>
    <s v="City of Cocoa Beach"/>
    <s v="Not Provided"/>
    <s v="CB-35"/>
    <s v="Dino Museum/ Store,  250 W CB Causeway"/>
    <s v="Not Provided"/>
    <s v="Dry Detention Pond"/>
    <x v="0"/>
    <n v="2013"/>
    <n v="4"/>
    <n v="0.9"/>
    <s v="B"/>
    <n v="2.1"/>
    <s v="Not Provided"/>
    <n v="120"/>
    <s v="Not Provided"/>
    <s v="Not Provided"/>
    <s v="N/A"/>
  </r>
  <r>
    <s v="City of Cocoa Beach"/>
    <s v="Not Provided"/>
    <s v="CB-36"/>
    <s v="332-334 N Orlando"/>
    <s v="Not Provided"/>
    <s v="Dry Detention Pond"/>
    <x v="0"/>
    <n v="2013"/>
    <n v="1"/>
    <n v="0.2"/>
    <s v="B"/>
    <n v="0.5"/>
    <s v="Not Provided"/>
    <n v="120"/>
    <s v="Not Provided"/>
    <s v="Not Provided"/>
    <s v="N/A"/>
  </r>
  <r>
    <s v="City of Cocoa Beach"/>
    <s v="Not Provided"/>
    <s v="CB-37"/>
    <s v="Street Sweeping"/>
    <s v="Not Provided"/>
    <s v="Street Sweeping"/>
    <x v="0"/>
    <s v="N/A"/>
    <n v="84"/>
    <n v="54"/>
    <s v="B"/>
    <s v="N/A"/>
    <n v="38405"/>
    <n v="38405"/>
    <s v="Not Provided"/>
    <n v="38405"/>
    <s v="N/A"/>
  </r>
  <r>
    <s v="City of Cocoa Beach"/>
    <s v="N/A"/>
    <s v="CB-38"/>
    <s v="Education Efforts"/>
    <s v="FYN; landscape, irrigation, fertilizer, and pet waste ordinances; public service announcements (PSAs); pamphlets; website; Illicit Discharge Program."/>
    <s v="Education Efforts"/>
    <x v="0"/>
    <s v="N/A"/>
    <n v="1098"/>
    <n v="228"/>
    <s v="B"/>
    <s v="N/A"/>
    <n v="5000"/>
    <n v="5000"/>
    <s v="Not Provided"/>
    <n v="5000"/>
    <s v="N/A"/>
  </r>
  <r>
    <s v="City of Cocoa Beach"/>
    <s v="DEP"/>
    <s v="CB-39"/>
    <s v="Minutemen Corridor Stormwater Improvement/LID"/>
    <s v="Bioretention/rain tanks/ paver storage/nutrient sorption media."/>
    <s v="BMP Treatment Train"/>
    <x v="2"/>
    <s v="Not Provided"/>
    <n v="330"/>
    <n v="74.2"/>
    <s v="B"/>
    <n v="20.3"/>
    <n v="4625328"/>
    <n v="12000"/>
    <s v="DEP"/>
    <n v="4625328"/>
    <s v="G0412"/>
  </r>
  <r>
    <s v="City of Cocoa Beach"/>
    <s v="Not Provided"/>
    <s v="CB-40"/>
    <s v="Downtown North LID"/>
    <s v="LID/nutrient sorption media."/>
    <s v="BMP Treatment Train"/>
    <x v="2"/>
    <s v="Not Provided"/>
    <s v="TBD"/>
    <s v="TBD"/>
    <s v="B"/>
    <n v="43"/>
    <s v="Not Provided"/>
    <s v="Not Provided"/>
    <s v="Not Provided"/>
    <s v="Not Provided"/>
    <s v="N/A"/>
  </r>
  <r>
    <s v="City of Indian Harbour Beach"/>
    <s v="Not Provided"/>
    <s v="IHB-01"/>
    <s v="N. Osceola Drive"/>
    <s v="Not Provided"/>
    <s v="Exfiltration Trench"/>
    <x v="0"/>
    <n v="2013"/>
    <n v="41.79"/>
    <n v="5.92"/>
    <s v="B"/>
    <n v="8.6161747651000002"/>
    <n v="60000"/>
    <n v="500"/>
    <s v="Not Provided"/>
    <n v="60000"/>
    <s v="N/A"/>
  </r>
  <r>
    <s v="City of Indian Harbour Beach"/>
    <s v="Not Provided"/>
    <s v="IHB-02"/>
    <s v="Datura Drive"/>
    <s v="Not Provided"/>
    <s v="Exfiltration Trench"/>
    <x v="0"/>
    <n v="2013"/>
    <n v="3.53"/>
    <n v="0.53"/>
    <s v="B"/>
    <n v="0.72658181820000001"/>
    <n v="50000"/>
    <n v="300"/>
    <s v="Not Provided"/>
    <n v="50000"/>
    <s v="N/A"/>
  </r>
  <r>
    <s v="City of Indian Harbour Beach"/>
    <s v="Not Provided"/>
    <s v="IHB-03"/>
    <s v="Coquina Palms Subdivision"/>
    <s v="Not Provided"/>
    <s v="100% On-site Retention"/>
    <x v="0"/>
    <n v="2013"/>
    <n v="61"/>
    <n v="10.9"/>
    <s v="B"/>
    <n v="6.3"/>
    <s v="Not Provided"/>
    <s v="Not Provided"/>
    <s v="Not Provided"/>
    <s v="Not Provided"/>
    <s v="N/A"/>
  </r>
  <r>
    <s v="City of Indian Harbour Beach"/>
    <s v="Not Provided"/>
    <s v="IHB-04"/>
    <s v="Education Efforts"/>
    <s v="Landscape, irrigation, fertilizer, and pet waste ordinances; pamphlets, illicit discharge program."/>
    <s v="Education Efforts"/>
    <x v="0"/>
    <s v="N/A"/>
    <n v="647.79500000000007"/>
    <n v="120.81899999999999"/>
    <s v="B"/>
    <s v="N/A"/>
    <s v="Not Provided"/>
    <s v="Not Provided"/>
    <s v="Not Provided"/>
    <s v="Not Provided"/>
    <s v="N/A"/>
  </r>
  <r>
    <s v="City of Indian Harbour Beach"/>
    <s v="Not Provided"/>
    <s v="IHB-05"/>
    <s v="Inlet Cleaning"/>
    <s v="Not Provided"/>
    <s v="BMP Cleanout"/>
    <x v="0"/>
    <s v="Not Provided"/>
    <n v="7.12"/>
    <n v="4.37"/>
    <s v="B"/>
    <s v="Not Provided"/>
    <s v="Not Provided"/>
    <s v="Not Provided"/>
    <s v="Not Provided"/>
    <s v="Not Provided"/>
    <s v="N/A"/>
  </r>
  <r>
    <s v="City of Indian Harbour Beach"/>
    <s v="N/A"/>
    <s v="IHB-06"/>
    <s v="Street Sweeping"/>
    <s v="Not Provided"/>
    <s v="Street Sweeping"/>
    <x v="0"/>
    <s v="N/A"/>
    <n v="149.71"/>
    <n v="95.99"/>
    <s v="B"/>
    <s v="N/A"/>
    <n v="9800"/>
    <s v="Not Provided"/>
    <s v="Not Provided"/>
    <n v="9800"/>
    <s v="N/A"/>
  </r>
  <r>
    <s v="City of Indian Harbour Beach"/>
    <s v="Not Provided"/>
    <s v="IHB-07"/>
    <s v="Gleason Park Phase 1"/>
    <s v="Not Provided"/>
    <s v="Wet Detention Pond"/>
    <x v="0"/>
    <n v="2013"/>
    <n v="382.2"/>
    <n v="118.56"/>
    <s v="B"/>
    <n v="128.88"/>
    <n v="135000"/>
    <n v="200"/>
    <s v="Not Provided"/>
    <n v="135000"/>
    <s v="N/A"/>
  </r>
  <r>
    <s v="City of Indian Harbour Beach"/>
    <s v="Not Provided"/>
    <s v="IHB-08"/>
    <s v="Atlantic Ave Swale"/>
    <s v="Not Provided"/>
    <s v="Grass Swales without Swale Blocks or Raised Culverts"/>
    <x v="0"/>
    <n v="2013"/>
    <n v="8"/>
    <n v="1.2"/>
    <s v="B"/>
    <n v="0.96"/>
    <s v="Not Provided"/>
    <s v="Not Provided"/>
    <s v="Not Provided"/>
    <s v="Not Provided"/>
    <s v="N/A"/>
  </r>
  <r>
    <s v="City of Indian Harbour Beach"/>
    <s v="Not Provided"/>
    <s v="IHB-09"/>
    <s v="Gleason Park Irrigation"/>
    <s v="Not Provided"/>
    <s v="Reclaimed Water"/>
    <x v="0"/>
    <s v="Not Provided"/>
    <n v="47.78"/>
    <n v="8.3800000000000008"/>
    <s v="B"/>
    <n v="128.88"/>
    <s v="Not Provided"/>
    <s v="Not Provided"/>
    <s v="Not Provided"/>
    <s v="Not Provided"/>
    <s v="N/A"/>
  </r>
  <r>
    <s v="City of Indian Harbour Beach"/>
    <s v="Not Provided"/>
    <s v="IHB-10"/>
    <s v="Indian Harbour Beach Condo Pond"/>
    <s v=" (Previously named Lift Station Pond)"/>
    <s v="Dry Detention Pond"/>
    <x v="0"/>
    <n v="2016"/>
    <n v="47.66"/>
    <n v="8.3699999999999992"/>
    <s v="B"/>
    <n v="2.35"/>
    <n v="13277"/>
    <s v="Not Provided"/>
    <s v="Not Provided"/>
    <n v="13277"/>
    <s v="N/A"/>
  </r>
  <r>
    <s v="City of Indian Harbour Beach"/>
    <s v="Not Provided"/>
    <s v="IHB-11"/>
    <s v="Fire Station Exfiltration"/>
    <s v="Not Provided"/>
    <s v="Exfiltration Trench"/>
    <x v="0"/>
    <n v="2013"/>
    <n v="9"/>
    <n v="1"/>
    <s v="B"/>
    <n v="2.8"/>
    <n v="11481"/>
    <s v="Not Provided"/>
    <s v="Not Provided"/>
    <n v="11481"/>
    <s v="N/A"/>
  </r>
  <r>
    <s v="City of Indian Harbour Beach"/>
    <s v="Not Provided"/>
    <s v="IHB-12"/>
    <s v="School Road at Park Drive"/>
    <s v="Not Provided"/>
    <s v="Exfiltration Trench"/>
    <x v="0"/>
    <n v="2013"/>
    <n v="15"/>
    <n v="3.1"/>
    <s v="B"/>
    <n v="15.8"/>
    <s v="Not Provided"/>
    <s v="Not Provided"/>
    <s v="Not Provided"/>
    <s v="Not Provided"/>
    <s v="N/A"/>
  </r>
  <r>
    <s v="City of Indian Harbour Beach"/>
    <s v="Not Provided"/>
    <s v="IHB-13"/>
    <s v="Yuma Drive Exfiltration"/>
    <s v="Not Provided"/>
    <s v="Exfiltration Trench"/>
    <x v="0"/>
    <n v="2014"/>
    <n v="26"/>
    <n v="5.8"/>
    <s v="B"/>
    <n v="11.15"/>
    <s v="Not Provided"/>
    <s v="Not Provided"/>
    <s v="Not Provided"/>
    <s v="Not Provided"/>
    <s v="N/A"/>
  </r>
  <r>
    <s v="City of Indian Harbour Beach"/>
    <s v="Not Provided"/>
    <s v="IHB-14"/>
    <s v="Lime Bay Exfiltration"/>
    <s v="Not Provided"/>
    <s v="Exfiltration Trench"/>
    <x v="0"/>
    <n v="2014"/>
    <n v="27.75"/>
    <n v="6.17"/>
    <s v="B"/>
    <n v="31.22"/>
    <s v="Not Provided"/>
    <s v="Not Provided"/>
    <s v="Not Provided"/>
    <s v="Not Provided"/>
    <s v="N/A"/>
  </r>
  <r>
    <s v="City of Indian Harbour Beach"/>
    <s v="Not Provided"/>
    <s v="IHB-15"/>
    <s v="Andros Lane Exfiltration"/>
    <s v="Not Provided"/>
    <s v="Exfiltration Trench"/>
    <x v="0"/>
    <n v="2014"/>
    <n v="4"/>
    <n v="0.5"/>
    <s v="B"/>
    <n v="8.73"/>
    <s v="Not Provided"/>
    <s v="Not Provided"/>
    <s v="Not Provided"/>
    <s v="Not Provided"/>
    <s v="N/A"/>
  </r>
  <r>
    <s v="City of Indian Harbour Beach"/>
    <s v="Not Provided"/>
    <s v="IHB-16"/>
    <s v="Indian Harbour Beach Condo Pond"/>
    <s v="Not Provided"/>
    <s v="Dry Detention Pond"/>
    <x v="1"/>
    <s v="N/A"/>
    <s v="N/A"/>
    <s v="N/A"/>
    <s v="N/A"/>
    <s v="N/A"/>
    <s v="N/A"/>
    <s v="N/A"/>
    <s v="N/A"/>
    <s v="N/A"/>
    <s v="N/A"/>
  </r>
  <r>
    <s v="City of Indian Harbour Beach"/>
    <s v="Not Provided"/>
    <s v="IHB-17"/>
    <s v="Fire Station Exfiltration"/>
    <s v="Not Provided"/>
    <s v="Exfiltration Trench"/>
    <x v="0"/>
    <n v="2016"/>
    <n v="3.3"/>
    <n v="0.35"/>
    <s v="B"/>
    <n v="2.7947804252770001"/>
    <s v="Not Provided"/>
    <s v="Not Provided"/>
    <s v="Not Provided"/>
    <s v="Not Provided"/>
    <s v="N/A"/>
  </r>
  <r>
    <s v="City of Indian Harbour Beach"/>
    <s v="Not Provided"/>
    <s v="IHB-18"/>
    <s v="Inwood Lane Exfiltration"/>
    <s v="Not Provided"/>
    <s v="Exfiltration Trench"/>
    <x v="0"/>
    <n v="2016"/>
    <n v="8"/>
    <n v="1.1000000000000001"/>
    <s v="B"/>
    <n v="7.723622658891129"/>
    <s v="Not Provided"/>
    <s v="Not Provided"/>
    <s v="Not Provided"/>
    <s v="Not Provided"/>
    <s v="N/A"/>
  </r>
  <r>
    <s v="City of Indian Harbour Beach"/>
    <s v="SOIRLP"/>
    <s v="IHB-19"/>
    <s v="Gleason Park Irrigation Expansion"/>
    <s v="Expansion of irrigation in Gleason Park."/>
    <s v="Reclaimed Water"/>
    <x v="0"/>
    <n v="2017"/>
    <n v="47.66"/>
    <n v="8.3699999999999992"/>
    <s v="B"/>
    <n v="128.87665205312118"/>
    <n v="11000"/>
    <s v="TBD"/>
    <s v="SOIRLP"/>
    <n v="4224"/>
    <s v="N/A"/>
  </r>
  <r>
    <s v="City of Indian Harbour Beach"/>
    <s v="Not Provided"/>
    <s v="IHB-20"/>
    <s v="Oars and Paddles Dry Pond"/>
    <s v="Dry detention with BAM."/>
    <s v="Dry Detention Pond"/>
    <x v="3"/>
    <s v="TBD"/>
    <s v="TBD"/>
    <s v="TBD"/>
    <s v="B"/>
    <n v="35.202762708700718"/>
    <s v="TBD"/>
    <s v="TBD"/>
    <s v="TBD"/>
    <s v="TBD"/>
    <s v="N/A"/>
  </r>
  <r>
    <s v="City of Indian Harbour Beach"/>
    <s v="Not Provided"/>
    <s v="IHB-21"/>
    <s v="FDOT Pond #3 Beemats"/>
    <s v="Beemats (6,700 sq. feet)."/>
    <s v="Floating Islands/ Managed Aquatic Plants Systems (MAPS)"/>
    <x v="3"/>
    <s v="TBD"/>
    <s v="TBD"/>
    <s v="TBD"/>
    <s v="B"/>
    <n v="137.89216378656192"/>
    <n v="10000"/>
    <s v="TBD"/>
    <s v="TBD"/>
    <s v="TBD"/>
    <s v="N/A"/>
  </r>
  <r>
    <s v="City of Indian Harbour Beach"/>
    <s v="TBD"/>
    <s v="IHB-22"/>
    <s v="Kristi &amp; Pinetree Dr. Swale"/>
    <s v="1000' long swale along Pinetree Dr.; swales with blocks or raised culverts."/>
    <s v="Grass Swale with Swale Blocks or Raised Culverts"/>
    <x v="3"/>
    <s v="TBD"/>
    <n v="54"/>
    <n v="12.2"/>
    <s v="B"/>
    <n v="3.6229922974460003"/>
    <n v="12000"/>
    <s v="TBD"/>
    <s v="TBD"/>
    <s v="TBD"/>
    <s v="N/A"/>
  </r>
  <r>
    <s v="City of Indian Harbour Beach"/>
    <s v="TBD"/>
    <s v="IHB-23"/>
    <s v="Wimico Drive Swale"/>
    <s v="Retention swale, perhaps with BAM, along Wimico Dr.; swales with blocks or raised culverts."/>
    <s v="Grass Swale with Swale Blocks or Raised Culverts"/>
    <x v="3"/>
    <s v="TBD"/>
    <n v="23"/>
    <n v="3.3"/>
    <s v="B"/>
    <n v="2.5126751075699998"/>
    <n v="10000"/>
    <s v="TBD"/>
    <s v="TBD"/>
    <s v="TBD"/>
    <s v="N/A"/>
  </r>
  <r>
    <s v="City of Indian Harbour Beach"/>
    <s v="TBD"/>
    <s v="IHB-24"/>
    <s v="Crispino Wet Pond"/>
    <s v="Construction of 2.9 acre wet pond in Crispino Park (city-owned)."/>
    <s v="Wet Detention Pond"/>
    <x v="3"/>
    <s v="TBD"/>
    <n v="99.25"/>
    <n v="32.090000000000003"/>
    <s v="B"/>
    <n v="34.238829454483813"/>
    <n v="600000"/>
    <s v="TBD"/>
    <s v="TBD"/>
    <s v="TBD"/>
    <s v="N/A"/>
  </r>
  <r>
    <s v="City of Indian Harbour Beach"/>
    <s v="SOIRLP"/>
    <s v="IHB-25"/>
    <s v="Big Muddy Canal Bafflebox @ Cynthia"/>
    <s v="Baffle box installed at major outfall to Big Muddy Canal."/>
    <s v="Baffle Boxes-Second Generation"/>
    <x v="2"/>
    <s v="TBD"/>
    <s v="TBD"/>
    <s v="TBD"/>
    <s v="B"/>
    <n v="32"/>
    <n v="283975"/>
    <s v="TBD"/>
    <s v="SOIRLP"/>
    <n v="26637"/>
    <s v="N/A"/>
  </r>
  <r>
    <s v="City of Indian Harbour Beach"/>
    <s v="Not Provided"/>
    <s v="IHB-26"/>
    <s v="Cheyenne Dr./Marion Baffle"/>
    <s v="Baffle Box installed at a major outfall to Big Muddy Canal."/>
    <s v="Baffle Boxes-Second Generation"/>
    <x v="2"/>
    <s v="TBD"/>
    <s v="TBD"/>
    <s v="TBD"/>
    <s v="B"/>
    <s v="TBD"/>
    <s v="Not Provided"/>
    <s v="Not Provided"/>
    <s v="Not Provided"/>
    <s v="Not Provided"/>
    <s v="N/A"/>
  </r>
  <r>
    <s v="City of Indian Harbour Beach"/>
    <s v="Not Provided"/>
    <s v="IHB-27"/>
    <s v="Beach Funeral Home Pervious Parking"/>
    <s v="Provide retention using pervious parking. "/>
    <s v="Pervious Pavement"/>
    <x v="2"/>
    <s v="TBD"/>
    <s v="TBD"/>
    <s v="TBD"/>
    <s v="B"/>
    <s v="TBD"/>
    <s v="Not Provided"/>
    <s v="Not Provided"/>
    <s v="Not Provided"/>
    <s v="Not Provided"/>
    <s v="N/A"/>
  </r>
  <r>
    <s v="City of Indian Harbour Beach"/>
    <s v="Not Provided"/>
    <s v="IHB-28"/>
    <s v="Townhouse Estates Exfiltration"/>
    <s v="Exfiltration or dry pond in residential neighborhood."/>
    <s v="Exfiltration Trench"/>
    <x v="2"/>
    <s v="TBD"/>
    <s v="TBD"/>
    <s v="TBD"/>
    <s v="B"/>
    <n v="4.9432690368478998"/>
    <n v="15000"/>
    <s v="Not Provided"/>
    <s v="Not Provided"/>
    <s v="Not Provided"/>
    <s v="N/A"/>
  </r>
  <r>
    <s v="City of Indian Harbour Beach"/>
    <s v="Not Provided"/>
    <s v="IHB-29"/>
    <s v="Palm Springs Swale"/>
    <s v="Swale in entire median (2,200 feet) of Palm Springs Blvd.; swales with blocks or raised culverts."/>
    <s v="Grass Swale with Swale Blocks or Raised Culverts"/>
    <x v="2"/>
    <s v="TBD"/>
    <n v="83.1"/>
    <n v="21.3"/>
    <s v="B"/>
    <n v="4.8116448426202005"/>
    <n v="10000"/>
    <s v="Not Provided"/>
    <s v="Not Provided"/>
    <s v="Not Provided"/>
    <s v="N/A"/>
  </r>
  <r>
    <s v="City of Indian Harbour Beach"/>
    <s v="Not Provided"/>
    <s v="IHB-30"/>
    <s v="Alhambra Exfiltration "/>
    <s v="Indian Head (master plan) exfiltration with 1,330 ft. exfiltration pipe."/>
    <s v="Exfiltration Trench"/>
    <x v="2"/>
    <s v="TBD"/>
    <n v="62.62"/>
    <n v="9.99"/>
    <s v="B"/>
    <n v="15.57661965109439"/>
    <n v="500000"/>
    <s v="Not Provided"/>
    <s v="Not Provided"/>
    <s v="Not Provided"/>
    <s v="N/A"/>
  </r>
  <r>
    <s v="City of Indian Harbour Beach"/>
    <s v="Not Provided"/>
    <s v="IHB-31"/>
    <s v="Ronnie Exfiltration Extension"/>
    <s v="Extension of Project IHB-29; additional 500 ft. exfiltration pipe."/>
    <s v="Exfiltration Trench"/>
    <x v="2"/>
    <s v="TBD"/>
    <n v="15.35"/>
    <n v="2.15"/>
    <s v="B"/>
    <n v="2.1745147619899998"/>
    <n v="200000"/>
    <s v="Not Provided"/>
    <s v="Not Provided"/>
    <s v="Not Provided"/>
    <s v="N/A"/>
  </r>
  <r>
    <s v="City of Indian Harbour Beach"/>
    <s v="Not Provided"/>
    <s v="IHB-32"/>
    <s v="Atlantic Exfiltration East"/>
    <s v="Jamestown Phase 1 (master plan)with 4,600 ft exfiltration."/>
    <s v="Exfiltration Trench"/>
    <x v="2"/>
    <s v="TBD"/>
    <n v="187.86"/>
    <n v="26.81"/>
    <s v="B"/>
    <n v="37.623180265842954"/>
    <n v="1400000"/>
    <s v="Not Provided"/>
    <s v="Not Provided"/>
    <s v="Not Provided"/>
    <s v="N/A"/>
  </r>
  <r>
    <s v="City of Indian Harbour Beach"/>
    <s v="Not Provided"/>
    <s v="IHB-33"/>
    <s v="Atlantic Exfiltration West"/>
    <s v="Jamestown Phase 2 (master plan) exfiltration with weirs, etc."/>
    <s v="Exfiltration Trench"/>
    <x v="2"/>
    <s v="TBD"/>
    <n v="106.66"/>
    <n v="15.09"/>
    <s v="B"/>
    <n v="31.995056935000001"/>
    <n v="1200000"/>
    <s v="Not Provided"/>
    <s v="Not Provided"/>
    <s v="Not Provided"/>
    <s v="N/A"/>
  </r>
  <r>
    <s v="City of Indian Harbour Beach"/>
    <s v="Not Provided"/>
    <s v="IHB-34"/>
    <s v="Pinetree Streetscaping"/>
    <s v="LID features including planters, rain garden, porous pavement, and BAM."/>
    <s v="BMP Treatment Train"/>
    <x v="2"/>
    <s v="TBD"/>
    <s v="TBD"/>
    <s v="TBD"/>
    <s v="B"/>
    <n v="90.973436222642306"/>
    <s v="Not Provided"/>
    <s v="Not Provided"/>
    <s v="Not Provided"/>
    <s v="Not Provided"/>
    <s v="N/A"/>
  </r>
  <r>
    <s v="City of Indian Harbour Beach"/>
    <s v="Not Provided"/>
    <s v="IHB-35"/>
    <s v="Muck Dregding"/>
    <s v="Muck dredging along major canals, including Grand Canal."/>
    <s v="Muck Removal/ Restoration Dredging"/>
    <x v="2"/>
    <s v="TBD"/>
    <s v="TBD"/>
    <s v="TBD"/>
    <s v="B"/>
    <s v="N/A"/>
    <n v="9625000"/>
    <s v="Not Provided"/>
    <s v="Not Provided"/>
    <s v="Not Provided"/>
    <s v="N/A"/>
  </r>
  <r>
    <s v="City of Indian Harbour Beach"/>
    <s v="TBD"/>
    <s v="IHB-36"/>
    <s v="Save Our Lagoon Park"/>
    <s v="Wet detention pond, perhaps other LID features"/>
    <s v="Wet Detention Pond"/>
    <x v="3"/>
    <s v="TBD"/>
    <s v="TBD"/>
    <s v="TBD"/>
    <s v="B"/>
    <n v="43.3"/>
    <s v="TBD"/>
    <s v="TBD"/>
    <s v="TBD"/>
    <s v="TBD"/>
    <s v="N/A"/>
  </r>
  <r>
    <s v="City of Satellite Beach"/>
    <s v="Not Provided"/>
    <s v="SB-01"/>
    <s v="Jackson Exfiltration"/>
    <s v="Not Provided"/>
    <s v="Exfiltration Trench"/>
    <x v="0"/>
    <n v="2013"/>
    <n v="9"/>
    <n v="2.2000000000000002"/>
    <s v="B"/>
    <n v="24.7"/>
    <s v="Not Provided"/>
    <s v="Not Provided"/>
    <s v="Not Provided"/>
    <s v="Not Provided"/>
    <s v="N/A"/>
  </r>
  <r>
    <s v="City of Satellite Beach"/>
    <s v="Not Provided"/>
    <s v="SB-02"/>
    <s v="Jackson Exfiltration"/>
    <s v="Not Provided"/>
    <s v="Exfiltration Trench"/>
    <x v="0"/>
    <n v="2013"/>
    <n v="6"/>
    <n v="0.8"/>
    <s v="B"/>
    <n v="8.1999999999999993"/>
    <s v="Not Provided"/>
    <s v="Not Provided"/>
    <s v="Not Provided"/>
    <s v="Not Provided"/>
    <s v="N/A"/>
  </r>
  <r>
    <s v="City of Satellite Beach"/>
    <s v="Not Provided"/>
    <s v="SB-03"/>
    <s v="Jackson Exfiltration"/>
    <s v="Not Provided"/>
    <s v="Exfiltration Trench"/>
    <x v="0"/>
    <n v="2013"/>
    <n v="6"/>
    <n v="1.7"/>
    <s v="B"/>
    <n v="8.6"/>
    <s v="Not Provided"/>
    <s v="Not Provided"/>
    <s v="Not Provided"/>
    <s v="Not Provided"/>
    <s v="N/A"/>
  </r>
  <r>
    <s v="City of Satellite Beach"/>
    <s v="Not Provided"/>
    <s v="SB-04"/>
    <s v="Avocado Continuous Deflective Separation (CDS) Unit"/>
    <s v="Not Provided"/>
    <s v="Continuous Deflective Separation (CDS) Unit"/>
    <x v="0"/>
    <n v="2013"/>
    <n v="0"/>
    <n v="3.2"/>
    <s v="B"/>
    <n v="8.6"/>
    <s v="Not Provided"/>
    <s v="Not Provided"/>
    <s v="Not Provided"/>
    <s v="Not Provided"/>
    <s v="N/A"/>
  </r>
  <r>
    <s v="City of Satellite Beach"/>
    <s v="Not Provided"/>
    <s v="SB-05"/>
    <s v="Jackson Exfiltration"/>
    <s v="Not Provided"/>
    <s v="Exfiltration Trench"/>
    <x v="0"/>
    <n v="2013"/>
    <n v="3"/>
    <n v="0.4"/>
    <s v="B"/>
    <n v="11.7"/>
    <s v="Not Provided"/>
    <s v="Not Provided"/>
    <s v="Not Provided"/>
    <s v="Not Provided"/>
    <s v="N/A"/>
  </r>
  <r>
    <s v="City of Satellite Beach"/>
    <s v="DEP"/>
    <s v="SB-06"/>
    <s v="Coconut Exfiltration"/>
    <s v="Not Provided"/>
    <s v="Exfiltration Trench"/>
    <x v="0"/>
    <n v="2013"/>
    <n v="27"/>
    <n v="4.5999999999999996"/>
    <s v="B"/>
    <n v="39.700000000000003"/>
    <s v="Not Provided"/>
    <s v="Not Provided"/>
    <s v="DEP"/>
    <s v="Not Provided"/>
    <s v="G0082"/>
  </r>
  <r>
    <s v="City of Satellite Beach"/>
    <s v="DEP"/>
    <s v="SB-07"/>
    <s v="Desoto Exfiltration"/>
    <s v="Not Provided"/>
    <s v="Exfiltration Trench"/>
    <x v="0"/>
    <n v="2013"/>
    <n v="97"/>
    <n v="13.7"/>
    <s v="B"/>
    <n v="108.2"/>
    <s v="Not Provided"/>
    <s v="Not Provided"/>
    <s v="DEP"/>
    <s v="Not Provided"/>
    <s v="G0082"/>
  </r>
  <r>
    <s v="City of Satellite Beach"/>
    <s v="DEP"/>
    <s v="SB-08"/>
    <s v="Desoto Exfiltration"/>
    <s v="Not Provided"/>
    <s v="Exfiltration Trench"/>
    <x v="0"/>
    <n v="2013"/>
    <n v="25"/>
    <n v="3.5"/>
    <s v="B"/>
    <n v="7.8"/>
    <s v="Not Provided"/>
    <s v="Not Provided"/>
    <s v="DEP"/>
    <s v="Not Provided"/>
    <s v="G0082"/>
  </r>
  <r>
    <s v="City of Satellite Beach"/>
    <s v="DEP"/>
    <s v="SB-09"/>
    <s v="Jamaica Blvd Ponds"/>
    <s v="Not Provided"/>
    <s v="Wet Detention Pond"/>
    <x v="0"/>
    <n v="2013"/>
    <n v="600"/>
    <n v="160.19999999999999"/>
    <s v="B"/>
    <n v="216.2"/>
    <s v="Not Provided"/>
    <s v="Not Provided"/>
    <s v="DEP"/>
    <s v="Not Provided"/>
    <s v="WM840"/>
  </r>
  <r>
    <s v="City of Satellite Beach"/>
    <s v="DEP"/>
    <s v="SB-10"/>
    <s v="Jamaica Pond Reuse"/>
    <s v="Not Provided"/>
    <s v="Stormwater Reuse"/>
    <x v="0"/>
    <n v="2013"/>
    <n v="277"/>
    <n v="25"/>
    <s v="B"/>
    <n v="216.2"/>
    <s v="Not Provided"/>
    <s v="Not Provided"/>
    <s v="DEP"/>
    <s v="Not Provided"/>
    <s v="WM840"/>
  </r>
  <r>
    <s v="City of Satellite Beach"/>
    <s v="DEP"/>
    <s v="SB-11"/>
    <s v="Desoto Exfiltration"/>
    <s v="Not Provided"/>
    <s v="Exfiltration Trench"/>
    <x v="0"/>
    <n v="2013"/>
    <n v="17"/>
    <n v="2.4"/>
    <s v="B"/>
    <n v="3.5"/>
    <s v="Not Provided"/>
    <s v="Not Provided"/>
    <s v="DEP"/>
    <s v="Not Provided"/>
    <s v="G0082"/>
  </r>
  <r>
    <s v="City of Satellite Beach"/>
    <s v="DEP"/>
    <s v="SB-12"/>
    <s v="Desoto Baffle Boxes"/>
    <s v="Not Provided"/>
    <s v="Baffle Boxes-Second Generation"/>
    <x v="0"/>
    <n v="2013"/>
    <n v="82"/>
    <n v="9.5"/>
    <s v="B"/>
    <n v="57.8"/>
    <s v="Not Provided"/>
    <s v="Not Provided"/>
    <s v="DEP"/>
    <s v="Not Provided"/>
    <s v="G0081"/>
  </r>
  <r>
    <s v="City of Satellite Beach"/>
    <s v="DEP"/>
    <s v="SB-13"/>
    <s v="Cassia Phase 1-22"/>
    <s v="Not Provided"/>
    <s v="Baffle Boxes-Second Generation"/>
    <x v="0"/>
    <n v="2013"/>
    <n v="61"/>
    <n v="8.1999999999999993"/>
    <s v="B"/>
    <n v="32.5"/>
    <n v="1796800"/>
    <s v="Not Provided"/>
    <s v="DEP"/>
    <n v="1796800"/>
    <s v="G0162"/>
  </r>
  <r>
    <s v="City of Satellite Beach"/>
    <s v="DEP"/>
    <s v="SB-14"/>
    <s v="Cassia Phase 1-23"/>
    <s v="Not Provided"/>
    <s v="Baffle Boxes-Second Generation"/>
    <x v="0"/>
    <n v="2013"/>
    <n v="30"/>
    <n v="5.6"/>
    <s v="B"/>
    <n v="12.9"/>
    <s v="Not Provided"/>
    <s v="Not Provided"/>
    <s v="DEP"/>
    <s v="Not Provided"/>
    <s v="G0162"/>
  </r>
  <r>
    <s v="City of Satellite Beach"/>
    <s v="DEP"/>
    <s v="SB-15"/>
    <s v="Cassia Phase 1-24"/>
    <s v="Part of SB-13"/>
    <s v="On-line Retention BMP"/>
    <x v="0"/>
    <n v="2013"/>
    <n v="18"/>
    <n v="3.5"/>
    <s v="B"/>
    <n v="12.8"/>
    <s v="Not Provided"/>
    <s v="Not Provided"/>
    <s v="DEP"/>
    <s v="Not Provided"/>
    <s v="G0162"/>
  </r>
  <r>
    <s v="City of Satellite Beach"/>
    <s v="DEP"/>
    <s v="SB-16"/>
    <s v="Cassia Phase 1-25"/>
    <s v="Part of SB-13"/>
    <s v="On-line Retention BMP"/>
    <x v="0"/>
    <n v="2013"/>
    <n v="13"/>
    <n v="1.8"/>
    <s v="B"/>
    <n v="19.7"/>
    <s v="Not Provided"/>
    <s v="Not Provided"/>
    <s v="DEP"/>
    <s v="Not Provided"/>
    <s v="G0162"/>
  </r>
  <r>
    <s v="City of Satellite Beach"/>
    <s v="DEP"/>
    <s v="SB-17"/>
    <s v="Cassia Phase 1-26"/>
    <s v="Part of SB-13"/>
    <s v="On-line Retention BMP"/>
    <x v="0"/>
    <n v="2013"/>
    <n v="12"/>
    <n v="2.6"/>
    <s v="B"/>
    <n v="14.1"/>
    <s v="Not Provided"/>
    <s v="Not Provided"/>
    <s v="DEP"/>
    <s v="Not Provided"/>
    <s v="G0162"/>
  </r>
  <r>
    <s v="City of Satellite Beach"/>
    <s v="Not Provided"/>
    <s v="SB-18"/>
    <s v="North Basin Stormwater Retrofit"/>
    <s v="Not Provided"/>
    <s v="On-line Retention BMP"/>
    <x v="0"/>
    <n v="2013"/>
    <n v="318"/>
    <n v="80.5"/>
    <s v="B"/>
    <n v="97.9"/>
    <s v="Not Provided"/>
    <s v="Not Provided"/>
    <s v="Not Provided"/>
    <s v="Not Provided"/>
    <s v="N/A"/>
  </r>
  <r>
    <s v="City of Satellite Beach"/>
    <s v="Not Provided"/>
    <s v="SB-19"/>
    <s v="Street Sweeping"/>
    <s v="Not Provided"/>
    <s v="Street Sweeping"/>
    <x v="0"/>
    <s v="N/A"/>
    <n v="47"/>
    <n v="30"/>
    <s v="B"/>
    <s v="N/A"/>
    <s v="Not Provided"/>
    <s v="Not Provided"/>
    <s v="Not Provided"/>
    <s v="Not Provided"/>
    <s v="N/A"/>
  </r>
  <r>
    <s v="City of Satellite Beach"/>
    <s v="Not Provided"/>
    <s v="SB-20"/>
    <s v="Education Efforts"/>
    <s v="FYN; landscape, irrigation, fertilizer, and pet waste ordinances; public service announcements (PSAs); pamphlets; website; Illicit Discharge Program."/>
    <s v="Education Efforts"/>
    <x v="0"/>
    <s v="N/A"/>
    <n v="1002"/>
    <n v="197"/>
    <s v="B"/>
    <s v="N/A"/>
    <s v="Not Provided"/>
    <s v="Not Provided"/>
    <s v="Not Provided"/>
    <s v="Not Provided"/>
    <s v="N/A"/>
  </r>
  <r>
    <s v="City of Satellite Beach"/>
    <s v="DEP"/>
    <s v="SB-21"/>
    <s v="Cassia Phase 3 - C3A"/>
    <s v="Retention swales."/>
    <s v="On-line Retention BMP"/>
    <x v="0"/>
    <n v="2013"/>
    <n v="3"/>
    <n v="0.6"/>
    <s v="B"/>
    <n v="0.24"/>
    <s v="Not Provided"/>
    <s v="Not Provided"/>
    <s v="City/DEP"/>
    <s v="Not Provided"/>
    <s v="G0162"/>
  </r>
  <r>
    <s v="City of Satellite Beach"/>
    <s v="DEP"/>
    <s v="SB-22"/>
    <s v="Cassia Phase 3 - C3B"/>
    <s v="Retention swales."/>
    <s v="On-line Retention BMP"/>
    <x v="0"/>
    <n v="2013"/>
    <n v="2"/>
    <n v="0.5"/>
    <s v="B"/>
    <n v="0.15"/>
    <s v="Not Provided"/>
    <s v="Not Provided"/>
    <s v="City/DEP"/>
    <s v="Not Provided"/>
    <s v="G0162"/>
  </r>
  <r>
    <s v="City of Satellite Beach"/>
    <s v="DEP"/>
    <s v="SB-23"/>
    <s v="Cassia Phase 3 - C3C"/>
    <s v="Retention swales."/>
    <s v="On-line Retention BMP"/>
    <x v="0"/>
    <n v="2013"/>
    <n v="2"/>
    <n v="0.5"/>
    <s v="B"/>
    <n v="0.16"/>
    <s v="Not Provided"/>
    <s v="Not Provided"/>
    <s v="City/DEP"/>
    <s v="Not Provided"/>
    <s v="G0162"/>
  </r>
  <r>
    <s v="City of Satellite Beach"/>
    <s v="DEP"/>
    <s v="SB-24"/>
    <s v="Cassia Phase 3 - C3D"/>
    <s v="Retention swales."/>
    <s v="On-line Retention BMP"/>
    <x v="0"/>
    <n v="2013"/>
    <n v="3"/>
    <n v="0.8"/>
    <s v="B"/>
    <n v="0.2"/>
    <s v="Not Provided"/>
    <s v="Not Provided"/>
    <s v="City/DEP"/>
    <s v="Not Provided"/>
    <s v="G0162"/>
  </r>
  <r>
    <s v="City of Satellite Beach"/>
    <s v="DEP"/>
    <s v="SB-25"/>
    <s v="Cassia Phase 3 - C3E"/>
    <s v="Retention swales."/>
    <s v="On-line Retention BMP"/>
    <x v="0"/>
    <n v="2013"/>
    <n v="3"/>
    <n v="0.7"/>
    <s v="B"/>
    <n v="0.2"/>
    <s v="Not Provided"/>
    <s v="Not Provided"/>
    <s v="City/DEP"/>
    <s v="Not Provided"/>
    <s v="G0162"/>
  </r>
  <r>
    <s v="City of Satellite Beach"/>
    <s v="DEP"/>
    <s v="SB-26"/>
    <s v="Cassia Phase 3 - C3F"/>
    <s v="Retention swales."/>
    <s v="On-line Retention BMP"/>
    <x v="0"/>
    <n v="2013"/>
    <n v="11"/>
    <n v="3"/>
    <s v="B"/>
    <n v="2"/>
    <s v="Not Provided"/>
    <s v="Not Provided"/>
    <s v="City/DEP"/>
    <s v="Not Provided"/>
    <s v="G0162"/>
  </r>
  <r>
    <s v="City of Satellite Beach"/>
    <s v="DEP"/>
    <s v="SB-27"/>
    <s v="Cassia Phase 3 - C3G"/>
    <s v="Retention swales."/>
    <s v="On-line Retention BMP"/>
    <x v="0"/>
    <n v="2013"/>
    <n v="8"/>
    <n v="2.2999999999999998"/>
    <s v="B"/>
    <n v="1.3"/>
    <s v="Not Provided"/>
    <s v="Not Provided"/>
    <s v="City/DEP"/>
    <s v="Not Provided"/>
    <s v="G0162"/>
  </r>
  <r>
    <s v="City of Satellite Beach"/>
    <s v="DEP"/>
    <s v="SB-28"/>
    <s v="Cassia Phase 3 - C5A "/>
    <s v="Retention swales."/>
    <s v="On-line Retention BMP"/>
    <x v="0"/>
    <n v="2013"/>
    <n v="2"/>
    <n v="0.5"/>
    <s v="B"/>
    <n v="0.2"/>
    <s v="Not Provided"/>
    <s v="Not Provided"/>
    <s v="City/DEP"/>
    <s v="Not Provided"/>
    <s v="G0162"/>
  </r>
  <r>
    <s v="City of Satellite Beach"/>
    <s v="DEP"/>
    <s v="SB-29"/>
    <s v="Cassia Phase 3 - C5B"/>
    <s v="Retention swales."/>
    <s v="On-line Retention BMP"/>
    <x v="0"/>
    <n v="2013"/>
    <n v="24"/>
    <n v="5.4"/>
    <s v="B"/>
    <n v="5.9"/>
    <s v="Not Provided"/>
    <s v="Not Provided"/>
    <s v="City/DEP"/>
    <s v="Not Provided"/>
    <s v="G0162"/>
  </r>
  <r>
    <s v="City of Satellite Beach"/>
    <s v="DEP"/>
    <s v="SB-30"/>
    <s v="Cassia Phase 3 - C7A"/>
    <s v="Retention swales."/>
    <s v="On-line Retention BMP"/>
    <x v="0"/>
    <n v="2013"/>
    <n v="3"/>
    <n v="0.4"/>
    <s v="B"/>
    <n v="0.4"/>
    <s v="Not Provided"/>
    <s v="Not Provided"/>
    <s v="City/DEP"/>
    <s v="Not Provided"/>
    <s v="G0162"/>
  </r>
  <r>
    <s v="City of Satellite Beach"/>
    <s v="DEP"/>
    <s v="SB-31"/>
    <s v="Cassia Phase 3 - C7B"/>
    <s v="Retention swales."/>
    <s v="On-line Retention BMP"/>
    <x v="0"/>
    <n v="2013"/>
    <n v="25"/>
    <n v="3.5"/>
    <s v="B"/>
    <n v="4.0999999999999996"/>
    <s v="Not Provided"/>
    <s v="Not Provided"/>
    <s v="City/DEP"/>
    <s v="Not Provided"/>
    <s v="G0162"/>
  </r>
  <r>
    <s v="City of Satellite Beach"/>
    <s v="DEP"/>
    <s v="SB-32"/>
    <s v="Cassia Phase 3 - C9A"/>
    <s v="Retention swales."/>
    <s v="On-line Retention BMP"/>
    <x v="0"/>
    <n v="2013"/>
    <n v="4"/>
    <n v="0.6"/>
    <s v="B"/>
    <n v="0.5"/>
    <s v="Not Provided"/>
    <s v="Not Provided"/>
    <s v="City/DEP"/>
    <s v="Not Provided"/>
    <s v="G0162"/>
  </r>
  <r>
    <s v="City of Satellite Beach"/>
    <s v="DEP"/>
    <s v="SB-33"/>
    <s v="Cassia Phase 3 - C9B"/>
    <s v="Retention swales."/>
    <s v="On-line Retention BMP"/>
    <x v="0"/>
    <n v="2013"/>
    <n v="19"/>
    <n v="2.8"/>
    <s v="B"/>
    <n v="2.1"/>
    <s v="Not Provided"/>
    <s v="Not Provided"/>
    <s v="City/DEP"/>
    <s v="Not Provided"/>
    <s v="G0162"/>
  </r>
  <r>
    <s v="City of Satellite Beach"/>
    <s v="DEP"/>
    <s v="SB-34"/>
    <s v="Cassia Phase 3 - C13A"/>
    <s v="Retention swales."/>
    <s v="On-line Retention BMP"/>
    <x v="0"/>
    <n v="2013"/>
    <n v="7"/>
    <n v="1.9"/>
    <s v="B"/>
    <n v="1.2"/>
    <s v="Not Provided"/>
    <s v="Not Provided"/>
    <s v="City/DEP"/>
    <s v="Not Provided"/>
    <s v="G0162"/>
  </r>
  <r>
    <s v="City of Satellite Beach"/>
    <s v="DEP"/>
    <s v="SB-35"/>
    <s v="Cassia Phase 3 - C13B"/>
    <s v="Retention swales."/>
    <s v="On-line Retention BMP"/>
    <x v="0"/>
    <n v="2013"/>
    <n v="1"/>
    <n v="0.3"/>
    <s v="B"/>
    <n v="0.1"/>
    <s v="Not Provided"/>
    <s v="Not Provided"/>
    <s v="City/DEP"/>
    <s v="Not Provided"/>
    <s v="G0162"/>
  </r>
  <r>
    <s v="City of Satellite Beach"/>
    <s v="DEP"/>
    <s v="SB-36"/>
    <s v="Cassia Phase 3 - C13C"/>
    <s v="Retention swales."/>
    <s v="On-line Retention BMP"/>
    <x v="0"/>
    <n v="2013"/>
    <n v="9"/>
    <n v="1.7"/>
    <s v="B"/>
    <n v="3.1"/>
    <s v="Not Provided"/>
    <s v="Not Provided"/>
    <s v="City/DEP"/>
    <s v="Not Provided"/>
    <s v="G0162"/>
  </r>
  <r>
    <s v="City of Satellite Beach"/>
    <s v="DEP"/>
    <s v="SB-37"/>
    <s v="Cassia Phase 3 - C13D"/>
    <s v="Retention swales."/>
    <s v="On-line Retention BMP"/>
    <x v="0"/>
    <n v="2013"/>
    <n v="7"/>
    <n v="1.6"/>
    <s v="B"/>
    <n v="0.5"/>
    <s v="Not Provided"/>
    <s v="Not Provided"/>
    <s v="City/DEP"/>
    <s v="Not Provided"/>
    <s v="G0162"/>
  </r>
  <r>
    <s v="City of Satellite Beach"/>
    <s v="DEP"/>
    <s v="SB-38"/>
    <s v="Cassia Phase 3 - C13E"/>
    <s v="Retention swales."/>
    <s v="On-line Retention BMP"/>
    <x v="0"/>
    <n v="2013"/>
    <n v="9"/>
    <n v="2.2000000000000002"/>
    <s v="B"/>
    <n v="0.9"/>
    <s v="Not Provided"/>
    <s v="Not Provided"/>
    <s v="City/DEP"/>
    <s v="Not Provided"/>
    <s v="G0162"/>
  </r>
  <r>
    <s v="City of Satellite Beach"/>
    <s v="DEP"/>
    <s v="SB-39"/>
    <s v="Cassia Phase 3 - C13F"/>
    <s v="Retention swales."/>
    <s v="On-line Retention BMP"/>
    <x v="0"/>
    <n v="2013"/>
    <n v="11"/>
    <n v="2.6"/>
    <s v="B"/>
    <n v="1.6"/>
    <s v="Not Provided"/>
    <s v="Not Provided"/>
    <s v="City/DEP"/>
    <s v="Not Provided"/>
    <s v="G0162"/>
  </r>
  <r>
    <s v="City of Satellite Beach"/>
    <s v="DEP"/>
    <s v="SB-40"/>
    <s v="Cassia Phase 3 - C13G"/>
    <s v="Retention swales."/>
    <s v="On-line Retention BMP"/>
    <x v="0"/>
    <n v="2013"/>
    <n v="15"/>
    <n v="3.8"/>
    <s v="B"/>
    <n v="3.3"/>
    <s v="Not Provided"/>
    <s v="Not Provided"/>
    <s v="City/DEP"/>
    <s v="Not Provided"/>
    <s v="G0162"/>
  </r>
  <r>
    <s v="City of Satellite Beach"/>
    <s v="Not Provided"/>
    <s v="SB-41"/>
    <s v="Roosevelt Avenue"/>
    <s v="Off-line retention swales"/>
    <s v="Off-line Retention BMP"/>
    <x v="0"/>
    <n v="2016"/>
    <s v="TBD"/>
    <s v="TBD"/>
    <s v="B"/>
    <n v="32"/>
    <n v="43482"/>
    <s v="Not Provided"/>
    <s v="Not Provided"/>
    <n v="43482"/>
    <s v="N/A"/>
  </r>
  <r>
    <s v="City of Satellite Beach"/>
    <s v="Not Provided"/>
    <s v="SB-42"/>
    <s v="Roosevelt Avenue"/>
    <s v="Off-line retention pipes"/>
    <s v="Exfiltration Trench"/>
    <x v="0"/>
    <n v="2016"/>
    <s v="TBD"/>
    <s v="TBD"/>
    <s v="B"/>
    <n v="3"/>
    <n v="34350"/>
    <s v="Not Provided"/>
    <s v="Not Provided"/>
    <n v="34350"/>
    <s v="N/A"/>
  </r>
  <r>
    <s v="City of Satellite Beach"/>
    <s v="DEP"/>
    <s v="SB-43"/>
    <s v="Desoto Park"/>
    <s v="Wet detention pond that also features stormwater reuse and biosorption activated media (BAM)."/>
    <s v="Wet Detention Pond"/>
    <x v="3"/>
    <n v="2018"/>
    <s v="TBD"/>
    <s v="TBD"/>
    <s v="B"/>
    <n v="293"/>
    <n v="950000"/>
    <s v="Not Provided"/>
    <s v="City/DEP"/>
    <n v="703000"/>
    <s v="NF011"/>
  </r>
  <r>
    <s v="FDOT District 5"/>
    <s v="N/A"/>
    <s v="FDOT-01"/>
    <s v="Street Sweeping"/>
    <s v="Street Sweeping"/>
    <s v="Street Sweeping"/>
    <x v="0"/>
    <s v="N/A"/>
    <n v="49"/>
    <n v="31.2"/>
    <s v="A"/>
    <s v="Not Provided"/>
    <s v="Not Provided"/>
    <s v="Not Provided"/>
    <s v="Florida Legislature"/>
    <s v="Not Provided"/>
    <s v="N/A"/>
  </r>
  <r>
    <s v="FDOT District 5"/>
    <s v="N/A"/>
    <s v="FDOT-02"/>
    <s v="Education Efforts"/>
    <s v="Pamphlets, illicit discharge program"/>
    <s v="Education Efforts"/>
    <x v="0"/>
    <s v="N/A"/>
    <n v="1"/>
    <n v="0.5"/>
    <s v="A"/>
    <s v="N/A"/>
    <s v="Not Provided"/>
    <s v="Not Provided"/>
    <s v="Florida Legislature"/>
    <s v="Not Provided"/>
    <s v="N/A"/>
  </r>
  <r>
    <s v="FDOT District 5"/>
    <s v="N/A"/>
    <s v="FDOT-03"/>
    <s v="Fertilizer Cessation"/>
    <s v="Elimination of fertilizer application in rights-of-way."/>
    <s v="Fertilizer Cessation"/>
    <x v="0"/>
    <n v="2014"/>
    <n v="102"/>
    <n v="0"/>
    <s v="A"/>
    <n v="103"/>
    <s v="Not Provided"/>
    <s v="Not Provided"/>
    <s v="Florida Legislature"/>
    <s v="Not Provided"/>
    <s v="N/A"/>
  </r>
  <r>
    <s v="FDOT District 5"/>
    <s v="N/A"/>
    <s v="FDOT-04"/>
    <s v="FM: 237139 D5_70120-3518-01"/>
    <s v="Pond 7"/>
    <s v="Wet Detention Pond"/>
    <x v="0"/>
    <n v="2013"/>
    <n v="63"/>
    <n v="15.8"/>
    <s v="B"/>
    <n v="4.7"/>
    <s v="Not Provided"/>
    <s v="Not Provided"/>
    <s v="Florida Legislature"/>
    <s v="Not Provided"/>
    <s v="N/A"/>
  </r>
  <r>
    <s v="FDOT District 5"/>
    <s v="N/A"/>
    <s v="FDOT-05"/>
    <s v="FM: 237454 D5_70100-3553-01"/>
    <s v="French Drains"/>
    <s v="On-line Retention BMP"/>
    <x v="0"/>
    <n v="2013"/>
    <n v="23"/>
    <n v="11.3"/>
    <s v="B"/>
    <n v="5"/>
    <s v="Not Provided"/>
    <s v="Not Provided"/>
    <s v="Florida Legislature"/>
    <s v="Not Provided"/>
    <s v="N/A"/>
  </r>
  <r>
    <s v="FDOT District 5"/>
    <s v="N/A"/>
    <s v="FDOT-06"/>
    <s v="FM: 237447 D5_70008-3505-02"/>
    <s v="Pond 2"/>
    <s v="Wet Detention Pond"/>
    <x v="0"/>
    <n v="2013"/>
    <n v="9"/>
    <n v="5"/>
    <s v="B"/>
    <n v="3.4"/>
    <s v="Not Provided"/>
    <s v="Not Provided"/>
    <s v="Florida Legislature"/>
    <s v="Not Provided"/>
    <s v="N/A"/>
  </r>
  <r>
    <s v="FDOT District 5"/>
    <s v="N/A"/>
    <s v="FDOT-07"/>
    <s v="FM: 237447 D5_70008-3505-03"/>
    <s v="Pond 3"/>
    <s v="On-line Retention BMP"/>
    <x v="0"/>
    <n v="2013"/>
    <n v="7"/>
    <n v="4.2"/>
    <s v="B"/>
    <n v="2.8"/>
    <s v="Not Provided"/>
    <s v="Not Provided"/>
    <s v="Florida Legislature"/>
    <s v="Not Provided"/>
    <s v="N/A"/>
  </r>
  <r>
    <s v="FDOT District 5"/>
    <s v="N/A"/>
    <s v="FDOT-08"/>
    <s v="FM: 237447 D5_70008-3505-04"/>
    <s v="French Drains"/>
    <s v="On-line Retention BMP"/>
    <x v="0"/>
    <n v="2013"/>
    <n v="12"/>
    <n v="6.8"/>
    <s v="B"/>
    <n v="3.8"/>
    <s v="Not Provided"/>
    <s v="Not Provided"/>
    <s v="Florida Legislature"/>
    <s v="Not Provided"/>
    <s v="N/A"/>
  </r>
  <r>
    <s v="FDOT District 5"/>
    <s v="N/A"/>
    <s v="FDOT-09"/>
    <s v="FM: 237482 D5_70060-3533-01"/>
    <s v="French Drains"/>
    <s v="On-line Retention BMP"/>
    <x v="0"/>
    <n v="2013"/>
    <n v="1"/>
    <n v="0.8"/>
    <s v="B"/>
    <n v="0.4"/>
    <s v="Not Provided"/>
    <s v="Not Provided"/>
    <s v="Florida Legislature"/>
    <s v="Not Provided"/>
    <s v="N/A"/>
  </r>
  <r>
    <s v="FDOT District 5"/>
    <s v="N/A"/>
    <s v="FDOT-10"/>
    <s v="FM: 237453 D5_70008-3507-01"/>
    <s v="Pond 1"/>
    <s v="Wet Detention Pond"/>
    <x v="0"/>
    <n v="2013"/>
    <n v="26"/>
    <n v="9.5"/>
    <s v="B"/>
    <n v="8.6999999999999993"/>
    <s v="Not Provided"/>
    <s v="Not Provided"/>
    <s v="Florida Legislature"/>
    <s v="Not Provided"/>
    <s v="N/A"/>
  </r>
  <r>
    <s v="FDOT District 5"/>
    <s v="N/A"/>
    <s v="FDOT-11"/>
    <s v="FM: 237453 D5_70008-3507-02"/>
    <s v="Pond 2"/>
    <s v="Wet Detention Pond"/>
    <x v="0"/>
    <n v="2013"/>
    <n v="24"/>
    <n v="7.4"/>
    <s v="B"/>
    <n v="10.7"/>
    <s v="Not Provided"/>
    <s v="Not Provided"/>
    <s v="Florida Legislature"/>
    <s v="Not Provided"/>
    <s v="N/A"/>
  </r>
  <r>
    <s v="FDOT District 5"/>
    <s v="N/A"/>
    <s v="FDOT-12"/>
    <s v="FM: 237712 D5_70060-3519-01"/>
    <s v="French Drains"/>
    <s v="On-line Retention BMP"/>
    <x v="0"/>
    <n v="2013"/>
    <n v="36"/>
    <n v="8.9"/>
    <s v="B"/>
    <n v="2.5"/>
    <s v="Not Provided"/>
    <s v="Not Provided"/>
    <s v="Florida Legislature"/>
    <s v="Not Provided"/>
    <s v="N/A"/>
  </r>
  <r>
    <s v="FDOT District 5"/>
    <s v="N/A"/>
    <s v="FDOT-13"/>
    <s v="FM: 422691-01 D5_422691-01"/>
    <s v="French Drains"/>
    <s v="On-line Retention BMP"/>
    <x v="0"/>
    <n v="2013"/>
    <n v="15"/>
    <n v="3.8"/>
    <s v="B"/>
    <n v="1.3"/>
    <s v="Not Provided"/>
    <s v="Not Provided"/>
    <s v="Florida Legislature"/>
    <s v="Not Provided"/>
    <s v="N/A"/>
  </r>
  <r>
    <s v="FDOT District 5"/>
    <s v="N/A"/>
    <s v="FDOT-14"/>
    <s v="Street Sweeping"/>
    <s v="Street Sweeping"/>
    <s v="Street Sweeping"/>
    <x v="0"/>
    <s v="N/A"/>
    <n v="418"/>
    <n v="268"/>
    <s v="B"/>
    <s v="N/A"/>
    <s v="Not Provided"/>
    <s v="Not Provided"/>
    <s v="Florida Legislature"/>
    <s v="Not Provided"/>
    <s v="N/A"/>
  </r>
  <r>
    <s v="FDOT District 5"/>
    <s v="N/A"/>
    <s v="FDOT-15"/>
    <s v="Education Efforts"/>
    <s v="Pamphlets, illicit discharge program"/>
    <s v="Education Efforts"/>
    <x v="0"/>
    <s v="N/A"/>
    <n v="25"/>
    <n v="8"/>
    <s v="B"/>
    <s v="N/A"/>
    <s v="Not Provided"/>
    <s v="Not Provided"/>
    <s v="Florida Legislature"/>
    <s v="Not Provided"/>
    <s v="N/A"/>
  </r>
  <r>
    <s v="FDOT District 5"/>
    <s v="N/A"/>
    <s v="FDOT-16"/>
    <s v="Fertilizer Cessation"/>
    <s v="Street Sweeping"/>
    <s v="Fertilizer Cessation"/>
    <x v="0"/>
    <s v="Not Provided"/>
    <n v="1358"/>
    <n v="0"/>
    <s v="B"/>
    <s v="-"/>
    <s v="Not Provided"/>
    <s v="Not Provided"/>
    <s v="Florida Legislature"/>
    <s v="Not Provided"/>
    <s v="N/A"/>
  </r>
  <r>
    <s v="Kennedy Space Center"/>
    <s v="Not Provided"/>
    <s v="KSC-01"/>
    <s v="KSC Landscape Fertilizer Reduction"/>
    <s v="Not Provided"/>
    <s v="Fertilizer Reduction"/>
    <x v="0"/>
    <s v="Not Provided"/>
    <n v="1872"/>
    <n v="265.39999999999998"/>
    <s v="A"/>
    <n v="200"/>
    <s v="Not Provided"/>
    <s v="Not Provided"/>
    <s v="Not Provided"/>
    <s v="Not Provided"/>
    <s v="N/A"/>
  </r>
  <r>
    <s v="Kennedy Space Center"/>
    <s v="Not Provided"/>
    <s v="KSC-02"/>
    <s v="KSC Citrus Grove Termination Jerome Rd East"/>
    <s v="Not Provided"/>
    <s v="Land Use Change"/>
    <x v="0"/>
    <n v="2014"/>
    <n v="0"/>
    <n v="0"/>
    <s v="A"/>
    <n v="49.4"/>
    <s v="N/A"/>
    <s v="N/A"/>
    <s v="N/A"/>
    <s v="N/A"/>
    <s v="N/A"/>
  </r>
  <r>
    <s v="Kennedy Space Center"/>
    <s v="Not Provided"/>
    <s v="KSC-03"/>
    <s v="KSC Citrus Grove Termination  TEL-IV "/>
    <s v="Not Provided"/>
    <s v="Land Use Change"/>
    <x v="0"/>
    <n v="2014"/>
    <n v="0"/>
    <n v="0"/>
    <s v="A"/>
    <n v="20.5"/>
    <s v="N/A"/>
    <s v="N/A"/>
    <s v="N/A"/>
    <s v="N/A"/>
    <s v="N/A"/>
  </r>
  <r>
    <s v="Kennedy Space Center"/>
    <s v="Not Provided"/>
    <s v="KSC-04"/>
    <s v="Vertical Processing Facility M7-1469"/>
    <s v="Not Provided"/>
    <s v="Land Use Change"/>
    <x v="0"/>
    <n v="2014"/>
    <n v="24"/>
    <n v="9.4"/>
    <s v="A"/>
    <n v="2.2999999999999998"/>
    <s v="N/A"/>
    <s v="N/A"/>
    <s v="N/A"/>
    <s v="N/A"/>
    <s v="N/A"/>
  </r>
  <r>
    <s v="Kennedy Space Center"/>
    <s v="Not Provided"/>
    <s v="KSC-05"/>
    <s v="Spacecraft Assembly Encapsulation Facility 2 M7-1210"/>
    <s v="Not Provided"/>
    <s v="Land Use Change"/>
    <x v="0"/>
    <n v="2014"/>
    <n v="15"/>
    <n v="4.9000000000000004"/>
    <s v="A"/>
    <n v="1.2"/>
    <s v="N/A"/>
    <s v="N/A"/>
    <s v="N/A"/>
    <s v="N/A"/>
    <s v="N/A"/>
  </r>
  <r>
    <s v="Kennedy Space Center"/>
    <s v="Not Provided"/>
    <s v="KSC-06"/>
    <s v="Central Heat Plant M6-595"/>
    <s v="Not Provided"/>
    <s v="Land Use Change"/>
    <x v="0"/>
    <n v="2014"/>
    <n v="3"/>
    <n v="1"/>
    <s v="A"/>
    <n v="0.2"/>
    <s v="N/A"/>
    <s v="N/A"/>
    <s v="N/A"/>
    <s v="N/A"/>
    <s v="N/A"/>
  </r>
  <r>
    <s v="Kennedy Space Center"/>
    <s v="Not Provided"/>
    <s v="KSC-07"/>
    <s v="Utility Shops K6-1246"/>
    <s v="Not Provided"/>
    <s v="Land Use Change"/>
    <x v="0"/>
    <n v="2014"/>
    <n v="3"/>
    <n v="1"/>
    <s v="A"/>
    <n v="0.3"/>
    <s v="N/A"/>
    <s v="N/A"/>
    <s v="N/A"/>
    <s v="N/A"/>
    <s v="N/A"/>
  </r>
  <r>
    <s v="Kennedy Space Center"/>
    <s v="Not Provided"/>
    <s v="KSC-08"/>
    <s v="Fire Station 2 K6-1198"/>
    <s v="Not Provided"/>
    <s v="Land Use Change"/>
    <x v="0"/>
    <n v="2014"/>
    <n v="5"/>
    <n v="1.5"/>
    <s v="A"/>
    <n v="0.4"/>
    <s v="N/A"/>
    <s v="N/A"/>
    <s v="N/A"/>
    <s v="N/A"/>
    <s v="N/A"/>
  </r>
  <r>
    <s v="Kennedy Space Center"/>
    <s v="Not Provided"/>
    <s v="KSC-09"/>
    <s v="Vehicle Loading Ramp  M7-0651"/>
    <s v="Not Provided"/>
    <s v="Land Use Change"/>
    <x v="0"/>
    <n v="2014"/>
    <n v="0"/>
    <n v="0.1"/>
    <s v="A"/>
    <n v="0"/>
    <s v="N/A"/>
    <s v="N/A"/>
    <s v="N/A"/>
    <s v="N/A"/>
    <s v="N/A"/>
  </r>
  <r>
    <s v="Kennedy Space Center"/>
    <s v="Not Provided"/>
    <s v="KSC-10"/>
    <s v="Hypergol Module Storage East  M7-1412"/>
    <s v="Not Provided"/>
    <s v="Land Use Change"/>
    <x v="0"/>
    <n v="2014"/>
    <n v="6"/>
    <n v="2.1"/>
    <s v="A"/>
    <n v="0.5"/>
    <s v="N/A"/>
    <s v="N/A"/>
    <s v="N/A"/>
    <s v="N/A"/>
    <s v="N/A"/>
  </r>
  <r>
    <s v="Kennedy Space Center"/>
    <s v="Not Provided"/>
    <s v="KSC-11"/>
    <s v="Hypergol Module Storage West M7-1410"/>
    <s v="Not Provided"/>
    <s v="Land Use Change"/>
    <x v="0"/>
    <n v="2014"/>
    <n v="8"/>
    <n v="2.6"/>
    <s v="A"/>
    <n v="0.6"/>
    <s v="N/A"/>
    <s v="N/A"/>
    <s v="N/A"/>
    <s v="N/A"/>
    <s v="N/A"/>
  </r>
  <r>
    <s v="Kennedy Space Center"/>
    <s v="Not Provided"/>
    <s v="KSC-12"/>
    <s v="Regional Stormwater Management System"/>
    <s v="Not Provided"/>
    <s v="Wet Detention Pond"/>
    <x v="0"/>
    <n v="2014"/>
    <n v="2541"/>
    <n v="1022.1"/>
    <s v="A"/>
    <n v="593.20000000000005"/>
    <s v="Not Provided"/>
    <s v="Not Provided"/>
    <s v="Not Provided"/>
    <s v="Not Provided"/>
    <s v="N/A"/>
  </r>
  <r>
    <s v="Kennedy Space Center"/>
    <s v="Not Provided"/>
    <s v="KSC-13"/>
    <s v="ARF Stormwater System"/>
    <s v="Not Provided"/>
    <s v="On-line Retention BMP"/>
    <x v="0"/>
    <n v="2014"/>
    <n v="320"/>
    <n v="67.8"/>
    <s v="A"/>
    <n v="55.4"/>
    <s v="Not Provided"/>
    <s v="Not Provided"/>
    <s v="Not Provided"/>
    <s v="Not Provided"/>
    <s v="N/A"/>
  </r>
  <r>
    <s v="Kennedy Space Center"/>
    <s v="Not Provided"/>
    <s v="KSC-14"/>
    <s v="VAB South Wetland Treatment System"/>
    <s v="Not Provided"/>
    <s v="Wetland Treatment"/>
    <x v="0"/>
    <n v="2014"/>
    <n v="672"/>
    <n v="330.3"/>
    <s v="A"/>
    <n v="188.5"/>
    <s v="Not Provided"/>
    <s v="Not Provided"/>
    <s v="Not Provided"/>
    <s v="Not Provided"/>
    <s v="N/A"/>
  </r>
  <r>
    <s v="Kennedy Space Center"/>
    <s v="Not Provided"/>
    <s v="KSC-15"/>
    <s v="Schwartz Road Landfill"/>
    <s v="Not Provided"/>
    <s v="100% On-site Retention"/>
    <x v="0"/>
    <n v="2014"/>
    <n v="1341"/>
    <n v="257.10000000000002"/>
    <s v="A"/>
    <n v="122.5"/>
    <s v="Not Provided"/>
    <s v="Not Provided"/>
    <s v="Not Provided"/>
    <s v="Not Provided"/>
    <s v="N/A"/>
  </r>
  <r>
    <s v="Kennedy Space Center"/>
    <s v="Not Provided"/>
    <s v="KSC-16"/>
    <s v="Closed Basin 4 (Spoil Site - Static Test Road)"/>
    <s v="Not Provided"/>
    <s v="100% On-site Retention"/>
    <x v="0"/>
    <n v="2014"/>
    <n v="844"/>
    <n v="160.6"/>
    <s v="A"/>
    <n v="68.2"/>
    <s v="Not Provided"/>
    <s v="Not Provided"/>
    <s v="Not Provided"/>
    <s v="Not Provided"/>
    <s v="N/A"/>
  </r>
  <r>
    <s v="Kennedy Space Center"/>
    <s v="Not Provided"/>
    <s v="KSC-17"/>
    <s v="Impounded Areas"/>
    <s v="Not Provided"/>
    <s v="100% On-site Retention"/>
    <x v="0"/>
    <n v="2014"/>
    <n v="2444"/>
    <n v="149.6"/>
    <s v="A"/>
    <n v="1655.3"/>
    <n v="62406"/>
    <s v="Not Provided"/>
    <s v="Not Provided"/>
    <n v="62406"/>
    <s v="N/A"/>
  </r>
  <r>
    <s v="Kennedy Space Center"/>
    <s v="Not Provided"/>
    <s v="KSC-18"/>
    <s v="Depressional Storage (22nd St. to 28th St.)"/>
    <s v="Not Provided"/>
    <s v="100% On-site Retention"/>
    <x v="0"/>
    <n v="2014"/>
    <n v="4139"/>
    <n v="228.3"/>
    <s v="A"/>
    <n v="1008.1"/>
    <n v="491976"/>
    <s v="Not Provided"/>
    <s v="Not Provided"/>
    <n v="491976"/>
    <s v="N/A"/>
  </r>
  <r>
    <s v="Kennedy Space Center"/>
    <s v="Not Provided"/>
    <s v="KSC-19"/>
    <s v="Depressional Storage (Jerome Rd. to 22nd St.)"/>
    <s v="Not Provided"/>
    <s v="100% On-site Retention"/>
    <x v="0"/>
    <n v="2014"/>
    <n v="4064"/>
    <n v="283.60000000000002"/>
    <s v="A"/>
    <n v="982"/>
    <n v="477506"/>
    <s v="Not Provided"/>
    <s v="Not Provided"/>
    <n v="477506"/>
    <s v="N/A"/>
  </r>
  <r>
    <s v="Kennedy Space Center"/>
    <s v="Not Provided"/>
    <s v="KSC-20"/>
    <s v="Demolition of Facilities M7-1521 and M7-1522"/>
    <s v="Not Provided"/>
    <s v="Land Use Change"/>
    <x v="0"/>
    <n v="2014"/>
    <n v="7"/>
    <n v="1.8"/>
    <s v="A"/>
    <n v="0.5"/>
    <s v="N/A"/>
    <s v="N/A"/>
    <s v="N/A"/>
    <s v="N/A"/>
    <s v="N/A"/>
  </r>
  <r>
    <s v="Kennedy Space Center"/>
    <s v="Not Provided"/>
    <s v="KSC-21"/>
    <s v="Demolition of Facility M6-0339"/>
    <s v="Not Provided"/>
    <s v="Land Use Change"/>
    <x v="0"/>
    <n v="2014"/>
    <n v="7"/>
    <n v="2.2999999999999998"/>
    <s v="A"/>
    <n v="0.5"/>
    <s v="N/A"/>
    <s v="N/A"/>
    <s v="N/A"/>
    <s v="N/A"/>
    <s v="N/A"/>
  </r>
  <r>
    <s v="Kennedy Space Center"/>
    <s v="Not Provided"/>
    <s v="KSC-22"/>
    <s v="Demolition of Facility M7-0862"/>
    <s v="Not Provided"/>
    <s v="Land Use Change"/>
    <x v="0"/>
    <n v="2015"/>
    <n v="0"/>
    <n v="0.1"/>
    <s v="A"/>
    <n v="0.02"/>
    <s v="N/A"/>
    <s v="N/A"/>
    <s v="N/A"/>
    <s v="N/A"/>
    <s v="N/A"/>
  </r>
  <r>
    <s v="Kennedy Space Center"/>
    <s v="Not Provided"/>
    <s v="KSC-23"/>
    <s v="Demolition of Facility M7-1012"/>
    <s v="Not Provided"/>
    <s v="Land Use Change"/>
    <x v="0"/>
    <n v="2015"/>
    <n v="0"/>
    <n v="0"/>
    <s v="A"/>
    <n v="7.0000000000000001E-3"/>
    <s v="N/A"/>
    <s v="N/A"/>
    <s v="N/A"/>
    <s v="N/A"/>
    <s v="N/A"/>
  </r>
  <r>
    <s v="Kennedy Space Center"/>
    <s v="Not Provided"/>
    <s v="KSC-24"/>
    <s v="Demolition of Facility M7-1061"/>
    <s v="Not Provided"/>
    <s v="Land Use Change"/>
    <x v="0"/>
    <n v="2015"/>
    <n v="15"/>
    <n v="3.9"/>
    <s v="A"/>
    <n v="1.3"/>
    <s v="N/A"/>
    <s v="N/A"/>
    <s v="N/A"/>
    <s v="N/A"/>
    <s v="N/A"/>
  </r>
  <r>
    <s v="Kennedy Space Center"/>
    <s v="Not Provided"/>
    <s v="KSC-25"/>
    <s v="Demolition of Facility M7-1112"/>
    <s v="Not Provided"/>
    <s v="Land Use Change"/>
    <x v="0"/>
    <n v="2015"/>
    <n v="2"/>
    <n v="0.5"/>
    <s v="A"/>
    <n v="0.11"/>
    <s v="N/A"/>
    <s v="N/A"/>
    <s v="N/A"/>
    <s v="N/A"/>
    <s v="N/A"/>
  </r>
  <r>
    <s v="Kennedy Space Center"/>
    <s v="Not Provided"/>
    <s v="KSC-26"/>
    <s v="Demolition of Facility M7-0961"/>
    <s v="Not Provided"/>
    <s v="Land Use Change"/>
    <x v="0"/>
    <n v="2015"/>
    <n v="16"/>
    <n v="4.0999999999999996"/>
    <s v="A"/>
    <n v="1.04"/>
    <s v="N/A"/>
    <s v="N/A"/>
    <s v="N/A"/>
    <s v="N/A"/>
    <s v="N/A"/>
  </r>
  <r>
    <s v="Kennedy Space Center"/>
    <s v="Not Provided"/>
    <s v="KSC-27"/>
    <s v="Demolition of Facility K7-2468"/>
    <s v="Not Provided"/>
    <s v="Land Use Change"/>
    <x v="0"/>
    <n v="2015"/>
    <n v="0"/>
    <n v="0"/>
    <s v="A"/>
    <n v="0.1"/>
    <s v="N/A"/>
    <s v="N/A"/>
    <s v="N/A"/>
    <s v="N/A"/>
    <s v="N/A"/>
  </r>
  <r>
    <s v="Kennedy Space Center"/>
    <s v="Not Provided"/>
    <s v="KSC-28"/>
    <s v="Cut 13 Dredging"/>
    <s v="Maintenance dredging."/>
    <s v="Muck Removal/ Restoration Dredging"/>
    <x v="2"/>
    <n v="2017"/>
    <n v="0"/>
    <n v="0"/>
    <s v="A"/>
    <n v="37"/>
    <n v="14000000"/>
    <s v="Not Provided"/>
    <s v="Not Provided"/>
    <n v="14000000"/>
    <s v="N/A"/>
  </r>
  <r>
    <s v="Patrick Air Force Base"/>
    <s v="Not Provided"/>
    <s v="PAFB-01"/>
    <s v="Youth Center Bldg 3656"/>
    <s v="Added on-line retention. "/>
    <s v="On-line Retention BMP"/>
    <x v="0"/>
    <n v="2013"/>
    <n v="3"/>
    <n v="0.9"/>
    <s v="B"/>
    <n v="1.7"/>
    <s v="Not Provided"/>
    <s v="Not Provided"/>
    <s v="Not Provided"/>
    <s v="Not Provided"/>
    <s v="N/A"/>
  </r>
  <r>
    <s v="Patrick Air Force Base"/>
    <s v="Not Provided"/>
    <s v="PAFB-02"/>
    <s v="Building 543 Replace Main Gate"/>
    <s v="Added on-line retention. "/>
    <s v="On-line Retention BMP"/>
    <x v="0"/>
    <n v="2013"/>
    <n v="0"/>
    <n v="0.1"/>
    <s v="B"/>
    <n v="0.2"/>
    <s v="Not Provided"/>
    <s v="Not Provided"/>
    <s v="Not Provided"/>
    <s v="Not Provided"/>
    <s v="N/A"/>
  </r>
  <r>
    <s v="Patrick Air Force Base"/>
    <s v="USACE"/>
    <s v="PAFB-03"/>
    <s v="Basin 6B No Discharge"/>
    <s v="No discharge."/>
    <s v="100% On-site Retention"/>
    <x v="0"/>
    <s v="Not Provided"/>
    <n v="46"/>
    <n v="12.5"/>
    <s v="B"/>
    <n v="3.2"/>
    <s v="Not Provided"/>
    <s v="Not Provided"/>
    <s v="USAF"/>
    <s v="Not Provided"/>
    <s v="N/A"/>
  </r>
  <r>
    <s v="Patrick Air Force Base"/>
    <s v="USACE"/>
    <s v="PAFB-04"/>
    <s v="Basin 6C No Discharge"/>
    <s v="No discharge."/>
    <s v="100% On-site Retention"/>
    <x v="0"/>
    <s v="Not Provided"/>
    <n v="164"/>
    <n v="43.5"/>
    <s v="B"/>
    <n v="11.3"/>
    <s v="Not Provided"/>
    <s v="Not Provided"/>
    <s v="USAF"/>
    <s v="Not Provided"/>
    <s v="N/A"/>
  </r>
  <r>
    <s v="Patrick Air Force Base"/>
    <s v="Not Provided"/>
    <s v="PAFB-05"/>
    <s v="Education Efforts"/>
    <s v="In addition to no fertilizer use on base, 212 personnel/residents received initial stormwater awareness training in the monthly newcomers meetings; additional 347 personnel received stormwater awareness using the ESOHTN website or in-person training; 204 Illicit Discharge Detection and Elimination (IDDE) informational brochures were distributed to residents, businesses and base personnel in 2017. Two stormwater-related articles were published for distribution through the base newpaper and website in 2017."/>
    <s v="Enhanced Public Education"/>
    <x v="0"/>
    <s v="N/A"/>
    <n v="367"/>
    <n v="97"/>
    <s v="B"/>
    <s v="N/A"/>
    <s v="Not Provided"/>
    <s v="Not Provided"/>
    <s v="USAF"/>
    <s v="Not Provided"/>
    <s v="N/A"/>
  </r>
  <r>
    <s v="Patrick Air Force Base"/>
    <s v="Not Provided"/>
    <s v="PAFB-06"/>
    <s v="Golf Course Pond Stormwater Reuse"/>
    <s v="Not Provided"/>
    <s v="Stormwater Reuse"/>
    <x v="0"/>
    <n v="2013"/>
    <n v="3677"/>
    <n v="969.9"/>
    <s v="B"/>
    <n v="348.9"/>
    <n v="850000"/>
    <s v="Not Provided"/>
    <s v="USAF"/>
    <n v="850000"/>
    <s v="N/A"/>
  </r>
  <r>
    <s v="Patrick Air Force Base"/>
    <s v="Not Provided"/>
    <s v="PAFB-07"/>
    <s v="Street Sweeping"/>
    <s v="9.8 tons of debris removed through sweeping of 5,055 miles of streets. "/>
    <s v="Street Sweeping"/>
    <x v="0"/>
    <s v="N/A"/>
    <n v="11"/>
    <n v="7"/>
    <s v="B"/>
    <n v="14705"/>
    <s v="Not Provided"/>
    <n v="119000"/>
    <s v="USAF"/>
    <s v="Not Provided"/>
    <s v="N/A"/>
  </r>
  <r>
    <s v="Patrick Air Force Base"/>
    <s v="Not Provided"/>
    <s v="PAFB-08"/>
    <s v="Demo AFTEC Bldg."/>
    <s v="Demolition/ loss of impervious area."/>
    <s v="Land use change"/>
    <x v="0"/>
    <s v="Not Provided"/>
    <s v="Not Provided"/>
    <s v="Not Provided"/>
    <s v="B"/>
    <s v="Not Provided"/>
    <s v="N/A"/>
    <s v="N/A"/>
    <s v="N/A"/>
    <s v="N/A"/>
    <s v="N/A"/>
  </r>
  <r>
    <s v="Patrick Air Force Base"/>
    <s v="Not Provided"/>
    <s v="PAFB-09"/>
    <s v="Fuel Farm "/>
    <s v="Not Provided"/>
    <s v="Baffle Boxes-Second Generation"/>
    <x v="0"/>
    <n v="2016"/>
    <s v="Not Provided"/>
    <s v="Not Provided"/>
    <s v="B"/>
    <s v="Not Provided"/>
    <s v="Not Provided"/>
    <s v="Not Provided"/>
    <s v="USAF"/>
    <s v="Not Provided"/>
    <s v="N/A"/>
  </r>
  <r>
    <s v="Patrick Air Force Base"/>
    <s v="Not Provided"/>
    <s v="PAFB-10"/>
    <s v="South Patrick Drive Baffle Box "/>
    <s v="Not Provided"/>
    <s v="Baffle Boxes-Second Generation"/>
    <x v="1"/>
    <s v="N/A"/>
    <s v="N/A"/>
    <s v="N/A"/>
    <s v="N/A"/>
    <s v="N/A"/>
    <s v="N/A"/>
    <s v="N/A"/>
    <s v="N/A"/>
    <s v="N/A"/>
    <s v="N/A"/>
  </r>
  <r>
    <s v="Patrick Air Force Base"/>
    <s v="Not Provided"/>
    <s v="PAFB-11"/>
    <s v="Canal/Basin Clean-out"/>
    <s v="170 inlets/ pipes/ swales/ ponds were inspected and 89 maintenance operations of stormwater systems were performed in 2017. "/>
    <s v="On-line Retention BMP"/>
    <x v="0"/>
    <n v="2017"/>
    <n v="71"/>
    <n v="29"/>
    <s v="B"/>
    <s v="N/A"/>
    <n v="134500"/>
    <n v="134500"/>
    <s v="USAF"/>
    <n v="134500"/>
    <s v="N/A"/>
  </r>
  <r>
    <s v="Patrick Air Force Base"/>
    <s v="USACE"/>
    <s v="PAFB-12"/>
    <s v="Ponds Without Discharge"/>
    <s v="Documenting no discharge from existing retention ponds. Sub-basins 11A, 18A, and 18B."/>
    <s v="Impoundment"/>
    <x v="0"/>
    <n v="2017"/>
    <s v="TBD"/>
    <s v="TBD"/>
    <s v="B"/>
    <n v="87"/>
    <s v="Not Provided"/>
    <s v="Not Provided"/>
    <s v="USAF"/>
    <s v="Not Provided"/>
    <s v="N/A"/>
  </r>
  <r>
    <s v="Patrick Air Force Base"/>
    <s v="USACE"/>
    <s v="PAFB-13"/>
    <s v="Dry Detention Ponds after 2000"/>
    <s v="Documenting treatment from existing completed ERP projects that were not included in the PLSM model. "/>
    <s v="Dry Detention Pond"/>
    <x v="0"/>
    <n v="2016"/>
    <s v="TBD"/>
    <s v="TBD"/>
    <s v="B"/>
    <n v="144.23684280000001"/>
    <s v="Not Provided"/>
    <s v="Not Provided"/>
    <s v="USAF"/>
    <s v="Not Provided"/>
    <s v="N/A"/>
  </r>
  <r>
    <s v="Patrick Air Force Base"/>
    <s v="USACE"/>
    <s v="PAFB-14"/>
    <s v="Golf Course MAPS Install"/>
    <s v="Install 4 MAPS at the golf course within the retention ponds."/>
    <s v="Floating Islands/MAPS"/>
    <x v="2"/>
    <n v="2018"/>
    <s v="TBD"/>
    <s v="TBD"/>
    <s v="B"/>
    <n v="3"/>
    <s v="Not Provided"/>
    <n v="2000"/>
    <s v="USAF"/>
    <s v="Not Provided"/>
    <s v="N/A"/>
  </r>
  <r>
    <s v="Patrick Air Force Base"/>
    <s v="USACE"/>
    <s v="PAFB-15"/>
    <s v="TMDL Monitoring and Data Collection"/>
    <s v="Collect stormwater and baseflow nutrient concentrations and rainfall data from 5 monitoring stations; collect baseflow and stormwater runoff flow volume data and groundwater elevation data from 6 monitoring stations."/>
    <s v="Monitoring/Data Collection"/>
    <x v="2"/>
    <n v="2018"/>
    <s v="N/A"/>
    <s v="N/A"/>
    <s v="B"/>
    <s v="N/A"/>
    <n v="1850000"/>
    <n v="370000"/>
    <s v="USAF"/>
    <n v="1850000"/>
    <s v="N/A"/>
  </r>
  <r>
    <s v="Patrick Air Force Base"/>
    <s v="FEMA/ IRP/ AFCEC "/>
    <s v="PAFB-16"/>
    <s v="Shoreline Stabilization Projects PAFB"/>
    <s v="West of Runway 11/29: 490 LF of riprap, 780 LF of marsh sill barrier (living shoreline), and planting native marsh grasses between the existing shoreline and breakwater. Eastern Portion of Landfill No. 5 along Survival Canal: 2,570 LF of riprap, 256 LF of living shoreline, and plantings of native species in the upland areas. Western PAFB Shoreline: PAFB Banana River shoreline permit issued, awaiting USACE permit. "/>
    <s v="Shoreline Stabilization"/>
    <x v="2"/>
    <n v="2019"/>
    <s v="TBD"/>
    <s v="TBD"/>
    <s v="B"/>
    <n v="249"/>
    <n v="11676000"/>
    <s v="TBD"/>
    <s v="USAF/AFERA"/>
    <n v="11676000"/>
    <s v="N/A"/>
  </r>
  <r>
    <s v="Patrick Air Force Base"/>
    <s v="Not Provided"/>
    <s v="PAFB-17"/>
    <s v="Public Education"/>
    <s v="Six outreach events were held: Annual Spring Beach Cleanup; PAFB Riverside Cleanup; Earth Day Memorial Tree Planting; Earth Day Outreach at the BX; Space Wing Family Day; and PAFB Fall Beach Cleanup._x000a_"/>
    <s v="Enhanced Public Education "/>
    <x v="0"/>
    <n v="2017"/>
    <s v="N/A"/>
    <s v="N/A"/>
    <s v="B"/>
    <s v="N/A"/>
    <s v="Not Provided"/>
    <s v="N/A"/>
    <s v="USAF"/>
    <s v="Not Provided"/>
    <s v="N/A"/>
  </r>
  <r>
    <s v="Patrick Air Force Base"/>
    <s v="Not Provided"/>
    <s v="PAFB-18"/>
    <s v="Manatee Cove Marina entrance Dredging Project"/>
    <s v="Removed 2,500 cubic yards of sand from the Manatee Cove Marina entrance."/>
    <s v="Muck Removal/Restoration Dredging"/>
    <x v="0"/>
    <n v="2017"/>
    <s v="TBD"/>
    <s v="TBD"/>
    <s v="B"/>
    <s v="N/A"/>
    <s v="Not Provided"/>
    <s v="Not Provided"/>
    <s v="USAF"/>
    <s v="TBD"/>
    <s v="N/A"/>
  </r>
  <r>
    <s v="Patrick Air Force Base"/>
    <s v="N/A"/>
    <s v="PAFB-19"/>
    <s v="Wetlands as Filters"/>
    <s v="PAFB jurisdictional wetlands consist of four canals that directly connect to the Banana River totaling 35.7 surface acres."/>
    <s v="Natural Wetlands as Filters"/>
    <x v="3"/>
    <s v="TBD"/>
    <s v="TBD"/>
    <s v="TBD"/>
    <s v="B"/>
    <s v="TBD"/>
    <s v="N/A"/>
    <s v="N/A"/>
    <s v="USAF"/>
    <s v="N/A"/>
    <s v="N/A"/>
  </r>
  <r>
    <m/>
    <m/>
    <m/>
    <m/>
    <m/>
    <m/>
    <x v="4"/>
    <m/>
    <m/>
    <m/>
    <m/>
    <m/>
    <m/>
    <m/>
    <m/>
    <m/>
    <m/>
  </r>
  <r>
    <m/>
    <m/>
    <m/>
    <m/>
    <m/>
    <m/>
    <x v="4"/>
    <m/>
    <m/>
    <m/>
    <m/>
    <m/>
    <m/>
    <m/>
    <m/>
    <m/>
    <m/>
  </r>
  <r>
    <m/>
    <m/>
    <m/>
    <m/>
    <m/>
    <m/>
    <x v="4"/>
    <m/>
    <m/>
    <m/>
    <m/>
    <m/>
    <m/>
    <m/>
    <m/>
    <m/>
    <m/>
  </r>
  <r>
    <m/>
    <m/>
    <m/>
    <m/>
    <m/>
    <m/>
    <x v="4"/>
    <m/>
    <m/>
    <m/>
    <m/>
    <m/>
    <m/>
    <m/>
    <m/>
    <m/>
    <m/>
  </r>
  <r>
    <m/>
    <m/>
    <m/>
    <m/>
    <m/>
    <m/>
    <x v="4"/>
    <m/>
    <m/>
    <m/>
    <m/>
    <m/>
    <m/>
    <m/>
    <m/>
    <m/>
    <m/>
  </r>
  <r>
    <m/>
    <m/>
    <m/>
    <m/>
    <m/>
    <m/>
    <x v="4"/>
    <m/>
    <m/>
    <m/>
    <m/>
    <m/>
    <m/>
    <m/>
    <m/>
    <m/>
    <m/>
  </r>
  <r>
    <m/>
    <m/>
    <m/>
    <m/>
    <m/>
    <m/>
    <x v="4"/>
    <m/>
    <m/>
    <m/>
    <m/>
    <m/>
    <m/>
    <m/>
    <m/>
    <m/>
    <m/>
  </r>
  <r>
    <m/>
    <m/>
    <m/>
    <m/>
    <m/>
    <m/>
    <x v="4"/>
    <m/>
    <m/>
    <m/>
    <m/>
    <m/>
    <m/>
    <m/>
    <m/>
    <m/>
    <m/>
  </r>
  <r>
    <m/>
    <m/>
    <m/>
    <m/>
    <m/>
    <m/>
    <x v="4"/>
    <m/>
    <m/>
    <m/>
    <m/>
    <m/>
    <m/>
    <m/>
    <m/>
    <m/>
    <m/>
  </r>
  <r>
    <m/>
    <m/>
    <m/>
    <m/>
    <m/>
    <m/>
    <x v="4"/>
    <m/>
    <m/>
    <m/>
    <m/>
    <m/>
    <m/>
    <m/>
    <m/>
    <m/>
    <m/>
  </r>
  <r>
    <m/>
    <m/>
    <m/>
    <m/>
    <m/>
    <m/>
    <x v="4"/>
    <m/>
    <m/>
    <m/>
    <m/>
    <m/>
    <m/>
    <m/>
    <m/>
    <m/>
    <m/>
  </r>
  <r>
    <m/>
    <m/>
    <m/>
    <m/>
    <m/>
    <m/>
    <x v="4"/>
    <m/>
    <m/>
    <m/>
    <m/>
    <m/>
    <m/>
    <m/>
    <m/>
    <m/>
    <m/>
  </r>
  <r>
    <m/>
    <m/>
    <m/>
    <m/>
    <m/>
    <m/>
    <x v="4"/>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
  <r>
    <n v="2541"/>
    <s v="Brevard County"/>
    <s v="DEP"/>
    <s v="BC-19"/>
    <s v="Third Ave Baffle Box"/>
    <s v="Upgrading a 1st generation baffle box to a 2nd generatrion baffle box by adding the nutrient separating screen."/>
    <s v="Baffle Boxes- First Generation (hydrodynamic separator)"/>
    <x v="0"/>
    <n v="2015"/>
    <n v="93"/>
    <n v="10"/>
    <s v="B"/>
    <n v="53.1"/>
    <n v="31452"/>
    <s v="Not provided"/>
    <s v="DEP"/>
    <s v="DEP - $31,452"/>
    <s v="S0648"/>
    <s v="Structural"/>
    <s v="Completed"/>
    <n v="2013"/>
    <s v="Banana River Lagoon"/>
    <s v="Not provided"/>
    <s v="Not provided"/>
    <s v="Not provided"/>
  </r>
  <r>
    <n v="2540"/>
    <s v="Brevard County"/>
    <s v="Not provided"/>
    <s v="BC-20"/>
    <s v="Bes Management Practice (BMP) Cleanout"/>
    <s v="Cleaning out the BMP such as baffle boxes, inlet baskets, and sediment basins."/>
    <s v="BMP Cleanout"/>
    <x v="0"/>
    <s v="N/A"/>
    <n v="1"/>
    <n v="1"/>
    <s v="B"/>
    <s v="N/A"/>
    <n v="95069"/>
    <n v="55300"/>
    <s v="N/A"/>
    <n v="95069"/>
    <s v="N/A"/>
    <s v="Non-structural"/>
    <s v="Ongoing"/>
    <n v="2013"/>
    <s v="Banana River Lagoon"/>
    <s v="Not provided"/>
    <s v="Not provided"/>
    <s v="Not provided"/>
  </r>
  <r>
    <n v="2539"/>
    <s v="Brevard County"/>
    <s v="DEP"/>
    <s v="BC-21"/>
    <s v="Fourth Place Baffle Box"/>
    <s v="Upgrading a 1st generation to a 2nd generatrion baffle box by adding the nutrient separating screen."/>
    <s v="Baffle Boxes- First Generation (hydrodynamic separator)"/>
    <x v="0"/>
    <n v="2015"/>
    <n v="146"/>
    <n v="25.7"/>
    <s v="B"/>
    <n v="57"/>
    <n v="34037"/>
    <s v="Not provided"/>
    <s v="DEP"/>
    <s v="DEP - $34,037"/>
    <s v="S0648"/>
    <s v="Structural"/>
    <s v="Completed"/>
    <n v="2013"/>
    <s v="Banana River Lagoon"/>
    <s v="Not provided"/>
    <s v="Not provided"/>
    <s v="Not provided"/>
  </r>
  <r>
    <n v="2538"/>
    <s v="Brevard County"/>
    <s v="DEP"/>
    <s v="BC-22"/>
    <s v="Thrush 405 Baffle Box"/>
    <s v="Upgrading a 1st generation to a 2nd generatrion baffle box by adding the nutrient separating screen."/>
    <s v="Baffle Boxes- First Generation (hydrodynamic separator)"/>
    <x v="0"/>
    <n v="2015"/>
    <n v="7"/>
    <n v="0.7"/>
    <s v="B"/>
    <n v="4.3"/>
    <n v="12507"/>
    <s v="Not provided"/>
    <s v="DEP"/>
    <s v="DEP - $12,507"/>
    <s v="S0648"/>
    <s v="Structural"/>
    <s v="Completed"/>
    <n v="2013"/>
    <s v="Banana River Lagoon"/>
    <s v="Not provided"/>
    <s v="Not provided"/>
    <s v="Not provided"/>
  </r>
  <r>
    <n v="2570"/>
    <s v="Brevard County"/>
    <s v="Not provided"/>
    <s v="BC-23"/>
    <s v="Fortenberry Pond MAPS"/>
    <s v="Installation of floating vegetation islands to remove nitrogen from an existing wet detention pond."/>
    <s v="Floating Islands/ Managed Aquatic Plant Systems (MAPS)"/>
    <x v="1"/>
    <s v="N/A"/>
    <s v="N/A"/>
    <s v="N/A"/>
    <s v="N/A"/>
    <s v="N/A"/>
    <s v="N/A"/>
    <s v="N/A"/>
    <s v="N/A"/>
    <s v="N/A"/>
    <s v="N/A"/>
    <s v="Structural"/>
    <s v="Canceled"/>
    <n v="2013"/>
    <s v="Banana River Lagoon"/>
    <s v="N/A"/>
    <s v="N/A"/>
    <s v="N/A"/>
  </r>
  <r>
    <n v="2546"/>
    <s v="Brevard County"/>
    <s v="DEP"/>
    <s v="BC-24"/>
    <s v="Merritt Ridge Pond 3A"/>
    <s v="Installation of floating vegetation islands to remove nitrogen from an existing wet detention pond."/>
    <s v="Floating Islands/ Managed Aquatic Plant Systems (MAPS)"/>
    <x v="0"/>
    <s v="Prior to 2013"/>
    <n v="210"/>
    <n v="48.7"/>
    <s v="B"/>
    <n v="84.4"/>
    <n v="114914"/>
    <n v="25091"/>
    <s v="DEP"/>
    <s v="DEP - $114,914"/>
    <s v="G0430"/>
    <s v="Structural"/>
    <s v="Funded"/>
    <n v="2013"/>
    <s v="Banana River Lagoon"/>
    <s v="Not provided"/>
    <s v="Not provided"/>
    <s v="Not provided"/>
  </r>
  <r>
    <n v="2548"/>
    <s v="Brevard County"/>
    <s v="Satellite Beach"/>
    <s v="BC-25"/>
    <s v="Cassia Phase 3"/>
    <s v="Landscape buffer/ drainage swale along the adjoining roadway. Improvements include the construction of a dry detention area within  an existing ditch and construction of roadside swales in the location of the existing bike/ pedestrian lane."/>
    <s v="On-line Retention BMPs"/>
    <x v="0"/>
    <n v="2013"/>
    <n v="100"/>
    <n v="0"/>
    <s v="B"/>
    <n v="18.399999999999999"/>
    <n v="100000"/>
    <s v="Not provided"/>
    <s v="DEP/ Satellite Beach/ Brevard County"/>
    <s v="Not provided"/>
    <s v="N/A"/>
    <s v="Structural"/>
    <s v="Completed"/>
    <n v="2013"/>
    <s v="Banana River Lagoon"/>
    <s v="Not provided"/>
    <s v="Not provided"/>
    <s v="Not provided"/>
  </r>
  <r>
    <n v="2582"/>
    <s v="Brevard County"/>
    <s v="SJRWMD"/>
    <s v="BC-26"/>
    <s v="South Patrick Drive Baffle Box"/>
    <s v="2nd generation baffle box with denitrification bioreactor."/>
    <s v="Baffle Boxes- Second Generation"/>
    <x v="0"/>
    <n v="2017"/>
    <n v="132"/>
    <n v="16.899999999999999"/>
    <s v="B"/>
    <n v="73.900000000000006"/>
    <n v="320256"/>
    <n v="2100"/>
    <s v="SJRWMD/ DEP"/>
    <s v="SJRWMD - $57,750/ DEP - $136,000"/>
    <s v="LP05111"/>
    <s v="Structural"/>
    <s v="Funded"/>
    <n v="2013"/>
    <s v="Banana River Lagoon"/>
    <s v="Not provided"/>
    <s v="Not provided"/>
    <s v="Not provided"/>
  </r>
  <r>
    <n v="2581"/>
    <s v="Brevard County"/>
    <s v="Not provided"/>
    <s v="BC-27"/>
    <s v="Kelly Park Reuse"/>
    <s v="Not provided."/>
    <s v="Stormwater Reuse"/>
    <x v="0"/>
    <n v="2013"/>
    <n v="19"/>
    <n v="1.3"/>
    <s v="B"/>
    <n v="32.9"/>
    <s v="Not provided"/>
    <s v="Not provided"/>
    <s v="Not provided"/>
    <s v="Not provided"/>
    <s v="N/A"/>
    <s v="Structural"/>
    <s v="Completed"/>
    <n v="2013"/>
    <s v="Banana River Lagoon"/>
    <s v="Not provided"/>
    <s v="Not provided"/>
    <s v="Not provided"/>
  </r>
  <r>
    <n v="2580"/>
    <s v="Brevard County"/>
    <s v="Not provided"/>
    <s v="BC-28"/>
    <s v="Patrick Air Force Base Golf Course Pond Stormwater Reuse"/>
    <s v="Conversion of a retention pond into a reusue pond to irrigate the golf course."/>
    <s v="Stormwater Reuse"/>
    <x v="0"/>
    <n v="2016"/>
    <n v="359.1"/>
    <n v="0"/>
    <s v="B"/>
    <n v="88.331207629214006"/>
    <s v="Not provided"/>
    <s v="Not provided"/>
    <s v="Not provided"/>
    <s v="Not provided"/>
    <s v="N/A"/>
    <s v="Structural"/>
    <s v="Planned, Not Funded"/>
    <n v="2013"/>
    <s v="Banana River Lagoon"/>
    <s v="Not provided"/>
    <s v="Not provided"/>
    <s v="Not provided"/>
  </r>
  <r>
    <n v="2579"/>
    <s v="City of Cocoa Beach"/>
    <s v="DEP"/>
    <s v="BC-29"/>
    <s v="Ocean Boulevard"/>
    <s v="Upgrading a 1st generation to a 2nd generatrion baffle box by adding the nutrient separating screen."/>
    <s v="Baffle Boxes- First Generation (hydrodynamic separator)"/>
    <x v="0"/>
    <n v="2015"/>
    <n v="10"/>
    <n v="1.4"/>
    <s v="B"/>
    <n v="6"/>
    <n v="12507"/>
    <n v="2000"/>
    <s v="DEP"/>
    <s v="DEP - $12,507"/>
    <s v="S0648"/>
    <s v="Structural"/>
    <s v="Completed"/>
    <n v="2014"/>
    <s v="Banana River Lagoon"/>
    <s v="Not provided"/>
    <s v="Not provided"/>
    <s v="Not provided"/>
  </r>
  <r>
    <n v="2578"/>
    <s v="Brevard County"/>
    <s v="N/A"/>
    <s v="BC-30"/>
    <s v="Street Sweeping"/>
    <s v="Monthly street sweeping."/>
    <s v="Street Sweeping"/>
    <x v="0"/>
    <s v="N/A"/>
    <n v="0"/>
    <n v="0"/>
    <s v="A"/>
    <s v="N/A"/>
    <s v="N/A"/>
    <n v="47064"/>
    <s v="N/A"/>
    <s v="N/A"/>
    <s v="N/A"/>
    <s v="Non-structural"/>
    <s v="Started"/>
    <n v="2015"/>
    <s v="Banana River Lagoon"/>
    <s v="N/A"/>
    <s v="N/A"/>
    <s v="Not provided"/>
  </r>
  <r>
    <n v="2577"/>
    <s v="Brevard County"/>
    <s v="Not provided"/>
    <s v="BC-31"/>
    <s v="BMP Cleanout"/>
    <s v="Quarterly baffle box/ sediment trap cleaning."/>
    <s v="BMP Cleanout"/>
    <x v="0"/>
    <s v="N/A"/>
    <n v="0"/>
    <n v="0"/>
    <s v="A"/>
    <s v="N/A"/>
    <s v="N/A"/>
    <n v="52000"/>
    <s v="N/A"/>
    <s v="N/A"/>
    <s v="N/A"/>
    <s v="Non-structural"/>
    <s v="Started"/>
    <n v="2015"/>
    <s v="Banana River Lagoon"/>
    <s v="N/A"/>
    <s v="N/A"/>
    <s v="Not provided"/>
  </r>
  <r>
    <n v="2576"/>
    <s v="Brevard County"/>
    <s v="DEP"/>
    <s v="BC-32"/>
    <s v="Cocoa Beach Canal Dredging"/>
    <s v="Muck removal of 84,000 cubic yards of material."/>
    <s v="Muck Removal/Restoration Dredging"/>
    <x v="0"/>
    <n v="2017"/>
    <n v="0"/>
    <n v="0"/>
    <s v="B"/>
    <s v="Not provided"/>
    <n v="20000000"/>
    <s v="Not provided"/>
    <s v="DEP"/>
    <s v="DEP - $10,000,000"/>
    <s v="S0714"/>
    <s v="Non-structural"/>
    <s v="Completed"/>
    <n v="2017"/>
    <s v="Banana River Lagoon"/>
    <s v="Not provided"/>
    <s v="Not provided"/>
    <s v="Not provided"/>
  </r>
  <r>
    <s v="4328"/>
    <s v="City of Cape Canaveral"/>
    <s v="Cape Canaveral/ Save Our Indian River Lagoon (SOIRL)"/>
    <s v="BC-33"/>
    <s v="Central Blvd Baffle Box"/>
    <s v="2nd generation baffle box, SOIRL-13."/>
    <s v="Baffle Boxes- Second Generation"/>
    <x v="0"/>
    <n v="2017"/>
    <s v="TBD"/>
    <s v="TBD"/>
    <s v="B"/>
    <n v="213.4"/>
    <n v="41700"/>
    <n v="41700"/>
    <s v="SOIRL/ DEP"/>
    <n v="34700"/>
    <s v="NF025"/>
    <s v="Structural"/>
    <s v="Completed"/>
    <n v="2018"/>
    <s v="Banana River Lagoon"/>
    <s v="Not provided"/>
    <s v="Not provided"/>
    <s v="Not provided"/>
  </r>
  <r>
    <s v="4329"/>
    <s v="City of Indian Harbour Beach"/>
    <s v="Save Our Indian River Lagoon"/>
    <s v="BC-34"/>
    <s v="Gleason Park Reuse"/>
    <s v="Increasing reuse from an existing facility, SOIRL-16."/>
    <s v="Stormwater Reuse"/>
    <x v="0"/>
    <n v="2017"/>
    <s v="TBD"/>
    <s v="TBD"/>
    <s v="B"/>
    <n v="128.9"/>
    <n v="11000"/>
    <s v="Not provided"/>
    <s v="SOIRL"/>
    <n v="4224"/>
    <s v="N/A"/>
    <s v="Structural"/>
    <s v="Completed"/>
    <n v="2018"/>
    <s v="Banana River Lagoon"/>
    <s v="Not provided"/>
    <s v="Not provided"/>
    <s v="Not provided"/>
  </r>
  <r>
    <s v="4330"/>
    <s v="Brevard County"/>
    <s v="All Cities"/>
    <s v="BC-35"/>
    <s v="Education Efforts"/>
    <s v="Fertilizer video, rainbarrel workshops, Facebook page, bus wrap, and billboard."/>
    <s v="Education Efforts"/>
    <x v="2"/>
    <s v="N/A"/>
    <s v="N/A"/>
    <s v="N/A"/>
    <s v="B"/>
    <s v="N/A"/>
    <s v="N/A"/>
    <n v="42000"/>
    <s v="N/A"/>
    <s v="N/A"/>
    <s v="N/A"/>
    <s v="Non-structural"/>
    <s v="Underway"/>
    <n v="2018"/>
    <s v="Banana River Lagoon"/>
    <s v="Not provided"/>
    <s v="Not provided"/>
    <s v="Not provided"/>
  </r>
  <r>
    <s v="4331"/>
    <s v="Brevard County"/>
    <s v="N/A"/>
    <s v="BC-36"/>
    <s v="Merritt Island Airport"/>
    <s v="Two wet detention ponds (80-acres &amp; 23 acres) with gravity flow and pump station."/>
    <s v="Wet Detention Pond"/>
    <x v="0"/>
    <n v="2011"/>
    <n v="458"/>
    <n v="160"/>
    <s v="B"/>
    <n v="184.2"/>
    <n v="672464.37"/>
    <s v="N/A"/>
    <s v="DEP TMDL"/>
    <s v="DEP TMDL - $307,333.86"/>
    <s v="S0439"/>
    <s v="Structural"/>
    <s v="Completed"/>
    <n v="2018"/>
    <s v="Banana River Lagoon"/>
    <s v="Not provided"/>
    <s v="Not provided"/>
    <s v="Not provided"/>
  </r>
  <r>
    <s v="4332"/>
    <s v="Brevard County"/>
    <s v="DEP"/>
    <s v="BC-37"/>
    <s v="Artemis Blvd. - BB #979"/>
    <s v="Biosorption Activated Media installed within existing Merritt Island drainage ditch system to remove nitrogen from groundwater baseflow with phosphorus removal media."/>
    <s v="Biosorption Activated Media (BAM)"/>
    <x v="0"/>
    <n v="2019"/>
    <s v="TBD"/>
    <s v="TBD"/>
    <s v="B"/>
    <n v="789"/>
    <n v="150000"/>
    <n v="2500"/>
    <s v="Legislative Funding"/>
    <s v="Legislative Funding - $35,000"/>
    <s v="LP0511A"/>
    <s v="Structural"/>
    <s v="Underway"/>
    <n v="2018"/>
    <s v="Banana River Lagoon"/>
    <s v="Not provided"/>
    <s v="Not provided"/>
    <s v="Not provided"/>
  </r>
  <r>
    <s v="4333"/>
    <s v="Brevard County"/>
    <s v="DEP"/>
    <s v="BC-38"/>
    <s v="Oceana Drive - BB#997A"/>
    <s v="Biosorption Activated Media installed within existing Merritt Island drainage ditch system to remove nitrogen from groundwater baseflow."/>
    <s v="Biosorption Activated Media (BAM)"/>
    <x v="0"/>
    <n v="2019"/>
    <s v="TBD"/>
    <s v="TBD"/>
    <s v="B"/>
    <n v="68"/>
    <n v="50000"/>
    <n v="1000"/>
    <s v="Legislative Funding"/>
    <s v="Legislative Funding - $35,000"/>
    <s v="LP0511A"/>
    <s v="Structural"/>
    <s v="Underway"/>
    <n v="2018"/>
    <s v="Banana River Lagoon"/>
    <s v="Not provided"/>
    <s v="Not provided"/>
    <s v="Not provided"/>
  </r>
  <r>
    <s v="4334"/>
    <s v="Brevard County"/>
    <s v="DEP"/>
    <s v="BC-39"/>
    <s v="Georgiana Drive - BB#997C"/>
    <s v="Biosorption Activated Media installed within existing Merritt Island drainage ditch system to remove nitrogen from groundwater baseflow."/>
    <s v="Biosorption Activated Media (BAM)"/>
    <x v="0"/>
    <n v="2019"/>
    <s v="TBD"/>
    <s v="TBD"/>
    <s v="B"/>
    <n v="68"/>
    <n v="50000"/>
    <n v="1000"/>
    <s v="Legislative Funding"/>
    <s v="Legislative Funding - $35,000"/>
    <s v="LP0511A"/>
    <s v="Structural"/>
    <s v="Underway"/>
    <n v="2018"/>
    <s v="Banana River Lagoon"/>
    <s v="Not provided"/>
    <s v="Not provided"/>
    <s v="Not provided"/>
  </r>
  <r>
    <s v="4335"/>
    <s v="Brevard County"/>
    <s v="DEP"/>
    <s v="BC-40"/>
    <s v="Savannah Drive - BB#997B"/>
    <s v="Biosorption Activated Media installed within existing Merritt Island drainage ditch system to remove nitrogen from groundwater baseflow."/>
    <s v="Biosorption Activated Media (BAM)"/>
    <x v="0"/>
    <n v="2019"/>
    <s v="TBD"/>
    <s v="TBD"/>
    <s v="B"/>
    <n v="68"/>
    <n v="50000"/>
    <n v="1000"/>
    <s v="Legislative Funding"/>
    <s v="Legislative Funding - $35,000"/>
    <s v="LP0511A"/>
    <s v="Structural"/>
    <s v="Underway"/>
    <n v="2018"/>
    <s v="Banana River Lagoon"/>
    <s v="Not provided"/>
    <s v="Not provided"/>
    <s v="Not provided"/>
  </r>
  <r>
    <s v="4336"/>
    <s v="Brevard County"/>
    <s v="DEP"/>
    <s v="BC-41"/>
    <s v="Needle Blvd. - BB #998"/>
    <s v="Biosorption Activated Media installed within existing Merritt Island drainage ditch system to remove nitrogen from groundwater baseflow."/>
    <s v="Biosorption Activated Media (BAM)"/>
    <x v="0"/>
    <n v="2019"/>
    <s v="TBD"/>
    <s v="TBD"/>
    <s v="B"/>
    <n v="273"/>
    <n v="55000"/>
    <n v="1000"/>
    <s v="Legislative Funding"/>
    <s v="Legislative Funding - $35,000"/>
    <s v="LP0511A"/>
    <s v="Structural"/>
    <s v="Underway"/>
    <n v="2018"/>
    <s v="Banana River Lagoon"/>
    <s v="Not provided"/>
    <s v="Not provided"/>
    <s v="Not provided"/>
  </r>
  <r>
    <s v="4337"/>
    <s v="Brevard County"/>
    <s v="N/A"/>
    <s v="BC-42"/>
    <s v="Piney Woods  BB #1066"/>
    <s v="Biosorption Activated Media installed within existing Merritt Island drainage ditch system to remove nitrogen from baseflow."/>
    <s v="Biosorption Activated Media (BAM)"/>
    <x v="1"/>
    <s v="N/A"/>
    <s v="N/A"/>
    <s v="N/A"/>
    <s v="B"/>
    <s v="N/A"/>
    <s v="N/A"/>
    <s v="N/A"/>
    <s v="N/A"/>
    <s v="N/A"/>
    <s v="N/A"/>
    <s v="Structural"/>
    <s v="Underway"/>
    <n v="2018"/>
    <s v="Banana River Lagoon"/>
    <s v="Not provided"/>
    <s v="Not provided"/>
    <s v="Not provided"/>
  </r>
  <r>
    <s v="4338"/>
    <s v="Brevard County"/>
    <s v="DEP/ SOIRL"/>
    <s v="BC-43"/>
    <s v="Seagull Drive Pond Pond BAM Train BB#1304 (D-4)"/>
    <s v="Media will be installed along side slope of existing pond and will include solar panels."/>
    <s v="BMP Treatment Train"/>
    <x v="2"/>
    <n v="2020"/>
    <s v="TBD"/>
    <s v="TBD"/>
    <s v="N/A"/>
    <s v="Not provided"/>
    <n v="96000"/>
    <s v="Not provided"/>
    <s v="LF/ SOIRL"/>
    <n v="125000"/>
    <s v="LP0511A"/>
    <s v="Structural"/>
    <s v="Underway"/>
    <n v="2018"/>
    <s v="Banana River Lagoon"/>
    <s v="Not provided"/>
    <s v="Not provided"/>
    <s v="Not provided"/>
  </r>
  <r>
    <n v="2575"/>
    <s v="Cape Canaveral Air Force Station"/>
    <s v="N/A"/>
    <s v="CCAFS-01"/>
    <s v="Nonuse of Fertilizer/ Fertilizer Ordinance"/>
    <s v="No fertilizer is used at station."/>
    <s v="Education Efforts"/>
    <x v="0"/>
    <s v="N/A"/>
    <n v="377"/>
    <n v="107.9"/>
    <s v="A"/>
    <s v="N/A"/>
    <s v="N/A"/>
    <s v="N/A"/>
    <s v="U.S. Air Force (USAF)"/>
    <s v="N/A"/>
    <s v="N/A"/>
    <s v="Non-structural"/>
    <s v="Ongoing"/>
    <n v="2013"/>
    <s v="Banana River Lagoon"/>
    <s v="N/A"/>
    <s v="N/A"/>
    <s v="Not provided"/>
  </r>
  <r>
    <n v="2574"/>
    <s v="Cape Canaveral Air Force Station"/>
    <s v="N/A"/>
    <s v="CCAFS-02"/>
    <s v="Street Sweeping"/>
    <s v="Removed 24.03 tons of sediment and disposed of it at a landfill."/>
    <s v="Street Sweeping"/>
    <x v="0"/>
    <s v="N/A"/>
    <n v="27"/>
    <n v="17"/>
    <s v="A"/>
    <s v="N/A"/>
    <s v="Not provided"/>
    <n v="715"/>
    <s v="USAF"/>
    <s v="Not provided"/>
    <s v="N/A"/>
    <s v="Non-structural"/>
    <s v="Ongoing"/>
    <n v="2013"/>
    <s v="Banana River Lagoon"/>
    <s v="N/A"/>
    <s v="N/A"/>
    <s v="Not provided"/>
  </r>
  <r>
    <n v="2583"/>
    <s v="Cape Canaveral Air Force Station"/>
    <s v="N/A"/>
    <s v="CCAFS-03"/>
    <s v="Dry Detention Ponds after 2000"/>
    <s v="Identified 36 ERPs that were not included in the PLSM model that provide treatment."/>
    <s v="Dry Detention Pond"/>
    <x v="0"/>
    <s v="N/A"/>
    <n v="70"/>
    <n v="14"/>
    <s v="A"/>
    <n v="477"/>
    <s v="N/A"/>
    <n v="12000"/>
    <s v="USAF"/>
    <s v="N/A"/>
    <s v="N/A"/>
    <s v="Structural"/>
    <s v="Completed"/>
    <n v="2016"/>
    <s v="Banana River Lagoon"/>
    <s v="N/A"/>
    <s v="N/A"/>
    <s v="N/A"/>
  </r>
  <r>
    <n v="2569"/>
    <s v="Cape Canaveral Air Force Station"/>
    <s v="N/A"/>
    <s v="CCAFS-04"/>
    <s v="Online Wet Retention Ponds after 2000"/>
    <s v="Providing 3.187 inches of additional treatment within 5 ERP drainage basins that were not included in the PLSM model."/>
    <s v="On-line Retention BMPs"/>
    <x v="0"/>
    <s v="N/A"/>
    <n v="319"/>
    <n v="115"/>
    <s v="A"/>
    <n v="157"/>
    <s v="N/A"/>
    <n v="2000"/>
    <s v="USAF"/>
    <s v="N/A"/>
    <s v="N/A"/>
    <s v="Structural"/>
    <s v="Completed"/>
    <n v="2016"/>
    <s v="Banana River Lagoon"/>
    <s v="N/A"/>
    <s v="N/A"/>
    <s v="N/A"/>
  </r>
  <r>
    <n v="2401"/>
    <s v="Cape Canaveral Air Force Station"/>
    <s v="N/A"/>
    <s v="CCAFS-05"/>
    <s v="TMDL Monitoring and Data Collection"/>
    <s v="Collected stormwater and baseflow nutrient concentrations and rainfall data at 3 monitoring stations; collected baseflow and stormwater runoff flow volume data and groundwater elevation data at 6 monitoring stations."/>
    <s v="Monitoring/Data Collection"/>
    <x v="0"/>
    <n v="2018"/>
    <s v="N/A"/>
    <s v="N/A"/>
    <s v="A"/>
    <s v="N/A"/>
    <n v="1850000"/>
    <n v="370000"/>
    <s v="USAF"/>
    <s v="USAF - $1,850,000"/>
    <s v="N/A"/>
    <s v="Non-structural"/>
    <s v="Ongoing"/>
    <n v="2017"/>
    <s v="Banana River Lagoon"/>
    <s v="N/A"/>
    <s v="N/A"/>
    <n v="2011"/>
  </r>
  <r>
    <n v="2406"/>
    <s v="Cape Canaveral Air Force Station"/>
    <s v="N/A"/>
    <s v="CCAFS-06"/>
    <s v="WWTF Upgrade Feasibility Study"/>
    <s v="Pilot study to improve removal rates of nitrates, total nitrogen, and ammonia in plant effluent. Pilot study was successful and will result in permanent changes that will be requested in RWWTF Permits."/>
    <s v="Study"/>
    <x v="0"/>
    <n v="2017"/>
    <s v="N/A"/>
    <s v="N/A"/>
    <s v="A"/>
    <s v="N/A"/>
    <n v="46000"/>
    <s v="N/A"/>
    <s v="USAF"/>
    <s v="USAF - $46,000"/>
    <s v="N/A"/>
    <s v="Non-structural"/>
    <s v="Ongoing"/>
    <n v="2017"/>
    <s v="Banana River Lagoon"/>
    <s v="28o31'49.07&quot; N"/>
    <s v="80o33'57.38&quot; W"/>
    <n v="2017"/>
  </r>
  <r>
    <n v="2474"/>
    <s v="Cape Canaveral Air Force Station"/>
    <s v="N/A"/>
    <s v="CCAFS-07"/>
    <s v="Invasive Vegetation Management"/>
    <s v="Enhancement to wetlands at CCAFS occurs through invasive vegetation management including annual exotic vegetation removal."/>
    <s v="Exotic Vegetation Removal"/>
    <x v="2"/>
    <s v="TBD"/>
    <n v="14"/>
    <n v="9"/>
    <s v="A"/>
    <s v="N/A"/>
    <s v="Not provided"/>
    <s v="Not provided"/>
    <s v="USAF"/>
    <s v="Not provided"/>
    <s v="N/A"/>
    <s v="Non-structural"/>
    <s v="Not provided"/>
    <n v="2017"/>
    <s v="Banana River Lagoon"/>
    <s v="N/A"/>
    <s v="N/A"/>
    <n v="2017"/>
  </r>
  <r>
    <n v="2461"/>
    <s v="Cape Canaveral Air Force Station"/>
    <s v="N/A"/>
    <s v="CCAFS-08"/>
    <s v="Sanitary Sewer Infiltration and Inflow Study"/>
    <s v="Conduct infiltration and inflow study of station's sanitary sewer system."/>
    <s v="Study"/>
    <x v="2"/>
    <n v="2019"/>
    <s v="N/A"/>
    <s v="N/A"/>
    <s v="A"/>
    <s v="N/A"/>
    <s v="TBD"/>
    <s v="N/A"/>
    <s v="USAF"/>
    <s v="TBD"/>
    <s v="N/A"/>
    <s v="Non-structural"/>
    <s v="Ongoing"/>
    <n v="2017"/>
    <s v="Banana River Lagoon"/>
    <s v="N/A"/>
    <s v="N/A"/>
    <n v="2018"/>
  </r>
  <r>
    <n v="2462"/>
    <s v="Cape Canaveral Air Force Station"/>
    <s v="N/A"/>
    <s v="CCAFS-09"/>
    <s v="Public Education"/>
    <s v="Three outreach events were held that removed 30 tons of debris through beach cleanups"/>
    <s v="Enhanced Public Education"/>
    <x v="0"/>
    <n v="2017"/>
    <s v="N/A"/>
    <s v="N/A"/>
    <s v="A"/>
    <s v="N/A"/>
    <s v="Not provided"/>
    <s v="N/A"/>
    <s v="USAF"/>
    <s v="Not provided"/>
    <s v="N/A"/>
    <s v="Non-structural"/>
    <s v="Ongoing"/>
    <n v="2017"/>
    <s v="Banana River Lagoon"/>
    <s v="N/A"/>
    <s v="N/A"/>
    <n v="2017"/>
  </r>
  <r>
    <n v="2463"/>
    <s v="Cape Canaveral Air Force Station"/>
    <s v="N/A"/>
    <s v="CCAFS-10"/>
    <s v="Wetlands as Filters"/>
    <s v="Station has many canals and functional culvert openings that allow connection with the Banana River Lagoon at an estimated 11 surface acres: 65 surface acres of the Army wharf that connect with the Atlantic Ocean, and 106 surface acres of the Trident wharf that connect with the Atlantic Ocean, totaling 182 surface acres of jurisdictional wetlands."/>
    <s v="Natural Wetlands as Filters"/>
    <x v="1"/>
    <s v="N/A"/>
    <s v="N/A"/>
    <s v="N/A"/>
    <s v="A"/>
    <n v="182"/>
    <s v="TBD"/>
    <s v="TBD"/>
    <s v="USAF"/>
    <s v="TBD"/>
    <s v="N/A"/>
    <s v="Non-structural"/>
    <s v="Planned"/>
    <n v="2017"/>
    <s v="Banana River Lagoon"/>
    <s v="N/A"/>
    <s v="N/A"/>
    <s v="TBD"/>
  </r>
  <r>
    <s v="4348"/>
    <s v="Cape Canaveral Air Force Station"/>
    <s v="N/A"/>
    <s v="CCAFS-11"/>
    <s v="WWTF Upgrade"/>
    <s v="Improved removal rates of nitrates, total nitrogen, and ammonia in plant effluent."/>
    <s v="WWTF Upgrade"/>
    <x v="0"/>
    <n v="2018"/>
    <s v="N/A"/>
    <s v="N/A"/>
    <s v="A"/>
    <s v="N/A"/>
    <s v="N/A"/>
    <s v="N/A"/>
    <s v="USAF"/>
    <s v="N/A"/>
    <s v="N/A"/>
    <s v="Structural"/>
    <s v="Completed"/>
    <n v="2018"/>
    <s v="Banana River Lagoon"/>
    <s v="N/A"/>
    <s v="N/A"/>
    <s v="Not provided"/>
  </r>
  <r>
    <s v="4349"/>
    <s v="Cape Canaveral Air Force Station"/>
    <s v="N/A"/>
    <s v="CCAFS-12"/>
    <s v="Shoreline Stabilization"/>
    <s v="2 Projects: 4 miles on both sides of Titan Road and ITL Causeway and 1,000 ft near the South Gate Entrance."/>
    <s v="Shoreline Stabilization"/>
    <x v="3"/>
    <n v="2019"/>
    <s v="TBD"/>
    <s v="TBD"/>
    <s v="A"/>
    <s v="N/A"/>
    <n v="4000000"/>
    <s v="N/A"/>
    <s v="USAF"/>
    <s v="N/A"/>
    <s v="N/A"/>
    <s v="Structural"/>
    <s v="Planned"/>
    <n v="2018"/>
    <s v="Banana River Lagoon"/>
    <s v="N/A"/>
    <s v="N/A"/>
    <s v="TBD"/>
  </r>
  <r>
    <n v="2464"/>
    <s v="City of Cape Canaveral"/>
    <s v="SJRWMD"/>
    <s v="CC-01"/>
    <s v="Holman Road Baffle Box"/>
    <s v="First generation baffle box installation near Holman Road outfall."/>
    <s v="Baffle Boxes- First Generation (hydrodynamic separator)"/>
    <x v="0"/>
    <n v="2006"/>
    <n v="1.9"/>
    <n v="2.1"/>
    <s v="B"/>
    <n v="29.2"/>
    <n v="75000"/>
    <n v="1200"/>
    <s v="SJRWMD/ City"/>
    <s v="SJRWMD - $45,000/ City - $30,000"/>
    <s v="N/A"/>
    <s v="Structural"/>
    <s v="Completed"/>
    <n v="2013"/>
    <s v="Banana River Lagoon"/>
    <n v="28.374020000000002"/>
    <n v="80.607539000000003"/>
    <n v="2005"/>
  </r>
  <r>
    <n v="2465"/>
    <s v="City of Cape Canaveral"/>
    <s v="SJRWMD"/>
    <s v="CC-02"/>
    <s v="Center Street Baffle Box"/>
    <s v="First generation baffle box installation near Center Street outfall."/>
    <s v="Baffle Boxes- First Generation (hydrodynamic separator)"/>
    <x v="0"/>
    <n v="2006"/>
    <n v="7.8"/>
    <n v="8.8000000000000007"/>
    <s v="B"/>
    <n v="117.2"/>
    <n v="75000"/>
    <n v="1200"/>
    <s v="SJRWMD/ City"/>
    <s v="SJRWMD - $45,000/ City - $30,000"/>
    <s v="N/A"/>
    <s v="Structural"/>
    <s v="Completed"/>
    <n v="2013"/>
    <s v="Banana River Lagoon"/>
    <n v="28.381477"/>
    <n v="80.608765000000005"/>
    <n v="2005"/>
  </r>
  <r>
    <n v="2466"/>
    <s v="City of Cape Canaveral"/>
    <s v="SJRWMD"/>
    <s v="CC-03"/>
    <s v="International Drive Baffle Box"/>
    <s v="First generation baffle box installation near International Drive outfall."/>
    <s v="Baffle Boxes- First Generation (hydrodynamic separator)"/>
    <x v="0"/>
    <n v="2006"/>
    <n v="11.6"/>
    <n v="3.5"/>
    <s v="B"/>
    <n v="179.4"/>
    <n v="75000"/>
    <n v="1200"/>
    <s v="SJRWMD/ City"/>
    <s v="SJRWMD - $45,000/ City - $30,000"/>
    <s v="N/A"/>
    <s v="Structural"/>
    <s v="Completed"/>
    <n v="2013"/>
    <s v="Banana River Lagoon"/>
    <n v="28.387674000000001"/>
    <n v="80.608258000000006"/>
    <n v="2005"/>
  </r>
  <r>
    <n v="2467"/>
    <s v="City of Cape Canaveral"/>
    <s v="SJRWMD"/>
    <s v="CC-04"/>
    <s v="Angel Isles Baffle Box"/>
    <s v="First generation baffle box installation near Angel Isles outfall."/>
    <s v="Baffle Boxes- First Generation (hydrodynamic separator)"/>
    <x v="0"/>
    <n v="2006"/>
    <n v="3.5"/>
    <n v="2.8"/>
    <s v="B"/>
    <n v="105.5"/>
    <n v="75000"/>
    <n v="1200"/>
    <s v="SJRWMD/ City"/>
    <s v="SJRWMD - $45,000/ City - $30,000"/>
    <s v="N/A"/>
    <s v="Structural"/>
    <s v="Completed"/>
    <n v="2013"/>
    <s v="Banana River Lagoon"/>
    <n v="28.395907999999999"/>
    <n v="80.618905999999996"/>
    <n v="2005"/>
  </r>
  <r>
    <n v="2468"/>
    <s v="City of Cape Canaveral"/>
    <s v="N/A"/>
    <s v="CC-05"/>
    <s v="WWTP Baffle Box"/>
    <s v="First generation baffle box installation at WWTP."/>
    <s v="Baffle Boxes- First Generation (hydrodynamic separator)"/>
    <x v="0"/>
    <n v="2004"/>
    <n v="0.1"/>
    <n v="0.1"/>
    <s v="B"/>
    <n v="11.1"/>
    <n v="15000"/>
    <n v="1200"/>
    <s v="City"/>
    <s v="City - $15,000"/>
    <s v="N/A"/>
    <s v="Structural"/>
    <s v="Completed"/>
    <n v="2013"/>
    <s v="Banana River Lagoon"/>
    <n v="28.392042"/>
    <n v="80.618404999999996"/>
    <n v="2003"/>
  </r>
  <r>
    <n v="2469"/>
    <s v="City of Cape Canaveral"/>
    <s v="SJRWMD"/>
    <s v="CC-06"/>
    <s v="West Central Boulevard Baffle Box"/>
    <s v="First generation baffle box installation at West Central Boulevard outfall to Central Ditch."/>
    <s v="Baffle Boxes- First Generation (hydrodynamic separator)"/>
    <x v="0"/>
    <n v="2005"/>
    <n v="12.6"/>
    <n v="13.6"/>
    <s v="B"/>
    <n v="213.4"/>
    <n v="75000"/>
    <n v="1200"/>
    <s v="SJRWMD/ City"/>
    <s v="SJRWMD - $45,000/ City - $30,000"/>
    <s v="N/A"/>
    <s v="Structural"/>
    <s v="Completed"/>
    <n v="2013"/>
    <s v="Banana River Lagoon"/>
    <n v="28.396122999999999"/>
    <n v="80.608024999999998"/>
    <n v="2004"/>
  </r>
  <r>
    <n v="2470"/>
    <s v="City of Cape Canaveral"/>
    <s v="DEP"/>
    <s v="CC-07"/>
    <s v="Central Ditch Baffle Box (3 count)"/>
    <s v="Second generation baffle box installations (3) in northern portion of Central Ditch."/>
    <s v="Baffle Boxes- Second Generation"/>
    <x v="0"/>
    <n v="2009"/>
    <n v="222.8"/>
    <n v="39.6"/>
    <s v="B"/>
    <n v="248.2"/>
    <n v="443003"/>
    <n v="3600"/>
    <s v="City/ DEP"/>
    <s v="DEP - $263,402/ City - $179,601"/>
    <s v="G0136"/>
    <s v="Structural"/>
    <s v="Completed"/>
    <n v="2013"/>
    <s v="Banana River Lagoon"/>
    <n v="28.396433999999999"/>
    <n v="80.608163000000005"/>
    <n v="2008"/>
  </r>
  <r>
    <n v="2471"/>
    <s v="City of Cape Canaveral"/>
    <s v="N/A"/>
    <s v="CC-08"/>
    <s v="Street Sweeping"/>
    <s v="Sweeping of streets/pedways."/>
    <s v="Street Sweeping"/>
    <x v="0"/>
    <s v="N/A"/>
    <s v="TBD"/>
    <s v="TBD"/>
    <s v="B"/>
    <s v="N/A"/>
    <n v="12322"/>
    <s v="N/A"/>
    <s v="City"/>
    <s v="City - $12,322"/>
    <s v="N/A"/>
    <s v="Non-structural"/>
    <s v="Ongoing"/>
    <n v="2013"/>
    <s v="Banana River Lagoon"/>
    <s v="N/A"/>
    <s v="N/A"/>
    <n v="2002"/>
  </r>
  <r>
    <n v="2487"/>
    <s v="City of Cape Canaveral"/>
    <s v="N/A"/>
    <s v="CC-09"/>
    <s v="Shorewood Drainage Subbasin"/>
    <s v="Basin with no stormwater discharge."/>
    <s v="100% On-site Retention"/>
    <x v="0"/>
    <s v="Prior to 2013"/>
    <s v="TBD"/>
    <s v="TBD"/>
    <s v="B"/>
    <n v="169.8"/>
    <s v="Not provided"/>
    <n v="0"/>
    <s v="Private Developer"/>
    <s v="Not provided"/>
    <s v="N/A"/>
    <s v="Structural"/>
    <s v="Completed"/>
    <n v="2013"/>
    <s v="Banana River Lagoon"/>
    <n v="28.403428000000002"/>
    <n v="80.597272000000004"/>
    <s v="Not provided"/>
  </r>
  <r>
    <n v="2473"/>
    <s v="City of Cape Canaveral"/>
    <s v="N/A"/>
    <s v="CC-10"/>
    <s v="Education Efforts"/>
    <s v="FYN (Blue Life); landscape, irrigation, fertilizer, and pet waste ordinances; public service announcements (PSAs); pamphlets; website; Illicit Discharge Program."/>
    <s v="Education Efforts"/>
    <x v="0"/>
    <s v="N/A"/>
    <n v="230.1"/>
    <n v="54.6"/>
    <s v="B"/>
    <s v="N/A"/>
    <n v="3100"/>
    <n v="500"/>
    <s v="City"/>
    <s v="City - $3,100"/>
    <s v="N/A"/>
    <s v="Non-structural"/>
    <s v="Ongoing"/>
    <n v="2013"/>
    <s v="Banana River Lagoon"/>
    <s v="N/A"/>
    <s v="N/A"/>
    <n v="2013"/>
  </r>
  <r>
    <n v="2610"/>
    <s v="City of Cape Canaveral"/>
    <s v="N/A"/>
    <s v="CC-11"/>
    <s v="Manatee Park Stormwater Improvements"/>
    <s v="Wet detention pond and swales."/>
    <s v="Wet Detention Pond"/>
    <x v="0"/>
    <n v="2013"/>
    <n v="59.3"/>
    <n v="27.8"/>
    <s v="B"/>
    <n v="11.1"/>
    <n v="193000"/>
    <n v="5000"/>
    <s v="City"/>
    <s v="City - $193,000"/>
    <s v="N/A"/>
    <s v="Structural"/>
    <s v="Completed"/>
    <n v="2013"/>
    <s v="Banana River Lagoon"/>
    <n v="28.393915"/>
    <n v="80.618386000000001"/>
    <n v="2012"/>
  </r>
  <r>
    <n v="2438"/>
    <s v="City of Cape Canaveral"/>
    <s v="N/A"/>
    <s v="CC-12"/>
    <s v="Banana River Park Stormwater Improvements"/>
    <s v="Stormwater swales."/>
    <s v="Grass Swales without Swale Blocks or Raised Culverts"/>
    <x v="0"/>
    <n v="2013"/>
    <n v="40.4"/>
    <n v="10.6"/>
    <s v="B"/>
    <n v="5.3"/>
    <n v="38000"/>
    <n v="2500"/>
    <s v="City"/>
    <s v="City - $38,000"/>
    <s v="N/A"/>
    <s v="Structural"/>
    <s v="Completed"/>
    <n v="2013"/>
    <s v="Banana River Lagoon"/>
    <n v="28.396546000000001"/>
    <n v="80.618600999999998"/>
    <n v="2012"/>
  </r>
  <r>
    <n v="2437"/>
    <s v="City of Cape Canaveral"/>
    <s v="N/A"/>
    <s v="CC-13"/>
    <s v="Exfiltration on North Atlantic Ave"/>
    <s v="Stormwater swales."/>
    <s v="Grass Swales without Swale Blocks or Raised Culverts"/>
    <x v="0"/>
    <n v="2016"/>
    <n v="102"/>
    <n v="24"/>
    <s v="B"/>
    <n v="37"/>
    <n v="436000"/>
    <n v="5000"/>
    <s v="City"/>
    <s v="City - $436,000"/>
    <s v="N/A"/>
    <s v="Structural"/>
    <s v="Completed"/>
    <n v="2013"/>
    <s v="Banana River Lagoon"/>
    <s v="N/A"/>
    <s v="N/A"/>
    <n v="2014"/>
  </r>
  <r>
    <n v="2436"/>
    <s v="City of Cape Canaveral"/>
    <s v="DEP"/>
    <s v="CC-14"/>
    <s v="Exfiltration at Canaveral City Park"/>
    <s v="Stormwater/wastewater vault system."/>
    <s v="Exfiltration Trench"/>
    <x v="0"/>
    <n v="2017"/>
    <n v="324.11"/>
    <n v="76.430000000000007"/>
    <s v="B"/>
    <n v="30.3"/>
    <n v="1820500"/>
    <n v="3500"/>
    <s v="City/ DEP"/>
    <s v="DEP - $1,162,662/ City - $657,838"/>
    <s v="WW050500/ LP05052"/>
    <s v="Structural"/>
    <s v="Completed"/>
    <n v="2013"/>
    <s v="Banana River Lagoon"/>
    <n v="28.387269"/>
    <n v="80.602057000000002"/>
    <n v="2015"/>
  </r>
  <r>
    <n v="2405"/>
    <s v="City of Cape Canaveral"/>
    <s v="TBD"/>
    <s v="CC-15"/>
    <s v="Stormwater Pond on West Central Blvd"/>
    <s v="Wet detention pond and swales."/>
    <s v="Wet Detention Pond"/>
    <x v="3"/>
    <n v="2022"/>
    <n v="1420.2"/>
    <n v="548.70000000000005"/>
    <s v="B"/>
    <n v="333.98"/>
    <n v="3130200"/>
    <n v="10000"/>
    <s v="TBD"/>
    <s v="TBD"/>
    <s v="TBD"/>
    <s v="Structural"/>
    <s v="Planned, Not Funded"/>
    <n v="2013"/>
    <s v="Banana River Lagoon"/>
    <s v="N/A"/>
    <s v="N/A"/>
    <n v="2021"/>
  </r>
  <r>
    <n v="2435"/>
    <s v="City of Cape Canaveral"/>
    <s v="N/A"/>
    <s v="CC-16"/>
    <s v="Clean Out of Baffle Boxes"/>
    <s v="Maintenance of baffle boxes."/>
    <s v="BMP Cleanout"/>
    <x v="2"/>
    <s v="N/A"/>
    <n v="1"/>
    <n v="0"/>
    <s v="B"/>
    <s v="N/A"/>
    <n v="4500"/>
    <n v="1500"/>
    <s v="City"/>
    <s v="City - $4,500"/>
    <s v="N/A"/>
    <s v="Non-structural"/>
    <s v="Ongoing"/>
    <n v="2014"/>
    <s v="Banana River Lagoon"/>
    <s v="N/A"/>
    <s v="N/A"/>
    <n v="2014"/>
  </r>
  <r>
    <n v="2433"/>
    <s v="City of Cape Canaveral"/>
    <s v="N/A"/>
    <s v="CC-17"/>
    <s v="Central Ditch Dredging Project"/>
    <s v="Dredging of southern portion of Central Ditch."/>
    <s v="Muck Removal/Restoration Dredging"/>
    <x v="1"/>
    <s v="N/A"/>
    <s v="N/A"/>
    <s v="N/A"/>
    <s v="B"/>
    <s v="N/A"/>
    <s v="N/A"/>
    <s v="N/A"/>
    <s v="N/A"/>
    <s v="N/A"/>
    <s v="N/A"/>
    <s v="Non-structural"/>
    <s v="Cancelled"/>
    <n v="2014"/>
    <s v="Banana River Lagoon"/>
    <s v="N/A"/>
    <s v="N/A"/>
    <s v="N/A"/>
  </r>
  <r>
    <n v="2434"/>
    <s v="City of Cape Canaveral"/>
    <s v="N/A"/>
    <s v="CC-18"/>
    <s v="Exfiltration Piping Installations"/>
    <s v="Exfiltration piping installations – 8 locations."/>
    <s v="Exfiltration Trench"/>
    <x v="0"/>
    <n v="2014"/>
    <s v="TBD"/>
    <s v="TBD"/>
    <s v="B"/>
    <n v="4500"/>
    <n v="0"/>
    <s v="N/A"/>
    <s v="City"/>
    <s v="City - $4,500"/>
    <s v="N/A"/>
    <s v="Structural"/>
    <s v="Cancelled"/>
    <n v="2014"/>
    <s v="Banana River Lagoon"/>
    <s v="N/A"/>
    <s v="N/A"/>
    <s v="N/A"/>
  </r>
  <r>
    <n v="2472"/>
    <s v="City of Cape Canaveral"/>
    <s v="SJRWMD"/>
    <s v="CC-19"/>
    <s v="Reclaimed Water Tank"/>
    <s v="Reclaimed water system improvements (2.5 million gallon reclaimed water tank)."/>
    <s v="WWTF Upgrade"/>
    <x v="0"/>
    <n v="2016"/>
    <n v="2151"/>
    <n v="158"/>
    <s v="B"/>
    <s v="N/A"/>
    <n v="3030000"/>
    <n v="10000"/>
    <s v="SJRWMD/ City"/>
    <s v="SJRWMD - $75,000/ City - $2,955,000"/>
    <s v="WW050500"/>
    <s v="Structural"/>
    <s v="Completed"/>
    <n v="2014"/>
    <s v="Banana River Lagoon"/>
    <n v="28.392523000000001"/>
    <n v="80.618626000000006"/>
    <n v="2014"/>
  </r>
  <r>
    <n v="2444"/>
    <s v="City of Cape Canaveral"/>
    <s v="DEP/ Brevard County/ SOIRL"/>
    <s v="CC-20"/>
    <s v="Central Boulevard Baffle Box Upgrade"/>
    <s v="Baffle box upgrade to 2nd generation - Central Ditch Baffle Box"/>
    <s v="Baffle Boxes- Second Generation"/>
    <x v="0"/>
    <n v="2017"/>
    <n v="1221"/>
    <n v="207"/>
    <s v="B"/>
    <n v="213"/>
    <n v="43700"/>
    <n v="1200"/>
    <s v="DEP/ City/ County"/>
    <s v="DEP - $41,700/ City - $2,000"/>
    <s v="NF025"/>
    <s v="Structural"/>
    <s v="Planned, Funded"/>
    <n v="2014"/>
    <s v="Banana River Lagoon"/>
    <n v="28.396122999999999"/>
    <n v="80.608024999999998"/>
    <n v="2017"/>
  </r>
  <r>
    <n v="2446"/>
    <s v="City of Cape Canaveral"/>
    <s v="Brevard County/ SOIRL"/>
    <s v="CC-21"/>
    <s v="Holman Road Swale"/>
    <s v="Swales and biosorption activated media (BAM)."/>
    <s v="BMP Treatment Train"/>
    <x v="3"/>
    <n v="2021"/>
    <n v="14.06"/>
    <n v="5.59"/>
    <s v="B"/>
    <n v="1.62"/>
    <n v="28000"/>
    <n v="500"/>
    <s v="City/ County"/>
    <s v="TBD"/>
    <s v="N/A"/>
    <s v="Structural"/>
    <s v="Planned, Funded"/>
    <n v="2015"/>
    <s v="Banana River Lagoon"/>
    <n v="28.372827000000001"/>
    <n v="80.607463999999993"/>
    <n v="2019"/>
  </r>
  <r>
    <n v="2486"/>
    <s v="City of Cape Canaveral"/>
    <s v="Brevard County/ SOIRL"/>
    <s v="CC-22"/>
    <s v="Cocoa Palms LID"/>
    <s v="Exfiltration and BAM wall."/>
    <s v="BMP Treatment Train"/>
    <x v="3"/>
    <n v="2021"/>
    <n v="13.29"/>
    <n v="10.44"/>
    <s v="B"/>
    <n v="3.99"/>
    <n v="85000"/>
    <n v="1000"/>
    <s v="City/ County"/>
    <s v="TBD"/>
    <s v="N/A"/>
    <s v="Structural"/>
    <s v="Planned, Funded"/>
    <n v="2016"/>
    <s v="Banana River Lagoon"/>
    <n v="28.379369000000001"/>
    <n v="80.608504999999994"/>
    <n v="2018"/>
  </r>
  <r>
    <n v="2485"/>
    <s v="City of Cape Canaveral"/>
    <s v="N/A"/>
    <s v="CC-23"/>
    <s v="Cherrie Down Park"/>
    <s v="Swale with biosorption activated media (BAM)."/>
    <s v="BMP Treatment Train"/>
    <x v="1"/>
    <s v="N/A"/>
    <s v="N/A"/>
    <s v="N/A"/>
    <s v="B"/>
    <s v="N/A"/>
    <s v="N/A"/>
    <s v="N/A"/>
    <s v="N/A"/>
    <s v="N/A"/>
    <s v="N/A"/>
    <s v="Structural"/>
    <s v="Planned, Funded"/>
    <n v="2016"/>
    <s v="Banana River Lagoon"/>
    <s v="N/A"/>
    <s v="N/A"/>
    <s v="N/A"/>
  </r>
  <r>
    <n v="2484"/>
    <s v="City of Cape Canaveral"/>
    <s v="Brevard County/ SOIRL"/>
    <s v="CC-24"/>
    <s v="Carver Cove Swale"/>
    <s v="Swale with biosorption activated media (BAM)."/>
    <s v="BMP Treatment Train"/>
    <x v="3"/>
    <n v="2021"/>
    <n v="32.11"/>
    <n v="9.18"/>
    <s v="B"/>
    <n v="5.59"/>
    <n v="20340"/>
    <n v="1000"/>
    <s v="City/ County"/>
    <s v="TBD"/>
    <s v="N/A"/>
    <s v="Structural"/>
    <s v="Planned, Funded"/>
    <n v="2016"/>
    <s v="Banana River Lagoon"/>
    <n v="28.385915000000001"/>
    <n v="80.608946000000003"/>
    <n v="2018"/>
  </r>
  <r>
    <n v="2483"/>
    <s v="City of Cape Canaveral"/>
    <s v="Brevard County/ SOIRL"/>
    <s v="CC-25"/>
    <s v="Cape Shores Swales (3 count)"/>
    <s v="Swale with biosorption activated media (BAM)."/>
    <s v="BMP Treatment Train"/>
    <x v="1"/>
    <s v="N/A"/>
    <s v="N/A"/>
    <s v="N/A"/>
    <s v="B"/>
    <n v="7.71"/>
    <s v="N/A"/>
    <s v="N/A"/>
    <s v="N/A"/>
    <s v="N/A"/>
    <s v="N/A"/>
    <s v="Structural"/>
    <s v="Planned, Funded"/>
    <n v="2016"/>
    <s v="Banana River Lagoon"/>
    <s v="N/A"/>
    <s v="N/A"/>
    <n v="2018"/>
  </r>
  <r>
    <n v="2482"/>
    <s v="City of Cape Canaveral"/>
    <s v="FDOT"/>
    <s v="CC-26"/>
    <s v="International Drive"/>
    <s v="Wet detention pond as part of SR A1A Streetscape Project."/>
    <s v="Wet Detention Pond"/>
    <x v="3"/>
    <n v="2022"/>
    <n v="600.79999999999995"/>
    <n v="283.2"/>
    <s v="B"/>
    <n v="168.14"/>
    <n v="708450"/>
    <n v="2500"/>
    <s v="FDOT"/>
    <s v="FDOT - $708,450"/>
    <s v="N/A"/>
    <s v="Structural"/>
    <s v="Planned, Not Funded"/>
    <n v="2016"/>
    <s v="Banana River Lagoon"/>
    <n v="28.387782000000001"/>
    <n v="80.606211999999999"/>
    <n v="2021"/>
  </r>
  <r>
    <n v="2481"/>
    <s v="City of Cape Canaveral"/>
    <s v="Brevard County/ SOIRL"/>
    <s v="CC-27"/>
    <s v="Justamere Road Swale"/>
    <s v="Dry detention swale without blocks or raised culverts and media filter."/>
    <s v="BMP Treatment Train"/>
    <x v="3"/>
    <n v="2021"/>
    <n v="5.52"/>
    <n v="3.29"/>
    <s v="B"/>
    <n v="1.21"/>
    <n v="7800"/>
    <n v="1000"/>
    <s v="City/ County"/>
    <s v="TBD"/>
    <s v="N/A"/>
    <s v="Structural"/>
    <s v="Planned, Funded"/>
    <n v="2016"/>
    <s v="Banana River Lagoon"/>
    <n v="28.385698000000001"/>
    <n v="80.608682999999999"/>
    <n v="2018"/>
  </r>
  <r>
    <n v="2480"/>
    <s v="City of Cape Canaveral"/>
    <s v="Brevard County/ SOIRL"/>
    <s v="CC-28"/>
    <s v="Hitching Post Berm"/>
    <s v="Berm and associated grass swale without blocks or raised culverts and media filter."/>
    <s v="BMP Treatment Train"/>
    <x v="3"/>
    <n v="2021"/>
    <n v="27.06"/>
    <n v="22.08"/>
    <s v="B"/>
    <n v="9.0500000000000007"/>
    <n v="40300"/>
    <n v="1000"/>
    <s v="City/ County"/>
    <s v="TBD"/>
    <s v="N/A"/>
    <s v="Structural"/>
    <s v="Planned, Funded"/>
    <n v="2016"/>
    <s v="Banana River Lagoon"/>
    <n v="28.384876999999999"/>
    <n v="80.608742000000007"/>
    <n v="2018"/>
  </r>
  <r>
    <n v="2479"/>
    <s v="City of Cape Canaveral"/>
    <s v="Brevard County/ SOIRL"/>
    <s v="CC-29"/>
    <s v="Center Street Pond"/>
    <s v="Wet detention pond."/>
    <s v="Wet Detention Pond"/>
    <x v="3"/>
    <n v="2021"/>
    <n v="992"/>
    <n v="337"/>
    <s v="B"/>
    <n v="106.41"/>
    <n v="277850"/>
    <n v="2500"/>
    <s v="City/ County"/>
    <s v="TBD"/>
    <s v="N/A"/>
    <s v="Structural"/>
    <s v="Planned, Funded"/>
    <n v="2016"/>
    <s v="Banana River Lagoon"/>
    <n v="28.380668"/>
    <n v="80.608045000000004"/>
    <n v="2020"/>
  </r>
  <r>
    <n v="2478"/>
    <s v="City of Cape Canaveral"/>
    <s v="Brevard County/ SOIRL"/>
    <s v="CC-30"/>
    <s v="Holman Road Pond"/>
    <s v="Wet detension pond."/>
    <s v="Wet Detention Pond"/>
    <x v="3"/>
    <n v="2022"/>
    <n v="36.200000000000003"/>
    <n v="37.200000000000003"/>
    <s v="B"/>
    <n v="29.16"/>
    <n v="235630"/>
    <n v="2500"/>
    <s v="City/ County"/>
    <s v="TBD"/>
    <s v="N/A"/>
    <s v="Structural"/>
    <s v="Planned, Not Funded"/>
    <n v="2016"/>
    <s v="Banana River Lagoon"/>
    <n v="28.373911"/>
    <n v="80.607185999999999"/>
    <n v="2021"/>
  </r>
  <r>
    <n v="2477"/>
    <s v="City of Cape Canaveral"/>
    <s v="Brevard County/ SOIRL"/>
    <s v="CC-31"/>
    <s v="Costa Del Sol Pond"/>
    <s v="Dry detention swale without blocks or raised culverts and media filter."/>
    <s v="Dry Detention Pond"/>
    <x v="3"/>
    <n v="2021"/>
    <n v="10.039999999999999"/>
    <n v="2.5099999999999998"/>
    <s v="B"/>
    <n v="2.66"/>
    <n v="58120"/>
    <n v="2500"/>
    <s v="City/ County"/>
    <s v="TBD"/>
    <s v="N/A"/>
    <s v="Structural"/>
    <s v="Planned, Funded"/>
    <n v="2016"/>
    <s v="Banana River Lagoon"/>
    <n v="28.372343999999998"/>
    <n v="80.607792000000003"/>
    <n v="2019"/>
  </r>
  <r>
    <n v="2476"/>
    <s v="City of Cape Canaveral"/>
    <s v="Brevard County/ SOIRL"/>
    <s v="CC-32"/>
    <s v="Costa del Sol Denitrificaiton Wall"/>
    <s v="Exfiltration and BAM wall."/>
    <s v="BMP Treatment Train"/>
    <x v="3"/>
    <n v="2021"/>
    <n v="38.72"/>
    <n v="33.67"/>
    <s v="B"/>
    <n v="13.04"/>
    <n v="18800"/>
    <n v="1000"/>
    <s v="City/ County"/>
    <s v="TBD"/>
    <s v="N/A"/>
    <s v="Structural"/>
    <s v="Planned, Funded"/>
    <n v="2016"/>
    <s v="Banana River Lagoon"/>
    <n v="28.370536000000001"/>
    <n v="80.609572999999997"/>
    <n v="2021"/>
  </r>
  <r>
    <s v="4340"/>
    <s v="City of Cape Canaveral"/>
    <s v="N/A"/>
    <s v="CC-33"/>
    <s v="WWTF SHORELINE RESTORATION"/>
    <s v="Armor shoreline at WWTF."/>
    <s v="Shoreline Stabilization"/>
    <x v="0"/>
    <n v="2018"/>
    <s v="TBD"/>
    <s v="TBD"/>
    <s v="B"/>
    <n v="1"/>
    <n v="193850"/>
    <n v="1000"/>
    <s v="City"/>
    <s v="City - $193,850"/>
    <s v="N/A"/>
    <s v="Structural"/>
    <s v="Completed"/>
    <n v="2018"/>
    <s v="Banana River Lagoon"/>
    <n v="28.391950999999999"/>
    <n v="80.619000999999997"/>
    <s v="Not provided"/>
  </r>
  <r>
    <s v="4341"/>
    <s v="City of Cape Canaveral"/>
    <s v="N/A"/>
    <s v="CC-34"/>
    <s v="BEEMATS INSTALLATION (4 COUNT)"/>
    <s v="Beemats installation."/>
    <s v="Floating Islands/ Managed Aquatic Plant Systems (MAPS)"/>
    <x v="2"/>
    <s v="N/A"/>
    <s v="TBD"/>
    <s v="TBD"/>
    <s v="B"/>
    <n v="1"/>
    <n v="15000"/>
    <n v="2500"/>
    <s v="City"/>
    <s v="City - $15,000"/>
    <s v="N/A"/>
    <s v="Structural"/>
    <s v="Completed"/>
    <n v="2018"/>
    <s v="Banana River Lagoon"/>
    <s v="28.392518 28.393851"/>
    <s v="80.618622 80.618504"/>
    <s v="Not provided"/>
  </r>
  <r>
    <s v="4342"/>
    <s v="City of Cape Canaveral"/>
    <s v="N/A"/>
    <s v="CC-35"/>
    <s v="OXIDATION DITCH REFURBISHMENT"/>
    <s v="Oxidation Ditch rehab."/>
    <s v="BMP Cleanout"/>
    <x v="0"/>
    <s v="2018"/>
    <s v="N/A"/>
    <s v="N/A"/>
    <s v="B"/>
    <s v="N/A"/>
    <s v="N/A"/>
    <s v="N/A"/>
    <s v="N/A"/>
    <s v="N/A"/>
    <s v="N/A"/>
    <s v="Structural"/>
    <s v="Completed"/>
    <n v="2018"/>
    <s v="Banana River Lagoon"/>
    <s v="N/A"/>
    <s v="N/A"/>
    <s v="Not provided"/>
  </r>
  <r>
    <s v="4343"/>
    <s v="City of Cape Canaveral"/>
    <s v="N/A"/>
    <s v="CC-36"/>
    <s v="LS #2 SEWER LINE REPLACEMENT"/>
    <s v="Replacement of sewer line for LS #2."/>
    <s v="WWTF Upgrade"/>
    <x v="0"/>
    <s v="2018"/>
    <s v="N/A"/>
    <s v="N/A"/>
    <s v="B"/>
    <s v="N/A"/>
    <s v="N/A"/>
    <s v="N/A"/>
    <s v="N/A"/>
    <s v="N/A"/>
    <s v="N/A"/>
    <s v="Structural"/>
    <s v="Completed"/>
    <n v="2018"/>
    <s v="Banana River Lagoon"/>
    <s v="N/A"/>
    <s v="N/A"/>
    <s v="Not provided"/>
  </r>
  <r>
    <s v="4344"/>
    <s v="City of Cape Canaveral"/>
    <s v="N/A"/>
    <s v="CC-37"/>
    <s v="FORCE MAIN #3 REPLACEMENT"/>
    <s v="Replacement and relocation of Force Main #3."/>
    <s v="WWTF Upgrade"/>
    <x v="0"/>
    <s v="2018"/>
    <s v="N/A"/>
    <s v="N/A"/>
    <s v="B"/>
    <s v="N/A"/>
    <s v="N/A"/>
    <s v="N/A"/>
    <s v="N/A"/>
    <s v="N/A"/>
    <s v="N/A"/>
    <s v="Structural"/>
    <s v="Completed"/>
    <n v="2018"/>
    <s v="Banana River Lagoon"/>
    <s v="N/A"/>
    <s v="N/A"/>
    <s v="Not provided"/>
  </r>
  <r>
    <s v="4345"/>
    <s v="City of Cape Canaveral"/>
    <s v="N/A"/>
    <s v="CC-38"/>
    <s v="CANAVERAL CITY PARK EXFILTRATION SYSTEM EXPANSION"/>
    <s v="Improvements for discharge of reuse water (same as CC-14)."/>
    <s v="WWTF Disposal Site"/>
    <x v="2"/>
    <s v="N/A"/>
    <s v="N/A"/>
    <s v="N/A"/>
    <s v="B"/>
    <s v="N/A"/>
    <s v="N/A"/>
    <s v="N/A"/>
    <s v="N/A"/>
    <s v="N/A"/>
    <s v="N/A"/>
    <s v="Structural"/>
    <s v="Underway"/>
    <n v="2018"/>
    <s v="Banana River Lagoon"/>
    <s v="N/A"/>
    <s v="N/A"/>
    <s v="Not provided"/>
  </r>
  <r>
    <s v="4346"/>
    <s v="City of Cape Canaveral"/>
    <s v="SJRWMD"/>
    <s v="CC-39"/>
    <s v="ESTUARY PROPERTY RESTORATION"/>
    <s v="Habitat and water quality improvements."/>
    <s v="Exotic Vegetation Removal"/>
    <x v="2"/>
    <n v="2021"/>
    <s v="TBD"/>
    <s v="TBD"/>
    <s v="B"/>
    <n v="10"/>
    <s v="TBD"/>
    <s v="TBD"/>
    <s v="SJRWMD/ City"/>
    <s v="TBD"/>
    <s v="N/A"/>
    <s v="Non-structural"/>
    <s v="Underway"/>
    <n v="2018"/>
    <s v="Banana River Lagoon"/>
    <n v="28.389980999999999"/>
    <n v="80.611395999999999"/>
    <s v="Not provided"/>
  </r>
  <r>
    <s v="4347"/>
    <s v="City of Cape Canaveral"/>
    <s v="DEP"/>
    <s v="CC-40"/>
    <s v="PARKS SHORELINE RESTORATION"/>
    <s v="Armor shorelines at two City parks."/>
    <s v="Creating/ Enhancing Living Shoreline"/>
    <x v="0"/>
    <n v="2016"/>
    <s v="N/A"/>
    <s v="N/A"/>
    <s v="B"/>
    <n v="1"/>
    <n v="232664"/>
    <n v="1000"/>
    <s v="City/ DEP"/>
    <s v="DEP - $65,600/ City - $167,064"/>
    <s v="NF012"/>
    <s v="Structural"/>
    <s v="Completed"/>
    <n v="2018"/>
    <s v="Banana River Lagoon"/>
    <s v="28.39453 28.397475"/>
    <s v="80.619078 80.619228"/>
    <s v="Not provided"/>
  </r>
  <r>
    <n v="2475"/>
    <s v="City of Cocoa Beach"/>
    <s v="Not provided"/>
    <s v="CB-01"/>
    <s v="Maritime Hammock Preserve Alum Pond"/>
    <s v="Wet detention pond with alum."/>
    <s v="Wet Detention Pond"/>
    <x v="0"/>
    <n v="2013"/>
    <n v="746"/>
    <n v="317.5"/>
    <s v="B"/>
    <n v="130.19999999999999"/>
    <n v="960000"/>
    <n v="20000"/>
    <s v="Not provided"/>
    <n v="960000"/>
    <s v="N/A"/>
    <s v="Structural"/>
    <s v="Completed"/>
    <n v="2013"/>
    <s v="Banana River Lagoon"/>
    <s v="Not provided"/>
    <s v="Not provided"/>
    <s v="Not provided"/>
  </r>
  <r>
    <n v="2460"/>
    <s v="City of Cocoa Beach"/>
    <s v="DEP"/>
    <s v="CB-02"/>
    <s v="Ocean Beach Blvd. Bioretention/ Exfiltration"/>
    <s v="Not provided."/>
    <s v="Grass Swales without Swale Blocks or Raised Culverts"/>
    <x v="0"/>
    <n v="2013"/>
    <n v="218"/>
    <n v="46.3"/>
    <s v="B"/>
    <n v="50.6"/>
    <n v="1150000"/>
    <n v="18000"/>
    <s v="DEP"/>
    <s v="DEP - $1,150,000"/>
    <s v="G0170"/>
    <s v="Structural"/>
    <s v="Completed"/>
    <n v="2013"/>
    <s v="Banana River Lagoon"/>
    <s v="Not provided"/>
    <s v="Not provided"/>
    <s v="Not provided"/>
  </r>
  <r>
    <n v="2571"/>
    <s v="City of Cocoa Beach"/>
    <s v="Not provided"/>
    <s v="CB-03"/>
    <s v="2nd Street South PCD"/>
    <s v="Not provided."/>
    <s v="Baffle Boxes- Second Generation"/>
    <x v="0"/>
    <n v="2013"/>
    <n v="135"/>
    <n v="25"/>
    <s v="B"/>
    <n v="52"/>
    <n v="181974"/>
    <n v="1200"/>
    <s v="Not provided"/>
    <n v="181974"/>
    <s v="N/A"/>
    <s v="Structural"/>
    <s v="Completed"/>
    <n v="2013"/>
    <s v="Banana River Lagoon"/>
    <s v="Not provided"/>
    <s v="Not provided"/>
    <s v="Not provided"/>
  </r>
  <r>
    <n v="2560"/>
    <s v="City of Cocoa Beach"/>
    <s v="Not provided"/>
    <s v="CB-04"/>
    <s v="Cottage Row Parking Facilities Lot"/>
    <s v="Not provided."/>
    <s v="Exfiltration Trench"/>
    <x v="0"/>
    <n v="2013"/>
    <n v="37"/>
    <n v="9.1"/>
    <s v="B"/>
    <n v="2.4"/>
    <s v="Not provided"/>
    <n v="500"/>
    <s v="Not provided"/>
    <s v="Not provided"/>
    <s v="N/A"/>
    <s v="Structural"/>
    <s v="Completed"/>
    <n v="2013"/>
    <s v="Banana River Lagoon"/>
    <s v="Not provided"/>
    <s v="Not provided"/>
    <s v="Not provided"/>
  </r>
  <r>
    <n v="2573"/>
    <s v="City of Cocoa Beach"/>
    <s v="Not provided"/>
    <s v="CB-05"/>
    <s v="Shepard Park Improvements"/>
    <s v="Not provided."/>
    <s v="Dry Detention Pond"/>
    <x v="0"/>
    <n v="2013"/>
    <n v="0"/>
    <n v="0"/>
    <s v="B"/>
    <n v="0"/>
    <s v="Not provided"/>
    <n v="3000"/>
    <s v="Not provided"/>
    <s v="Not provided"/>
    <s v="N/A"/>
    <s v="Structural"/>
    <s v="Completed"/>
    <n v="2013"/>
    <s v="Banana River Lagoon"/>
    <s v="Not provided"/>
    <s v="Not provided"/>
    <s v="Not provided"/>
  </r>
  <r>
    <n v="2549"/>
    <s v="City of Cocoa Beach"/>
    <s v="Not provided"/>
    <s v="CB-06"/>
    <s v="Burris Way (alley) Exfiltration"/>
    <s v="Not provided."/>
    <s v="Exfiltration Trench"/>
    <x v="0"/>
    <n v="2013"/>
    <n v="4"/>
    <n v="1"/>
    <s v="B"/>
    <n v="0.8"/>
    <s v="Not provided"/>
    <n v="1200"/>
    <s v="Not provided"/>
    <s v="Not provided"/>
    <s v="N/A"/>
    <s v="Structural"/>
    <s v="Completed"/>
    <n v="2013"/>
    <s v="Banana River Lagoon"/>
    <s v="Not provided"/>
    <s v="Not provided"/>
    <s v="Not provided"/>
  </r>
  <r>
    <n v="2550"/>
    <s v="City of Cocoa Beach"/>
    <s v="Not provided"/>
    <s v="CB-07"/>
    <s v="Brevard Ave. Exfiltration"/>
    <s v="Not provided."/>
    <s v="Grass Swales without Swale Blocks or Raised Culverts"/>
    <x v="0"/>
    <n v="2013"/>
    <n v="5"/>
    <n v="1"/>
    <s v="B"/>
    <n v="0.5"/>
    <s v="Not provided"/>
    <n v="300"/>
    <s v="Not provided"/>
    <s v="Not provided"/>
    <s v="N/A"/>
    <s v="Structural"/>
    <s v="Completed"/>
    <n v="2013"/>
    <s v="Banana River Lagoon"/>
    <s v="Not provided"/>
    <s v="Not provided"/>
    <s v="Not provided"/>
  </r>
  <r>
    <n v="2551"/>
    <s v="City of Cocoa Beach"/>
    <s v="Not provided"/>
    <s v="CB-08"/>
    <s v="50 Danube River Exfiltration"/>
    <s v="Not provided."/>
    <s v="Grass Swales without Swale Blocks or Raised Culverts"/>
    <x v="0"/>
    <n v="2013"/>
    <n v="1"/>
    <n v="0.1"/>
    <s v="B"/>
    <n v="1.5"/>
    <s v="Not provided"/>
    <n v="300"/>
    <s v="Not provided"/>
    <s v="Not provided"/>
    <s v="N/A"/>
    <s v="Structural"/>
    <s v="Completed"/>
    <n v="2013"/>
    <s v="Banana River Lagoon"/>
    <s v="Not provided"/>
    <s v="Not provided"/>
    <s v="Not provided"/>
  </r>
  <r>
    <n v="2552"/>
    <s v="City of Cocoa Beach"/>
    <s v="Not provided"/>
    <s v="CB-09"/>
    <s v="12 Bougainvillea Dr. Exfiltration"/>
    <s v="Not provided."/>
    <s v="Grass Swales without Swale Blocks or Raised Culverts"/>
    <x v="0"/>
    <n v="2013"/>
    <n v="1"/>
    <n v="0.1"/>
    <s v="B"/>
    <n v="1"/>
    <s v="Not provided"/>
    <n v="300"/>
    <s v="Not provided"/>
    <s v="Not provided"/>
    <s v="N/A"/>
    <s v="Structural"/>
    <s v="Completed"/>
    <n v="2013"/>
    <s v="Banana River Lagoon"/>
    <s v="Not provided"/>
    <s v="Not provided"/>
    <s v="Not provided"/>
  </r>
  <r>
    <n v="2557"/>
    <s v="City of Cocoa Beach"/>
    <s v="Not provided"/>
    <s v="CB-10"/>
    <s v="9th St S &amp; Brevard Ave. Exfiltration"/>
    <s v="Not provided."/>
    <s v="Grass Swales without Swale Blocks or Raised Culverts"/>
    <x v="0"/>
    <n v="2013"/>
    <n v="0.1"/>
    <n v="0.02"/>
    <s v="B"/>
    <n v="0.1"/>
    <s v="Not provided"/>
    <n v="300"/>
    <s v="Not provided"/>
    <s v="Not provided"/>
    <s v="N/A"/>
    <s v="Structural"/>
    <s v="Completed"/>
    <n v="2013"/>
    <s v="Banana River Lagoon"/>
    <s v="Not provided"/>
    <s v="Not provided"/>
    <s v="Not provided"/>
  </r>
  <r>
    <n v="2592"/>
    <s v="City of Cocoa Beach"/>
    <s v="Not provided"/>
    <s v="CB-11"/>
    <s v="321 Jack Dr. Exfiltration"/>
    <s v="Not provided."/>
    <s v="Grass Swales without Swale Blocks or Raised Culverts"/>
    <x v="0"/>
    <n v="2013"/>
    <n v="0.42"/>
    <n v="0.06"/>
    <s v="B"/>
    <n v="0.7"/>
    <s v="Not provided"/>
    <n v="120"/>
    <s v="Not provided"/>
    <s v="Not provided"/>
    <s v="N/A"/>
    <s v="Structural"/>
    <s v="Completed"/>
    <n v="2013"/>
    <s v="Banana River Lagoon"/>
    <s v="Not provided"/>
    <s v="Not provided"/>
    <s v="Not provided"/>
  </r>
  <r>
    <n v="2558"/>
    <s v="City of Cocoa Beach"/>
    <s v="Not provided"/>
    <s v="CB-12"/>
    <s v="125 Cedar Ave. Exfiltration"/>
    <s v="Not provided."/>
    <s v="Grass Swales without Swale Blocks or Raised Culverts"/>
    <x v="0"/>
    <n v="2013"/>
    <n v="1"/>
    <n v="0.2"/>
    <s v="B"/>
    <n v="0.9"/>
    <s v="Not provided"/>
    <n v="120"/>
    <s v="Not provided"/>
    <s v="Not provided"/>
    <s v="N/A"/>
    <s v="Structural"/>
    <s v="Completed"/>
    <n v="2013"/>
    <s v="Banana River Lagoon"/>
    <s v="Not provided"/>
    <s v="Not provided"/>
    <s v="Not provided"/>
  </r>
  <r>
    <n v="2556"/>
    <s v="City of Cocoa Beach"/>
    <s v="Not provided"/>
    <s v="CB-13"/>
    <s v="Meade Bioretention"/>
    <s v="Not provided."/>
    <s v="Grass Swales without Swale Blocks or Raised Culverts"/>
    <x v="0"/>
    <n v="2013"/>
    <n v="0.01"/>
    <n v="0"/>
    <s v="B"/>
    <n v="0.01"/>
    <s v="Not provided"/>
    <n v="300"/>
    <s v="Not provided"/>
    <s v="Not provided"/>
    <s v="N/A"/>
    <s v="Structural"/>
    <s v="Completed"/>
    <n v="2013"/>
    <s v="Banana River Lagoon"/>
    <s v="Not provided"/>
    <s v="Not provided"/>
    <s v="Not provided"/>
  </r>
  <r>
    <n v="2555"/>
    <s v="City of Cocoa Beach"/>
    <s v="Not provided"/>
    <s v="CB-14"/>
    <s v="Osceola E Bioretention"/>
    <s v="Not provided."/>
    <s v="Grass Swales without Swale Blocks or Raised Culverts"/>
    <x v="0"/>
    <n v="2013"/>
    <s v="Not provided"/>
    <s v="Not provided"/>
    <s v="Outside Model Boundary"/>
    <s v="Not provided"/>
    <s v="Not provided"/>
    <s v="Not provided"/>
    <s v="Not provided"/>
    <s v="Not provided"/>
    <s v="N/A"/>
    <s v="Structural"/>
    <s v="Completed"/>
    <n v="2013"/>
    <s v="Banana River Lagoon"/>
    <s v="Not provided"/>
    <s v="Not provided"/>
    <s v="Not provided"/>
  </r>
  <r>
    <n v="2554"/>
    <s v="City of Cocoa Beach"/>
    <s v="Not provided"/>
    <s v="CB-15"/>
    <s v="4th St. N Bioretention"/>
    <s v="Not provided."/>
    <s v="Grass Swales without Swale Blocks or Raised Culverts"/>
    <x v="0"/>
    <n v="2013"/>
    <n v="1"/>
    <n v="0.3"/>
    <s v="B"/>
    <n v="0.1"/>
    <s v="Not provided"/>
    <n v="120"/>
    <s v="Not provided"/>
    <s v="Not provided"/>
    <s v="N/A"/>
    <s v="Structural"/>
    <s v="Completed"/>
    <n v="2013"/>
    <s v="Banana River Lagoon"/>
    <s v="Not provided"/>
    <s v="Not provided"/>
    <s v="Not provided"/>
  </r>
  <r>
    <n v="2553"/>
    <s v="City of Cocoa Beach"/>
    <s v="Not provided"/>
    <s v="CB-16"/>
    <s v="4th St. S Bioretention"/>
    <s v="Not provided."/>
    <s v="Grass Swales without Swale Blocks or Raised Culverts"/>
    <x v="0"/>
    <n v="2013"/>
    <n v="2"/>
    <n v="0.5"/>
    <s v="B"/>
    <n v="0.5"/>
    <s v="Not provided"/>
    <n v="120"/>
    <s v="Not provided"/>
    <s v="Not provided"/>
    <s v="N/A"/>
    <s v="Structural"/>
    <s v="Completed"/>
    <n v="2013"/>
    <s v="Banana River Lagoon"/>
    <s v="Not provided"/>
    <s v="Not provided"/>
    <s v="Not provided"/>
  </r>
  <r>
    <n v="2568"/>
    <s v="City of Cocoa Beach"/>
    <s v="Not provided"/>
    <s v="CB-17"/>
    <s v="3rd St. South N Bioretention"/>
    <s v="Not provided."/>
    <s v="Grass Swales without Swale Blocks or Raised Culverts"/>
    <x v="0"/>
    <n v="2013"/>
    <s v="Not provided"/>
    <s v="Not provided"/>
    <s v="Outside Model Boundary"/>
    <s v="Not provided"/>
    <s v="Not provided"/>
    <s v="Not provided"/>
    <s v="Not provided"/>
    <s v="Not provided"/>
    <s v="N/A"/>
    <s v="Structural"/>
    <s v="Completed"/>
    <n v="2013"/>
    <s v="Banana River Lagoon"/>
    <s v="Not provided"/>
    <s v="Not provided"/>
    <s v="Not provided"/>
  </r>
  <r>
    <n v="2567"/>
    <s v="City of Cocoa Beach"/>
    <s v="Not provided"/>
    <s v="CB-18"/>
    <s v="3rd St. South S Bioretention"/>
    <s v="Not provided."/>
    <s v="Grass Swales without Swale Blocks or Raised Culverts"/>
    <x v="0"/>
    <n v="2013"/>
    <s v="Not provided"/>
    <s v="Not provided"/>
    <s v="Outside Model Boundary"/>
    <s v="Not provided"/>
    <s v="Not provided"/>
    <s v="Not provided"/>
    <s v="Not provided"/>
    <s v="Not provided"/>
    <s v="N/A"/>
    <s v="Structural"/>
    <s v="Completed"/>
    <n v="2013"/>
    <s v="Banana River Lagoon"/>
    <s v="Not provided"/>
    <s v="Not provided"/>
    <s v="Not provided"/>
  </r>
  <r>
    <n v="2566"/>
    <s v="City of Cocoa Beach"/>
    <s v="Not provided"/>
    <s v="CB-19"/>
    <s v="Holiday Lane Bioretention"/>
    <s v="Not provided."/>
    <s v="Grass Swales without Swale Blocks or Raised Culverts"/>
    <x v="0"/>
    <n v="2013"/>
    <n v="34"/>
    <n v="7.3"/>
    <s v="B"/>
    <n v="5.2"/>
    <s v="Not provided"/>
    <n v="1200"/>
    <s v="Not provided"/>
    <s v="Not provided"/>
    <s v="N/A"/>
    <s v="Structural"/>
    <s v="Completed"/>
    <n v="2013"/>
    <s v="Banana River Lagoon"/>
    <s v="Not provided"/>
    <s v="Not provided"/>
    <s v="Not provided"/>
  </r>
  <r>
    <n v="2565"/>
    <s v="City of Cocoa Beach"/>
    <s v="Not provided"/>
    <s v="CB-20"/>
    <s v="S Banana/St. Lucie Swale"/>
    <s v="Not provided."/>
    <s v="Grass Swales without Swale Blocks or Raised Culverts"/>
    <x v="0"/>
    <n v="2013"/>
    <n v="13"/>
    <n v="2.8"/>
    <s v="B"/>
    <n v="3.8"/>
    <s v="Not provided"/>
    <n v="120"/>
    <s v="Not provided"/>
    <s v="Not provided"/>
    <s v="N/A"/>
    <s v="Structural"/>
    <s v="Completed"/>
    <n v="2013"/>
    <s v="Banana River Lagoon"/>
    <s v="Not provided"/>
    <s v="Not provided"/>
    <s v="Not provided"/>
  </r>
  <r>
    <n v="2564"/>
    <s v="City of Cocoa Beach"/>
    <s v="Not provided"/>
    <s v="CB-21"/>
    <s v="S Banana/St. Lucie Swale"/>
    <s v="Not provided."/>
    <s v="Grass Swales without Swale Blocks or Raised Culverts"/>
    <x v="0"/>
    <n v="2013"/>
    <n v="2"/>
    <n v="0.2"/>
    <s v="B"/>
    <n v="0.8"/>
    <s v="Not provided"/>
    <n v="120"/>
    <s v="Not provided"/>
    <s v="Not provided"/>
    <s v="N/A"/>
    <s v="Structural"/>
    <s v="Completed"/>
    <n v="2013"/>
    <s v="Banana River Lagoon"/>
    <s v="Not provided"/>
    <s v="Not provided"/>
    <s v="Not provided"/>
  </r>
  <r>
    <n v="2563"/>
    <s v="City of Cocoa Beach"/>
    <s v="Not provided"/>
    <s v="CB-22"/>
    <s v="Banana River Retention"/>
    <s v="Not provided."/>
    <s v="Dry Detention Pond"/>
    <x v="0"/>
    <n v="2013"/>
    <n v="2"/>
    <n v="0.4"/>
    <s v="B"/>
    <n v="1.1000000000000001"/>
    <s v="Not provided"/>
    <n v="1500"/>
    <s v="Not provided"/>
    <s v="Not provided"/>
    <s v="N/A"/>
    <s v="Structural"/>
    <s v="Completed"/>
    <n v="2013"/>
    <s v="Banana River Lagoon"/>
    <s v="Not provided"/>
    <s v="Not provided"/>
    <s v="Not provided"/>
  </r>
  <r>
    <n v="2562"/>
    <s v="City of Cocoa Beach"/>
    <s v="Not provided"/>
    <s v="CB-23"/>
    <s v="Banana River Retention"/>
    <s v="Not provided."/>
    <s v="Dry Detention Pond"/>
    <x v="0"/>
    <n v="2013"/>
    <n v="2"/>
    <n v="0.5"/>
    <s v="B"/>
    <n v="1.4"/>
    <s v="Not provided"/>
    <n v="1500"/>
    <s v="Not provided"/>
    <s v="Not provided"/>
    <s v="N/A"/>
    <s v="Structural"/>
    <s v="Completed"/>
    <n v="2013"/>
    <s v="Banana River Lagoon"/>
    <s v="Not provided"/>
    <s v="Not provided"/>
    <s v="Not provided"/>
  </r>
  <r>
    <n v="2561"/>
    <s v="City of Cocoa Beach"/>
    <s v="Not provided"/>
    <s v="CB-24"/>
    <s v="Minutemen/ Country Club Swale"/>
    <s v="Not provided."/>
    <s v="Grass Swales without Swale Blocks or Raised Culverts"/>
    <x v="0"/>
    <n v="2013"/>
    <n v="7"/>
    <n v="1.6"/>
    <s v="B"/>
    <n v="1.9"/>
    <s v="Not provided"/>
    <n v="120"/>
    <s v="Not provided"/>
    <s v="Not provided"/>
    <s v="N/A"/>
    <s v="Structural"/>
    <s v="Completed"/>
    <n v="2013"/>
    <s v="Banana River Lagoon"/>
    <s v="Not provided"/>
    <s v="Not provided"/>
    <s v="Not provided"/>
  </r>
  <r>
    <n v="2524"/>
    <s v="City of Cocoa Beach"/>
    <s v="Not provided"/>
    <s v="CB-25"/>
    <s v="Palm Ave. Swale"/>
    <s v="Not provided."/>
    <s v="Grass Swales without Swale Blocks or Raised Culverts"/>
    <x v="0"/>
    <n v="2013"/>
    <n v="0"/>
    <n v="0"/>
    <s v="B"/>
    <n v="0.2"/>
    <s v="Not provided"/>
    <n v="120"/>
    <s v="Not provided"/>
    <s v="Not provided"/>
    <s v="N/A"/>
    <s v="Structural"/>
    <s v="Completed"/>
    <n v="2013"/>
    <s v="Banana River Lagoon"/>
    <s v="Not provided"/>
    <s v="Not provided"/>
    <s v="Not provided"/>
  </r>
  <r>
    <n v="2489"/>
    <s v="City of Cocoa Beach"/>
    <s v="Not provided"/>
    <s v="CB-26"/>
    <s v="Minutemen/ CBHS"/>
    <s v="Not provided."/>
    <s v="Grass Swales without Swale Blocks or Raised Culverts"/>
    <x v="0"/>
    <n v="2013"/>
    <n v="20"/>
    <n v="4.8"/>
    <s v="B"/>
    <n v="1.3"/>
    <s v="Not provided"/>
    <n v="500"/>
    <s v="Not provided"/>
    <s v="Not provided"/>
    <s v="N/A"/>
    <s v="Structural"/>
    <s v="Completed"/>
    <n v="2013"/>
    <s v="Banana River Lagoon"/>
    <s v="Not provided"/>
    <s v="Not provided"/>
    <s v="Not provided"/>
  </r>
  <r>
    <n v="2537"/>
    <s v="City of Cocoa Beach"/>
    <s v="Not provided"/>
    <s v="CB-27"/>
    <s v="Minutemen/ PW Complex Swale"/>
    <s v="Not provided."/>
    <s v="Grass Swales without Swale Blocks or Raised Culverts"/>
    <x v="0"/>
    <n v="2013"/>
    <n v="4"/>
    <n v="0.8"/>
    <s v="B"/>
    <n v="1.9"/>
    <s v="Not provided"/>
    <n v="3000"/>
    <s v="Not provided"/>
    <s v="Not provided"/>
    <s v="N/A"/>
    <s v="Structural"/>
    <s v="Completed"/>
    <n v="2013"/>
    <s v="Banana River Lagoon"/>
    <s v="Not provided"/>
    <s v="Not provided"/>
    <s v="Not provided"/>
  </r>
  <r>
    <n v="2509"/>
    <s v="City of Cocoa Beach"/>
    <s v="Not provided"/>
    <s v="CB-28"/>
    <s v="Tom Warriner/ PW Complex Swale"/>
    <s v="Not provided."/>
    <s v="Grass Swales without Swale Blocks or Raised Culverts"/>
    <x v="0"/>
    <n v="2013"/>
    <n v="3"/>
    <n v="0.4"/>
    <s v="B"/>
    <n v="0.9"/>
    <s v="Not provided"/>
    <n v="3000"/>
    <s v="Not provided"/>
    <s v="Not provided"/>
    <s v="N/A"/>
    <s v="Structural"/>
    <s v="Completed"/>
    <n v="2013"/>
    <s v="Banana River Lagoon"/>
    <s v="Not provided"/>
    <s v="Not provided"/>
    <s v="Not provided"/>
  </r>
  <r>
    <n v="2508"/>
    <s v="City of Cocoa Beach"/>
    <s v="Not provided"/>
    <s v="CB-29"/>
    <s v="Shepard Drive Swale"/>
    <s v="Not provided."/>
    <s v="Grass Swales without Swale Blocks or Raised Culverts"/>
    <x v="0"/>
    <n v="2013"/>
    <n v="3"/>
    <n v="0.5"/>
    <s v="B"/>
    <n v="0.6"/>
    <s v="Not provided"/>
    <n v="120"/>
    <s v="Not provided"/>
    <s v="Not provided"/>
    <s v="N/A"/>
    <s v="Structural"/>
    <s v="Completed"/>
    <n v="2013"/>
    <s v="Banana River Lagoon"/>
    <s v="Not provided"/>
    <s v="Not provided"/>
    <s v="Not provided"/>
  </r>
  <r>
    <n v="2507"/>
    <s v="City of Cocoa Beach"/>
    <s v="Not provided"/>
    <s v="CB-30"/>
    <s v="Shepard Drive Swale"/>
    <s v="Not provided."/>
    <s v="Grass Swales without Swale Blocks or Raised Culverts"/>
    <x v="0"/>
    <n v="2013"/>
    <n v="5"/>
    <n v="0.4"/>
    <s v="B"/>
    <n v="1.3"/>
    <s v="Not provided"/>
    <n v="120"/>
    <s v="Not provided"/>
    <s v="Not provided"/>
    <s v="N/A"/>
    <s v="Structural"/>
    <s v="Completed"/>
    <n v="2013"/>
    <s v="Banana River Lagoon"/>
    <s v="Not provided"/>
    <s v="Not provided"/>
    <s v="Not provided"/>
  </r>
  <r>
    <n v="2506"/>
    <s v="City of Cocoa Beach"/>
    <s v="Not provided"/>
    <s v="CB-31"/>
    <s v="W Gadsden/ Banana Swale"/>
    <s v="Not provided."/>
    <s v="Grass Swales without Swale Blocks or Raised Culverts"/>
    <x v="1"/>
    <s v="N/A"/>
    <s v="N/A"/>
    <s v="N/A"/>
    <s v="N/A"/>
    <s v="N/A"/>
    <s v="N/A"/>
    <s v="N/A"/>
    <s v="N/A"/>
    <s v="N/A"/>
    <s v="N/A"/>
    <s v="Structural"/>
    <s v="Cancelled"/>
    <n v="2013"/>
    <s v="Banana River Lagoon"/>
    <s v="N/A"/>
    <s v="N/A"/>
    <s v="N/A"/>
  </r>
  <r>
    <n v="2505"/>
    <s v="City of Cocoa Beach"/>
    <s v="Not provided"/>
    <s v="CB-32"/>
    <s v="W Pasco/ Banana Swale"/>
    <s v="Not provided."/>
    <s v="Grass Swales without Swale Blocks or Raised Culverts"/>
    <x v="0"/>
    <n v="2013"/>
    <n v="2"/>
    <n v="0.2"/>
    <s v="B"/>
    <n v="1"/>
    <s v="Not provided"/>
    <n v="120"/>
    <s v="Not provided"/>
    <s v="Not provided"/>
    <s v="N/A"/>
    <s v="Structural"/>
    <s v="Completed"/>
    <n v="2013"/>
    <s v="Banana River Lagoon"/>
    <s v="Not provided"/>
    <s v="Not provided"/>
    <s v="Not provided"/>
  </r>
  <r>
    <n v="2504"/>
    <s v="City of Cocoa Beach"/>
    <s v="Not provided"/>
    <s v="CB-33"/>
    <s v="W Pasco/ Banana Swale"/>
    <s v="Not provided."/>
    <s v="Grass Swales without Swale Blocks or Raised Culverts"/>
    <x v="0"/>
    <n v="2013"/>
    <n v="3"/>
    <n v="0.4"/>
    <s v="B"/>
    <n v="2.2999999999999998"/>
    <s v="Not provided"/>
    <n v="120"/>
    <s v="Not provided"/>
    <s v="Not provided"/>
    <s v="N/A"/>
    <s v="Structural"/>
    <s v="Completed"/>
    <n v="2013"/>
    <s v="Banana River Lagoon"/>
    <s v="Not provided"/>
    <s v="Not provided"/>
    <s v="Not provided"/>
  </r>
  <r>
    <n v="2503"/>
    <s v="City of Cocoa Beach"/>
    <s v="Not provided"/>
    <s v="CB-34"/>
    <s v="32 Inlet Baskets"/>
    <s v="Not provided."/>
    <s v="BMP Cleanout"/>
    <x v="0"/>
    <n v="2013"/>
    <n v="32"/>
    <n v="10.3"/>
    <s v="B"/>
    <s v="Not provided"/>
    <s v="Not provided"/>
    <n v="1200"/>
    <s v="Not provided"/>
    <s v="Not provided"/>
    <s v="N/A"/>
    <s v="Non-structural"/>
    <s v="Completed"/>
    <n v="2013"/>
    <s v="Banana River Lagoon"/>
    <s v="N/A"/>
    <s v="N/A"/>
    <s v="Not provided"/>
  </r>
  <r>
    <n v="2502"/>
    <s v="City of Cocoa Beach"/>
    <s v="Not provided"/>
    <s v="CB-35"/>
    <s v="Dino Museum/ Store,  250 W CB Causeway"/>
    <s v="Not provided."/>
    <s v="Dry Detention Pond"/>
    <x v="0"/>
    <n v="2013"/>
    <n v="4"/>
    <n v="0.9"/>
    <s v="B"/>
    <n v="2.1"/>
    <s v="Not provided"/>
    <n v="120"/>
    <s v="Not provided"/>
    <s v="Not provided"/>
    <s v="N/A"/>
    <s v="Structural"/>
    <s v="Completed"/>
    <n v="2013"/>
    <s v="Banana River Lagoon"/>
    <s v="Not provided"/>
    <s v="Not provided"/>
    <s v="Not provided"/>
  </r>
  <r>
    <n v="2501"/>
    <s v="City of Cocoa Beach"/>
    <s v="Not provided"/>
    <s v="CB-36"/>
    <s v="332-334 N Orlando"/>
    <s v="Not provided."/>
    <s v="Dry Detention Pond"/>
    <x v="0"/>
    <n v="2013"/>
    <n v="1"/>
    <n v="0.2"/>
    <s v="B"/>
    <n v="0.5"/>
    <s v="Not provided"/>
    <n v="120"/>
    <s v="Not provided"/>
    <s v="Not provided"/>
    <s v="N/A"/>
    <s v="Structural"/>
    <s v="Completed"/>
    <n v="2013"/>
    <s v="Banana River Lagoon"/>
    <s v="Not provided"/>
    <s v="Not provided"/>
    <s v="Not provided"/>
  </r>
  <r>
    <n v="2488"/>
    <s v="City of Cocoa Beach"/>
    <s v="Not provided"/>
    <s v="CB-37"/>
    <s v="Street Sweeping"/>
    <s v="Not provided."/>
    <s v="Street Sweeping"/>
    <x v="0"/>
    <s v="N/A"/>
    <n v="84"/>
    <n v="54"/>
    <s v="B"/>
    <s v="N/A"/>
    <n v="38405"/>
    <n v="38405"/>
    <s v="Not provided"/>
    <n v="38405"/>
    <s v="N/A"/>
    <s v="Non-structural"/>
    <s v="Ongoing"/>
    <n v="2013"/>
    <s v="Banana River Lagoon"/>
    <s v="N/A"/>
    <s v="N/A"/>
    <s v="Not provided"/>
  </r>
  <r>
    <n v="2499"/>
    <s v="City of Cocoa Beach"/>
    <s v="N/A"/>
    <s v="CB-38"/>
    <s v="Education Efforts"/>
    <s v="FYN; landscape, irrigation, fertilizer, and pet waste ordinances; public service announcements (PSAs); pamphlets; website; Illicit Discharge Program."/>
    <s v="Education Efforts"/>
    <x v="0"/>
    <s v="N/A"/>
    <n v="1098"/>
    <n v="228"/>
    <s v="B"/>
    <s v="N/A"/>
    <n v="5000"/>
    <n v="5000"/>
    <s v="Not provided"/>
    <n v="5000"/>
    <s v="N/A"/>
    <s v="Non-structural"/>
    <s v="Ongoing"/>
    <n v="2013"/>
    <s v="Banana River Lagoon"/>
    <s v="N/A"/>
    <s v="N/A"/>
    <s v="Not provided"/>
  </r>
  <r>
    <n v="2511"/>
    <s v="City of Cocoa Beach"/>
    <s v="EPA/ DEP/ SJRWMD"/>
    <s v="CB-39"/>
    <s v="Minutemen Corridor Stormwater Improvement/ LID"/>
    <s v="Tree canopy, rain gardens/ rain tanks/ previous pavers/ BAM."/>
    <s v="BMP Treatment Train"/>
    <x v="0"/>
    <n v="2016"/>
    <s v="TBD"/>
    <s v="TBD"/>
    <s v="B"/>
    <n v="20.3"/>
    <n v="2975671"/>
    <n v="12000"/>
    <s v="TMDL/ EPA/ Legislative/ SJRWMD"/>
    <n v="779464"/>
    <s v="G0412"/>
    <s v="Structural"/>
    <s v="Design"/>
    <n v="2013"/>
    <s v="Banana River Lagoon"/>
    <s v="Not provided"/>
    <s v="Not provided"/>
    <s v="Not provided"/>
  </r>
  <r>
    <n v="2497"/>
    <s v="City of Cocoa Beach"/>
    <s v="Not provided"/>
    <s v="CB-40"/>
    <s v="Convair Cove SW LID"/>
    <s v="Tree canopy, rain gardens/ rain tanks/ previous pavers/ BAM."/>
    <s v="BMP Treatment Train"/>
    <x v="3"/>
    <n v="2020"/>
    <s v="TBD"/>
    <s v="TBD"/>
    <s v="B"/>
    <n v="11"/>
    <n v="276000"/>
    <n v="3000"/>
    <s v="TBD"/>
    <s v="TBD"/>
    <s v="TBD"/>
    <s v="Structural"/>
    <s v="Envisioned, but Not Funded"/>
    <n v="2016"/>
    <s v="Banana River Lagoon"/>
    <n v="28.320034"/>
    <n v="-80.611035000000001"/>
    <s v="2017"/>
  </r>
  <r>
    <s v="4339"/>
    <s v="City of Cocoa Beach"/>
    <s v="Not provided"/>
    <s v="CB-41"/>
    <s v="1st Street N./ Brevard SW LID"/>
    <s v="Tree canopy, rain gardens/ rain tanks/ previous pavers/ BAM."/>
    <s v="BMP Treatment Train"/>
    <x v="3"/>
    <n v="2020"/>
    <s v="TBD"/>
    <s v="TBD"/>
    <s v="B"/>
    <n v="12.6"/>
    <n v="250000"/>
    <n v="3000"/>
    <s v="TBD"/>
    <s v="TBD"/>
    <s v="TBD"/>
    <s v="Structural"/>
    <m/>
    <n v="2018"/>
    <s v="Banana River Lagoon"/>
    <s v="Not provided"/>
    <s v="Not provided"/>
    <d v="1905-07-12T00:00:00"/>
  </r>
  <r>
    <n v="2496"/>
    <s v="City of Indian Harbour Beach"/>
    <s v="Not provided"/>
    <s v="IHB-01"/>
    <s v="N. Osceola Drive"/>
    <s v="Not provided."/>
    <s v="Exfiltration Trench"/>
    <x v="0"/>
    <n v="2013"/>
    <n v="41.79"/>
    <n v="5.92"/>
    <s v="B"/>
    <n v="8.6161747651000002"/>
    <n v="60000"/>
    <n v="500"/>
    <s v="Not provided"/>
    <n v="60000"/>
    <s v="N/A"/>
    <s v="Structural"/>
    <s v="Completed"/>
    <n v="2013"/>
    <s v="Banana River Lagoon"/>
    <s v="Not provided"/>
    <s v="Not provided"/>
    <s v="Not provided"/>
  </r>
  <r>
    <n v="2495"/>
    <s v="City of Indian Harbour Beach"/>
    <s v="Not provided"/>
    <s v="IHB-02"/>
    <s v="Datura Drive"/>
    <s v="Not provided."/>
    <s v="Exfiltration Trench"/>
    <x v="0"/>
    <n v="2013"/>
    <n v="3.53"/>
    <n v="0.53"/>
    <s v="B"/>
    <n v="0.72658181820000001"/>
    <n v="50000"/>
    <n v="300"/>
    <s v="Not provided"/>
    <n v="50000"/>
    <s v="N/A"/>
    <s v="Structural"/>
    <s v="Completed"/>
    <n v="2013"/>
    <s v="Banana River Lagoon"/>
    <s v="Not provided"/>
    <s v="Not provided"/>
    <s v="Not provided"/>
  </r>
  <r>
    <n v="2494"/>
    <s v="City of Indian Harbour Beach"/>
    <s v="Not provided"/>
    <s v="IHB-03"/>
    <s v="Coquina Palms Subdivision"/>
    <s v="Not provided."/>
    <s v="100% On-site Retention"/>
    <x v="0"/>
    <n v="2013"/>
    <n v="61"/>
    <n v="10.9"/>
    <s v="B"/>
    <n v="6.3"/>
    <s v="N/A"/>
    <s v="Not provided"/>
    <s v="Not provided"/>
    <s v="Not provided"/>
    <s v="N/A"/>
    <s v="Structural"/>
    <s v="Completed"/>
    <n v="2013"/>
    <s v="Banana River Lagoon"/>
    <s v="Not provided"/>
    <s v="Not provided"/>
    <s v="Not provided"/>
  </r>
  <r>
    <n v="2493"/>
    <s v="City of Indian Harbour Beach"/>
    <s v="Not provided"/>
    <s v="IHB-04"/>
    <s v="Education Efforts"/>
    <s v="Landscape, irrigation, fertilizer, and pet waste ordinances; pamphlets, illicit discharge program."/>
    <s v="Education Efforts"/>
    <x v="0"/>
    <s v="N/A"/>
    <n v="647.79500000000007"/>
    <n v="120.81899999999999"/>
    <s v="B"/>
    <s v="N/A"/>
    <s v="Not provided"/>
    <s v="Not provided"/>
    <s v="Not provided"/>
    <s v="Not provided"/>
    <s v="N/A"/>
    <s v="Non-structural"/>
    <s v="Ongoing"/>
    <n v="2013"/>
    <s v="Banana River Lagoon"/>
    <s v="N/A"/>
    <s v="N/A"/>
    <s v="Not provided"/>
  </r>
  <r>
    <n v="2492"/>
    <s v="City of Indian Harbour Beach"/>
    <s v="Not provided"/>
    <s v="IHB-05"/>
    <s v="Inlet Cleaning"/>
    <s v="Not provided."/>
    <s v="BMP Cleanout"/>
    <x v="0"/>
    <s v="N/A"/>
    <n v="7.12"/>
    <n v="4.37"/>
    <s v="B"/>
    <s v="Not provided"/>
    <s v="N/A"/>
    <s v="N/A"/>
    <s v="Not provided"/>
    <s v="Not provided"/>
    <s v="N/A"/>
    <s v="Non-structural"/>
    <s v="Ongoing"/>
    <n v="2013"/>
    <s v="Banana River Lagoon"/>
    <s v="N/A"/>
    <s v="N/A"/>
    <s v="Not provided"/>
  </r>
  <r>
    <n v="2491"/>
    <s v="City of Indian Harbour Beach"/>
    <s v="N/A"/>
    <s v="IHB-06"/>
    <s v="Street Sweeping"/>
    <s v="Not provided."/>
    <s v="Street Sweeping"/>
    <x v="0"/>
    <s v="N/A"/>
    <n v="149.71"/>
    <n v="95.99"/>
    <s v="B"/>
    <s v="N/A"/>
    <n v="9800"/>
    <s v="Not provided"/>
    <s v="Not provided"/>
    <n v="9800"/>
    <s v="N/A"/>
    <s v="Non-structural"/>
    <s v="Ongoing"/>
    <n v="2013"/>
    <s v="Banana River Lagoon"/>
    <s v="N/A"/>
    <s v="N/A"/>
    <s v="Not provided"/>
  </r>
  <r>
    <n v="2490"/>
    <s v="City of Indian Harbour Beach"/>
    <s v="Not provided"/>
    <s v="IHB-07"/>
    <s v="Gleason Park Phase 1"/>
    <s v="Not provided."/>
    <s v="Wet Detention Pond"/>
    <x v="0"/>
    <n v="2013"/>
    <n v="382.2"/>
    <n v="118.56"/>
    <s v="B"/>
    <n v="128.88"/>
    <n v="135000"/>
    <n v="200"/>
    <s v="Not provided"/>
    <n v="135000"/>
    <s v="N/A"/>
    <s v="Structural"/>
    <s v="Completed"/>
    <n v="2013"/>
    <s v="Banana River Lagoon"/>
    <s v="Not provided"/>
    <s v="Not provided"/>
    <s v="Not provided"/>
  </r>
  <r>
    <n v="2522"/>
    <s v="City of Indian Harbour Beach"/>
    <s v="Not provided"/>
    <s v="IHB-08"/>
    <s v="Atlantic Ave. Swale"/>
    <s v="Not provided."/>
    <s v="Grass Swales without Swale Blocks or Raised Culverts"/>
    <x v="0"/>
    <n v="2013"/>
    <n v="8"/>
    <n v="1.2"/>
    <s v="B"/>
    <n v="0.96"/>
    <s v="N/A"/>
    <s v="N/A"/>
    <s v="Not provided"/>
    <s v="Not provided"/>
    <s v="N/A"/>
    <s v="Structural"/>
    <s v="Completed"/>
    <n v="2013"/>
    <s v="Banana River Lagoon"/>
    <s v="Not provided"/>
    <s v="Not provided"/>
    <s v="Not provided"/>
  </r>
  <r>
    <n v="2498"/>
    <s v="City of Indian Harbour Beach"/>
    <s v="Not provided"/>
    <s v="IHB-09"/>
    <s v="Gleason Park Irrigation"/>
    <s v="Not provided."/>
    <s v="Reclaimed Water"/>
    <x v="0"/>
    <s v="Prior to 2013"/>
    <n v="47.78"/>
    <n v="8.3800000000000008"/>
    <s v="B"/>
    <n v="128.88"/>
    <s v="N/A"/>
    <s v="N/A"/>
    <s v="Not provided"/>
    <s v="Not provided"/>
    <s v="N/A"/>
    <s v="Structural"/>
    <s v="Ongoing"/>
    <n v="2013"/>
    <s v="Banana River Lagoon"/>
    <s v="Not provided"/>
    <s v="Not provided"/>
    <s v="Not provided"/>
  </r>
  <r>
    <n v="2500"/>
    <s v="City of Indian Harbour Beach"/>
    <s v="Not provided"/>
    <s v="IHB-10"/>
    <s v="Indian Harbour Beach Condo Pond"/>
    <s v="(Previously named Lift Station Pond)"/>
    <s v="Dry Detention Pond"/>
    <x v="0"/>
    <n v="2016"/>
    <n v="47.66"/>
    <n v="8.3699999999999992"/>
    <s v="B"/>
    <n v="2.35"/>
    <n v="13277"/>
    <s v="N/A"/>
    <s v="Not provided"/>
    <n v="13277"/>
    <s v="N/A"/>
    <s v="Structural"/>
    <s v="Completed"/>
    <n v="2013"/>
    <s v="Banana River Lagoon"/>
    <s v="Not provided"/>
    <s v="Not provided"/>
    <s v="Not provided"/>
  </r>
  <r>
    <n v="2534"/>
    <s v="City of Indian Harbour Beach"/>
    <s v="Not provided"/>
    <s v="IHB-11"/>
    <s v="Fire Station Exfiltration"/>
    <s v="Not provided."/>
    <s v="Exfiltration Trench"/>
    <x v="0"/>
    <n v="2013"/>
    <n v="9"/>
    <n v="1"/>
    <s v="B"/>
    <n v="2.8"/>
    <n v="11481"/>
    <s v="N/A"/>
    <s v="Not provided"/>
    <n v="11481"/>
    <s v="N/A"/>
    <s v="Structural"/>
    <s v="Completed"/>
    <n v="2013"/>
    <s v="Banana River Lagoon"/>
    <s v="Not provided"/>
    <s v="Not provided"/>
    <s v="Not provided"/>
  </r>
  <r>
    <n v="2533"/>
    <s v="City of Indian Harbour Beach"/>
    <s v="Not provided"/>
    <s v="IHB-12"/>
    <s v="School Road at Park Drive"/>
    <s v="Not provided."/>
    <s v="Exfiltration Trench"/>
    <x v="0"/>
    <n v="2013"/>
    <n v="15"/>
    <n v="3.1"/>
    <s v="B"/>
    <n v="15.8"/>
    <s v="Not provided"/>
    <s v="N/A"/>
    <s v="Not provided"/>
    <s v="Not provided"/>
    <s v="N/A"/>
    <s v="Structural"/>
    <s v="Completed"/>
    <n v="2013"/>
    <s v="Banana River Lagoon"/>
    <s v="Not provided"/>
    <s v="Not provided"/>
    <s v="Not provided"/>
  </r>
  <r>
    <n v="2532"/>
    <s v="City of Indian Harbour Beach"/>
    <s v="Not provided"/>
    <s v="IHB-13"/>
    <s v="Yuma Drive Exfiltration"/>
    <s v="Not provided."/>
    <s v="Exfiltration Trench"/>
    <x v="0"/>
    <n v="2014"/>
    <n v="26"/>
    <n v="5.8"/>
    <s v="B"/>
    <n v="11.15"/>
    <s v="Not provided"/>
    <s v="N/A"/>
    <s v="Not provided"/>
    <s v="Not provided"/>
    <s v="N/A"/>
    <s v="Structural"/>
    <s v="Completed"/>
    <n v="2014"/>
    <s v="Banana River Lagoon"/>
    <s v="Not provided"/>
    <s v="Not provided"/>
    <s v="Not provided"/>
  </r>
  <r>
    <n v="2531"/>
    <s v="City of Indian Harbour Beach"/>
    <s v="Not provided"/>
    <s v="IHB-14"/>
    <s v="Lime Bay Exfiltration"/>
    <s v="Not provided."/>
    <s v="Exfiltration Trench"/>
    <x v="0"/>
    <n v="2014"/>
    <n v="27.75"/>
    <n v="6.17"/>
    <s v="B"/>
    <n v="31.22"/>
    <s v="Not provided"/>
    <s v="N/A"/>
    <s v="Not provided"/>
    <s v="Not provided"/>
    <s v="N/A"/>
    <s v="Structural"/>
    <s v="Completed"/>
    <n v="2014"/>
    <s v="Banana River Lagoon"/>
    <s v="Not provided"/>
    <s v="Not provided"/>
    <s v="Not provided"/>
  </r>
  <r>
    <n v="2530"/>
    <s v="City of Indian Harbour Beach"/>
    <s v="Not provided"/>
    <s v="IHB-15"/>
    <s v="Andros Lane Exfiltration"/>
    <s v="Not provided."/>
    <s v="Exfiltration Trench"/>
    <x v="0"/>
    <n v="2014"/>
    <n v="4"/>
    <n v="0.5"/>
    <s v="B"/>
    <n v="8.73"/>
    <s v="Not provided"/>
    <s v="N/A"/>
    <s v="Not provided"/>
    <s v="Not provided"/>
    <s v="N/A"/>
    <s v="Structural"/>
    <s v="Completed"/>
    <n v="2014"/>
    <s v="Banana River Lagoon"/>
    <s v="Not provided"/>
    <s v="Not provided"/>
    <s v="Not provided"/>
  </r>
  <r>
    <n v="2529"/>
    <s v="City of Indian Harbour Beach"/>
    <s v="Not provided"/>
    <s v="IHB-16"/>
    <s v="Indian Harbour Beach Condo Pond"/>
    <s v="Not provided."/>
    <s v="Dry Detention Pond"/>
    <x v="1"/>
    <s v="N/A"/>
    <s v="N/A"/>
    <s v="N/A"/>
    <s v="N/A"/>
    <s v="N/A"/>
    <s v="N/A"/>
    <s v="N/A"/>
    <s v="N/A"/>
    <s v="N/A"/>
    <s v="N/A"/>
    <s v="Structural"/>
    <s v="Cancelled"/>
    <n v="2015"/>
    <s v="Banana River Lagoon"/>
    <s v="N/A"/>
    <s v="N/A"/>
    <s v="N/A"/>
  </r>
  <r>
    <n v="2528"/>
    <s v="City of Indian Harbour Beach"/>
    <s v="Not provided"/>
    <s v="IHB-17"/>
    <s v="Fire Station Exfiltration"/>
    <s v="Not provided."/>
    <s v="Exfiltration Trench"/>
    <x v="0"/>
    <n v="2016"/>
    <n v="3.3"/>
    <n v="0.35"/>
    <s v="B"/>
    <n v="2.7947804252770001"/>
    <s v="Not provided"/>
    <s v="N/A"/>
    <s v="Not provided"/>
    <s v="Not provided"/>
    <s v="N/A"/>
    <s v="Structural"/>
    <s v="Completed"/>
    <n v="2016"/>
    <s v="Banana River Lagoon"/>
    <s v="Not provided"/>
    <s v="Not provided"/>
    <s v="Not provided"/>
  </r>
  <r>
    <n v="2527"/>
    <s v="City of Indian Harbour Beach"/>
    <s v="Not provided"/>
    <s v="IHB-18"/>
    <s v="Inwood Lane Exfiltration"/>
    <s v="Not provided."/>
    <s v="Exfiltration Trench"/>
    <x v="0"/>
    <n v="2016"/>
    <n v="8"/>
    <n v="1.1000000000000001"/>
    <s v="B"/>
    <n v="7.723622658891129"/>
    <s v="Not provided"/>
    <s v="N/A"/>
    <s v="Not provided"/>
    <s v="Not provided"/>
    <s v="N/A"/>
    <s v="Structural"/>
    <s v="Completed"/>
    <n v="2016"/>
    <s v="Banana River Lagoon"/>
    <s v="Not provided"/>
    <s v="Not provided"/>
    <s v="Not provided"/>
  </r>
  <r>
    <n v="2526"/>
    <s v="City of Indian Harbour Beach"/>
    <s v="SOIRL"/>
    <s v="IHB-19"/>
    <s v="Gleason Park Irrigation Expansion"/>
    <s v="Expansion of irrigation in Gleason Park."/>
    <s v="Reclaimed Water"/>
    <x v="0"/>
    <n v="2017"/>
    <n v="47.66"/>
    <n v="8.3699999999999992"/>
    <s v="B"/>
    <n v="128.87665205312118"/>
    <n v="11000"/>
    <s v="N/A"/>
    <s v="SOIRL"/>
    <s v="SOIRL - $4,224"/>
    <s v="N/A"/>
    <s v="Structural"/>
    <s v="Envisioned, but Not Funded"/>
    <n v="2016"/>
    <s v="Banana River Lagoon"/>
    <s v="Not provided"/>
    <s v="Not provided"/>
    <s v="2017"/>
  </r>
  <r>
    <n v="2525"/>
    <s v="City of Indian Harbour Beach"/>
    <s v="Not provided"/>
    <s v="IHB-20"/>
    <s v="Oars and Paddles Dry Pond"/>
    <s v="Dry detention with BAM."/>
    <s v="Dry Detention Pond"/>
    <x v="3"/>
    <s v="TBD"/>
    <s v="TBD"/>
    <s v="TBD"/>
    <s v="B"/>
    <n v="35.202762708700718"/>
    <s v="TBD"/>
    <s v="TBD"/>
    <s v="TBD"/>
    <s v="TBD"/>
    <s v="N/A"/>
    <s v="Structural"/>
    <s v="Envisioned, but Not Funded"/>
    <n v="2016"/>
    <s v="Banana River Lagoon"/>
    <s v="Not provided"/>
    <s v="Not provided"/>
    <s v="TDB"/>
  </r>
  <r>
    <n v="2512"/>
    <s v="City of Indian Harbour Beach"/>
    <s v="Not provided"/>
    <s v="IHB-21"/>
    <s v="FDOT Pond #3 Beemats"/>
    <s v="Beemats (6,700 sq. feet)."/>
    <s v="Floating Islands/ Managed Aquatic Plant Systems (MAPS)"/>
    <x v="3"/>
    <s v="TBD"/>
    <s v="TBD"/>
    <s v="TBD"/>
    <s v="B"/>
    <n v="137.89216378656192"/>
    <n v="10000"/>
    <s v="TBD"/>
    <s v="TBD"/>
    <s v="TBD"/>
    <s v="N/A"/>
    <s v="Structural"/>
    <s v="Envisioned, but Not Funded"/>
    <n v="2016"/>
    <s v="Banana River Lagoon"/>
    <s v="Not provided"/>
    <s v="Not provided"/>
    <s v="TBD"/>
  </r>
  <r>
    <n v="2523"/>
    <s v="City of Indian Harbour Beach"/>
    <s v="TBD"/>
    <s v="IHB-22"/>
    <s v="Kristi &amp; Pinetree Dr. Swale"/>
    <s v="1000' long swale along Pinetree Dr.; swales with blocks or raised culverts."/>
    <s v="Grass swales with swale blocks or raised culverts"/>
    <x v="3"/>
    <s v="TBD"/>
    <n v="54"/>
    <n v="12.2"/>
    <s v="B"/>
    <n v="3.6229922974460003"/>
    <n v="12000"/>
    <s v="TBD"/>
    <s v="TBD"/>
    <s v="TBD"/>
    <s v="N/A"/>
    <s v="Structural"/>
    <s v="Envisioned, but Not Funded"/>
    <n v="2016"/>
    <s v="Banana River Lagoon"/>
    <s v="Not provided"/>
    <s v="Not provided"/>
    <s v="TBD"/>
  </r>
  <r>
    <n v="2535"/>
    <s v="City of Indian Harbour Beach"/>
    <s v="TBD"/>
    <s v="IHB-23"/>
    <s v="Wimico Drive Swale"/>
    <s v="Retention swale, perhaps with BAM, along Wimico Dr.; swales with blocks or raised culverts."/>
    <s v="Grass swales with swale blocks or raised culverts"/>
    <x v="3"/>
    <s v="TBD"/>
    <n v="23"/>
    <n v="3.3"/>
    <s v="B"/>
    <n v="2.5126751075699998"/>
    <n v="10000"/>
    <s v="TBD"/>
    <s v="TBD"/>
    <s v="TBD"/>
    <s v="N/A"/>
    <s v="Structural"/>
    <s v="Envisioned, but Not Funded"/>
    <n v="2016"/>
    <s v="Banana River Lagoon"/>
    <s v="Not provided"/>
    <s v="Not provided"/>
    <s v="TBD"/>
  </r>
  <r>
    <n v="2521"/>
    <s v="City of Indian Harbour Beach"/>
    <s v="TBD"/>
    <s v="IHB-24"/>
    <s v="Crispino Wet Pond"/>
    <s v="Construction of 2.9 acre wet pond in Crispino Park (city-owned)."/>
    <s v="Wet Detention Pond"/>
    <x v="3"/>
    <s v="TBD"/>
    <n v="99.25"/>
    <n v="32.090000000000003"/>
    <s v="B"/>
    <n v="34.238829454483813"/>
    <n v="600000"/>
    <s v="TBD"/>
    <s v="TBD"/>
    <s v="TBD"/>
    <s v="N/A"/>
    <s v="Structural"/>
    <s v="Envisioned, but Not Funded"/>
    <n v="2016"/>
    <s v="Banana River Lagoon"/>
    <s v="Not provided"/>
    <s v="Not provided"/>
    <s v="TBD"/>
  </r>
  <r>
    <n v="2520"/>
    <s v="City of Indian Harbour Beach"/>
    <s v="SOIRL"/>
    <s v="IHB-25"/>
    <s v="Big Muddy Canal Baffle Box at Cynthia"/>
    <s v="Baffle box installed at major outfall to Big Muddy Canal."/>
    <s v="Baffle Boxes- Second Generation"/>
    <x v="2"/>
    <s v="TBD"/>
    <s v="TBD"/>
    <s v="TBD"/>
    <s v="B"/>
    <n v="63.8"/>
    <n v="283975"/>
    <s v="TBD"/>
    <s v="SOIRL"/>
    <s v="SOIRL - $26,637"/>
    <s v="N/A"/>
    <s v="Structural"/>
    <s v="Envisioned, but Not Funded"/>
    <n v="2016"/>
    <s v="Banana River Lagoon"/>
    <s v="Not provided"/>
    <s v="Not provided"/>
    <s v="2017"/>
  </r>
  <r>
    <n v="2519"/>
    <s v="City of Indian Harbour Beach"/>
    <s v="Not provided"/>
    <s v="IHB-26"/>
    <s v="Cheyenne Dr./ Marion Baffle"/>
    <s v="Baffle Box installed at a major outfall to Big Muddy Canal."/>
    <s v="Baffle Boxes- Second Generation"/>
    <x v="2"/>
    <s v="TBD"/>
    <s v="TBD"/>
    <s v="TBD"/>
    <s v="B"/>
    <s v="TBD"/>
    <s v="Not provided"/>
    <s v="Not provided"/>
    <s v="Not provided"/>
    <s v="Not provided"/>
    <s v="N/A"/>
    <s v="Structural"/>
    <s v="Envisioned, but Not Funded"/>
    <n v="2016"/>
    <s v="Banana River Lagoon"/>
    <s v="Not provided"/>
    <s v="Not provided"/>
    <s v="Not provided"/>
  </r>
  <r>
    <n v="2518"/>
    <s v="City of Indian Harbour Beach"/>
    <s v="Not provided"/>
    <s v="IHB-27"/>
    <s v="Beach Funeral Home Pervious Parking"/>
    <s v="Provide retention using pervious parking."/>
    <s v="Pervious Pavement"/>
    <x v="2"/>
    <s v="TBD"/>
    <s v="TBD"/>
    <s v="TBD"/>
    <s v="B"/>
    <s v="TBD"/>
    <s v="Not provided"/>
    <s v="Not provided"/>
    <s v="Not provided"/>
    <s v="Not provided"/>
    <s v="N/A"/>
    <s v="Structural"/>
    <s v="Envisioned, but Not Funded"/>
    <n v="2016"/>
    <s v="Banana River Lagoon"/>
    <s v="Not provided"/>
    <s v="Not provided"/>
    <s v="Not provided"/>
  </r>
  <r>
    <n v="2517"/>
    <s v="City of Indian Harbour Beach"/>
    <s v="Not provided"/>
    <s v="IHB-28"/>
    <s v="Townhouse Estates Exfiltration"/>
    <s v="Exfiltration or dry pond in residential neighborhood."/>
    <s v="Exfiltration Trench"/>
    <x v="2"/>
    <s v="TBD"/>
    <s v="TBD"/>
    <s v="TBD"/>
    <s v="B"/>
    <n v="4.9432690368478998"/>
    <n v="15000"/>
    <s v="Not provided"/>
    <s v="Not provided"/>
    <s v="Not provided"/>
    <s v="N/A"/>
    <s v="Structural"/>
    <s v="Envisioned, but Not Funded"/>
    <n v="2016"/>
    <s v="Banana River Lagoon"/>
    <s v="Not provided"/>
    <s v="Not provided"/>
    <s v="Not provided"/>
  </r>
  <r>
    <n v="2516"/>
    <s v="City of Indian Harbour Beach"/>
    <s v="Not provided"/>
    <s v="IHB-29"/>
    <s v="Palm Springs Swale"/>
    <s v="Swale in entire median (2,200 feet) of Palm Springs Blvd.; swales with blocks or raised culverts."/>
    <s v="Grass swales with swale blocks or raised culverts"/>
    <x v="2"/>
    <s v="TBD"/>
    <n v="83.1"/>
    <n v="21.3"/>
    <s v="B"/>
    <n v="4.8116448426202005"/>
    <n v="10000"/>
    <s v="Not provided"/>
    <s v="Not provided"/>
    <s v="Not provided"/>
    <s v="N/A"/>
    <s v="Structural"/>
    <s v="Envisioned, but Not Funded"/>
    <n v="2016"/>
    <s v="Banana River Lagoon"/>
    <s v="Not provided"/>
    <s v="Not provided"/>
    <s v="Not provided"/>
  </r>
  <r>
    <n v="2515"/>
    <s v="City of Indian Harbour Beach"/>
    <s v="Not provided"/>
    <s v="IHB-30"/>
    <s v="Alhambra Exfiltration"/>
    <s v="Indian Head (master plan) exfiltration with 1,330 ft. exfiltration pipe."/>
    <s v="Exfiltration Trench"/>
    <x v="2"/>
    <s v="TBD"/>
    <n v="62.62"/>
    <n v="9.99"/>
    <s v="B"/>
    <n v="15.57661965109439"/>
    <n v="500000"/>
    <s v="Not provided"/>
    <s v="Not provided"/>
    <s v="Not provided"/>
    <s v="N/A"/>
    <s v="Structural"/>
    <s v="Envisioned, but Not Funded"/>
    <n v="2016"/>
    <s v="Banana River Lagoon"/>
    <s v="Not provided"/>
    <s v="Not provided"/>
    <s v="Not provided"/>
  </r>
  <r>
    <n v="2514"/>
    <s v="City of Indian Harbour Beach"/>
    <s v="Not provided"/>
    <s v="IHB-31"/>
    <s v="Ronnie Exfiltration Extension"/>
    <s v="Extension of Project IHB-29; additional 500 ft. exfiltration pipe."/>
    <s v="Exfiltration Trench"/>
    <x v="2"/>
    <s v="TBD"/>
    <n v="15.35"/>
    <n v="2.15"/>
    <s v="B"/>
    <n v="2.1745147619899998"/>
    <n v="200000"/>
    <s v="Not provided"/>
    <s v="Not provided"/>
    <s v="Not provided"/>
    <s v="N/A"/>
    <s v="Structural"/>
    <s v="Envisioned, but Not Funded"/>
    <n v="2016"/>
    <s v="Banana River Lagoon"/>
    <s v="Not provided"/>
    <s v="Not provided"/>
    <s v="Not provided"/>
  </r>
  <r>
    <n v="2606"/>
    <s v="City of Indian Harbour Beach"/>
    <s v="Not provided"/>
    <s v="IHB-32"/>
    <s v="Atlantic Exfiltration East"/>
    <s v="Jamestown Phase 1 (master plan)with 4,600 ft exfiltration."/>
    <s v="Exfiltration Trench"/>
    <x v="2"/>
    <s v="TBD"/>
    <n v="187.86"/>
    <n v="26.81"/>
    <s v="B"/>
    <n v="37.623180265842954"/>
    <n v="1400000"/>
    <s v="Not provided"/>
    <s v="Not provided"/>
    <s v="Not provided"/>
    <s v="N/A"/>
    <s v="Structural"/>
    <s v="Envisioned, but Not Funded"/>
    <n v="2016"/>
    <s v="Banana River Lagoon"/>
    <s v="Not provided"/>
    <s v="Not provided"/>
    <s v="Not provided"/>
  </r>
  <r>
    <n v="2510"/>
    <s v="City of Indian Harbour Beach"/>
    <s v="Not provided"/>
    <s v="IHB-33"/>
    <s v="Atlantic Exfiltration West"/>
    <s v="Jamestown Phase 2 (master plan) exfiltration with weirs, etc."/>
    <s v="Exfiltration Trench"/>
    <x v="2"/>
    <s v="TBD"/>
    <n v="106.66"/>
    <n v="15.09"/>
    <s v="B"/>
    <n v="31.995056935000001"/>
    <n v="1200000"/>
    <s v="Not provided"/>
    <s v="Not provided"/>
    <s v="Not provided"/>
    <s v="N/A"/>
    <s v="Structural"/>
    <s v="Envisioned, but Not Funded"/>
    <n v="2016"/>
    <s v="Banana River Lagoon"/>
    <s v="Not provided"/>
    <s v="Not provided"/>
    <s v="Not provided"/>
  </r>
  <r>
    <n v="2572"/>
    <s v="City of Indian Harbour Beach"/>
    <s v="Not provided"/>
    <s v="IHB-34"/>
    <s v="Pinetree Streetscaping"/>
    <s v="LID features including planters, rain garden, porous pavement, and BAM."/>
    <s v="BMP Treatment Train"/>
    <x v="2"/>
    <s v="TBD"/>
    <s v="TBD"/>
    <s v="TBD"/>
    <s v="B"/>
    <n v="90.973436222642306"/>
    <s v="Not provided"/>
    <s v="Not provided"/>
    <s v="Not provided"/>
    <s v="Not provided"/>
    <s v="N/A"/>
    <s v="Structural"/>
    <s v="Envisioned, but Not Funded"/>
    <n v="2016"/>
    <s v="Banana River Lagoon"/>
    <s v="Not provided"/>
    <s v="Not provided"/>
    <s v="Not provided"/>
  </r>
  <r>
    <n v="2654"/>
    <s v="City of Indian Harbour Beach"/>
    <s v="Not provided"/>
    <s v="IHB-35"/>
    <s v="Muck Dregding"/>
    <s v="Muck dredging along major canals, including Grand Canal."/>
    <s v="Muck Removal/Restoration Dredging"/>
    <x v="2"/>
    <s v="TBD"/>
    <n v="29554"/>
    <n v="3069"/>
    <s v="B"/>
    <s v="N/A"/>
    <n v="9625000"/>
    <s v="Not provided"/>
    <s v="Not provided"/>
    <s v="Not provided"/>
    <s v="N/A"/>
    <s v="Non-structural"/>
    <s v="Envisioned, but Not Funded"/>
    <n v="2016"/>
    <s v="Banana River Lagoon"/>
    <s v="Not provided"/>
    <s v="Not provided"/>
    <s v="2017"/>
  </r>
  <r>
    <n v="2653"/>
    <s v="City of Indian Harbour Beach"/>
    <s v="TBD"/>
    <s v="IHB-36"/>
    <s v="Save Our Lagoon Park"/>
    <s v="Wet detention pond, perhaps other LID features."/>
    <s v="Wet Detention Pond"/>
    <x v="3"/>
    <s v="TBD"/>
    <s v="TBD"/>
    <s v="TBD"/>
    <s v="B"/>
    <n v="43.3"/>
    <s v="TBD"/>
    <s v="TBD"/>
    <s v="TBD"/>
    <s v="TBD"/>
    <s v="N/A"/>
    <s v="Structural"/>
    <s v="Design"/>
    <n v="2017"/>
    <s v="Banana River Lagoon"/>
    <s v="Not provided"/>
    <s v="Not provided"/>
    <s v="2021"/>
  </r>
  <r>
    <s v="2652"/>
    <s v="City of Satellite Beach"/>
    <s v="Not provided"/>
    <s v="SB-01"/>
    <s v="Jackson Exfiltration"/>
    <s v="Not provided."/>
    <s v="Exfiltration Trench"/>
    <x v="0"/>
    <n v="2013"/>
    <n v="9"/>
    <n v="2.2000000000000002"/>
    <s v="B"/>
    <n v="24.7"/>
    <s v="Not provided"/>
    <s v="Not provided"/>
    <s v="Not provided"/>
    <s v="Not provided"/>
    <s v="N/A"/>
    <s v="Structural"/>
    <s v="Completed"/>
    <n v="2013"/>
    <s v="Banana River Lagoon"/>
    <s v="Not provided"/>
    <s v="Not provided"/>
    <s v="Not provided"/>
  </r>
  <r>
    <s v="2651"/>
    <s v="City of Satellite Beach"/>
    <s v="Not provided"/>
    <s v="SB-02"/>
    <s v="Jackson Exfiltration"/>
    <s v="Not provided."/>
    <s v="Exfiltration Trench"/>
    <x v="0"/>
    <n v="2013"/>
    <n v="6"/>
    <n v="0.8"/>
    <s v="B"/>
    <n v="8.1999999999999993"/>
    <s v="Not provided"/>
    <s v="Not provided"/>
    <s v="Not provided"/>
    <s v="Not provided"/>
    <s v="N/A"/>
    <s v="Structural"/>
    <s v="Completed"/>
    <n v="2013"/>
    <s v="Banana River Lagoon"/>
    <s v="Not provided"/>
    <s v="Not provided"/>
    <s v="Not provided"/>
  </r>
  <r>
    <s v="2637"/>
    <s v="City of Satellite Beach"/>
    <s v="Not provided"/>
    <s v="SB-03"/>
    <s v="Jackson Exfiltration"/>
    <s v="Not provided."/>
    <s v="Exfiltration Trench"/>
    <x v="0"/>
    <n v="2013"/>
    <n v="6"/>
    <n v="1.7"/>
    <s v="B"/>
    <n v="8.6"/>
    <s v="Not provided"/>
    <s v="Not provided"/>
    <s v="Not provided"/>
    <s v="Not provided"/>
    <s v="N/A"/>
    <s v="Structural"/>
    <s v="Completed"/>
    <n v="2013"/>
    <s v="Banana River Lagoon"/>
    <s v="Not provided"/>
    <s v="Not provided"/>
    <s v="Not provided"/>
  </r>
  <r>
    <s v="2636"/>
    <s v="City of Satellite Beach"/>
    <s v="Not provided"/>
    <s v="SB-04"/>
    <s v="Avocado Continuous Deflective Separation (CDS) Unit"/>
    <s v="Not provided."/>
    <s v="Hydrodynamic Separators"/>
    <x v="0"/>
    <n v="2013"/>
    <n v="0"/>
    <n v="3.2"/>
    <s v="B"/>
    <n v="8.6"/>
    <s v="Not provided"/>
    <s v="Not provided"/>
    <s v="Not provided"/>
    <s v="Not provided"/>
    <s v="N/A"/>
    <s v="Structural"/>
    <s v="Completed"/>
    <n v="2013"/>
    <s v="Banana River Lagoon"/>
    <s v="Not provided"/>
    <s v="Not provided"/>
    <s v="Not provided"/>
  </r>
  <r>
    <s v="2635"/>
    <s v="City of Satellite Beach"/>
    <s v="Not provided"/>
    <s v="SB-05"/>
    <s v="Jackson Exfiltration"/>
    <s v="Not provided."/>
    <s v="Exfiltration Trench"/>
    <x v="0"/>
    <n v="2013"/>
    <n v="3"/>
    <n v="0.4"/>
    <s v="B"/>
    <n v="11.7"/>
    <s v="Not provided"/>
    <s v="Not provided"/>
    <s v="Not provided"/>
    <s v="Not provided"/>
    <s v="N/A"/>
    <s v="Structural"/>
    <s v="Completed"/>
    <n v="2013"/>
    <s v="Banana River Lagoon"/>
    <s v="Not provided"/>
    <s v="Not provided"/>
    <s v="Not provided"/>
  </r>
  <r>
    <s v="2634"/>
    <s v="City of Satellite Beach"/>
    <s v="DEP"/>
    <s v="SB-06"/>
    <s v="Coconut Exfiltration"/>
    <s v="Not provided."/>
    <s v="Exfiltration Trench"/>
    <x v="0"/>
    <n v="2013"/>
    <n v="27"/>
    <n v="4.5999999999999996"/>
    <s v="B"/>
    <n v="39.700000000000003"/>
    <s v="Not provided"/>
    <s v="Not provided"/>
    <s v="DEP"/>
    <s v="Not provided"/>
    <s v="G0082"/>
    <s v="Structural"/>
    <s v="Completed"/>
    <n v="2013"/>
    <s v="Banana River Lagoon"/>
    <s v="Not provided"/>
    <s v="Not provided"/>
    <s v="Not provided"/>
  </r>
  <r>
    <s v="2666"/>
    <s v="City of Satellite Beach"/>
    <s v="DEP"/>
    <s v="SB-07"/>
    <s v="Desoto Exfiltration"/>
    <s v="Not provided."/>
    <s v="Exfiltration Trench"/>
    <x v="0"/>
    <n v="2013"/>
    <n v="97"/>
    <n v="13.7"/>
    <s v="B"/>
    <n v="108.2"/>
    <s v="Not provided"/>
    <s v="Not provided"/>
    <s v="DEP"/>
    <s v="Not provided"/>
    <s v="G0082"/>
    <s v="Structural"/>
    <s v="Completed"/>
    <n v="2013"/>
    <s v="Banana River Lagoon"/>
    <s v="Not provided"/>
    <s v="Not provided"/>
    <s v="Not provided"/>
  </r>
  <r>
    <s v="2642"/>
    <s v="City of Satellite Beach"/>
    <s v="DEP"/>
    <s v="SB-08"/>
    <s v="Desoto Exfiltration"/>
    <s v="Not provided."/>
    <s v="Exfiltration Trench"/>
    <x v="0"/>
    <n v="2013"/>
    <n v="25"/>
    <n v="3.5"/>
    <s v="B"/>
    <n v="7.8"/>
    <s v="Not provided"/>
    <s v="Not provided"/>
    <s v="DEP"/>
    <s v="Not provided"/>
    <s v="G0082"/>
    <s v="Structural"/>
    <s v="Completed"/>
    <n v="2013"/>
    <s v="Banana River Lagoon"/>
    <s v="Not provided"/>
    <s v="Not provided"/>
    <s v="Not provided"/>
  </r>
  <r>
    <s v="2644"/>
    <s v="City of Satellite Beach"/>
    <s v="DEP"/>
    <s v="SB-09"/>
    <s v="Jamaica Blvd. Ponds"/>
    <s v="Not provided."/>
    <s v="Wet Detention Pond"/>
    <x v="0"/>
    <n v="2013"/>
    <n v="600"/>
    <n v="160.19999999999999"/>
    <s v="B"/>
    <n v="216.2"/>
    <s v="Not provided"/>
    <s v="Not provided"/>
    <s v="DEP"/>
    <s v="Not provided"/>
    <s v="WM840"/>
    <s v="Structural"/>
    <s v="Completed"/>
    <n v="2013"/>
    <s v="Banana River Lagoon"/>
    <s v="Not provided"/>
    <s v="Not provided"/>
    <s v="Not provided"/>
  </r>
  <r>
    <s v="2678"/>
    <s v="City of Satellite Beach"/>
    <s v="DEP"/>
    <s v="SB-10"/>
    <s v="Jamaica Pond Reuse"/>
    <s v="Not provided."/>
    <s v="Stormwater Reuse"/>
    <x v="0"/>
    <n v="2013"/>
    <n v="277"/>
    <n v="25"/>
    <s v="B"/>
    <n v="216.2"/>
    <s v="Not provided"/>
    <s v="Not provided"/>
    <s v="DEP"/>
    <s v="Not provided"/>
    <s v="WM840"/>
    <s v="Structural"/>
    <s v="Completed"/>
    <n v="2013"/>
    <s v="Banana River Lagoon"/>
    <s v="Not provided"/>
    <s v="Not provided"/>
    <s v="Not provided"/>
  </r>
  <r>
    <s v="2677"/>
    <s v="City of Satellite Beach"/>
    <s v="DEP"/>
    <s v="SB-11"/>
    <s v="Desoto Exfiltration"/>
    <s v="Not provided."/>
    <s v="Exfiltration Trench"/>
    <x v="0"/>
    <n v="2013"/>
    <n v="17"/>
    <n v="2.4"/>
    <s v="B"/>
    <n v="3.5"/>
    <s v="Not provided"/>
    <s v="Not provided"/>
    <s v="DEP"/>
    <s v="Not provided"/>
    <s v="G0082"/>
    <s v="Structural"/>
    <s v="Completed"/>
    <n v="2013"/>
    <s v="Banana River Lagoon"/>
    <s v="Not provided"/>
    <s v="Not provided"/>
    <s v="Not provided"/>
  </r>
  <r>
    <s v="2676"/>
    <s v="City of Satellite Beach"/>
    <s v="DEP"/>
    <s v="SB-12"/>
    <s v="Desoto Baffle Boxes"/>
    <s v="Not provided."/>
    <s v="Baffle Boxes- Second Generation"/>
    <x v="0"/>
    <n v="2013"/>
    <n v="82"/>
    <n v="9.5"/>
    <s v="B"/>
    <n v="57.8"/>
    <s v="Not provided"/>
    <s v="Not provided"/>
    <s v="DEP"/>
    <s v="Not provided"/>
    <s v="G0081"/>
    <s v="Structural"/>
    <s v="Completed"/>
    <n v="2013"/>
    <s v="Banana River Lagoon"/>
    <s v="Not provided"/>
    <s v="Not provided"/>
    <s v="Not provided"/>
  </r>
  <r>
    <s v="2675"/>
    <s v="City of Satellite Beach"/>
    <s v="DEP"/>
    <s v="SB-13"/>
    <s v="Cassia Phase 1-22"/>
    <s v="Not provided."/>
    <s v="Baffle Boxes- Second Generation"/>
    <x v="0"/>
    <n v="2013"/>
    <n v="61"/>
    <n v="8.1999999999999993"/>
    <s v="B"/>
    <n v="32.5"/>
    <n v="1796800"/>
    <s v="Not provided"/>
    <s v="DEP"/>
    <s v="DEP - $1,796,800"/>
    <s v="G0162"/>
    <s v="Structural"/>
    <s v="Completed"/>
    <n v="2013"/>
    <s v="Banana River Lagoon"/>
    <s v="Not provided"/>
    <s v="Not provided"/>
    <s v="Not provided"/>
  </r>
  <r>
    <s v="2674"/>
    <s v="City of Satellite Beach"/>
    <s v="DEP"/>
    <s v="SB-14"/>
    <s v="Cassia Phase 1-23"/>
    <s v="Not provided."/>
    <s v="Baffle Boxes- Second Generation"/>
    <x v="0"/>
    <n v="2013"/>
    <n v="30"/>
    <n v="5.6"/>
    <s v="B"/>
    <n v="12.9"/>
    <s v="Not provided"/>
    <s v="Not provided"/>
    <s v="DEP"/>
    <s v="Not provided"/>
    <s v="G0162"/>
    <s v="Structural"/>
    <s v="Completed"/>
    <n v="2013"/>
    <s v="Banana River Lagoon"/>
    <s v="Not provided"/>
    <s v="Not provided"/>
    <s v="Not provided"/>
  </r>
  <r>
    <s v="2673"/>
    <s v="City of Satellite Beach"/>
    <s v="DEP"/>
    <s v="SB-15"/>
    <s v="Cassia Phase 1-24"/>
    <s v="Part of SB-13."/>
    <s v="On-line Retention BMPs"/>
    <x v="0"/>
    <n v="2013"/>
    <n v="18"/>
    <n v="3.5"/>
    <s v="B"/>
    <n v="12.8"/>
    <s v="Not provided"/>
    <s v="Not provided"/>
    <s v="DEP"/>
    <s v="Not provided"/>
    <s v="G0162"/>
    <s v="Structural"/>
    <s v="Completed"/>
    <n v="2013"/>
    <s v="Banana River Lagoon"/>
    <s v="Not provided"/>
    <s v="Not provided"/>
    <s v="Not provided"/>
  </r>
  <r>
    <s v="2672"/>
    <s v="City of Satellite Beach"/>
    <s v="DEP"/>
    <s v="SB-16"/>
    <s v="Cassia Phase 1-25"/>
    <s v="Part of SB-13."/>
    <s v="On-line Retention BMPs"/>
    <x v="0"/>
    <n v="2013"/>
    <n v="13"/>
    <n v="1.8"/>
    <s v="B"/>
    <n v="19.7"/>
    <s v="Not provided"/>
    <s v="Not provided"/>
    <s v="DEP"/>
    <s v="Not provided"/>
    <s v="G0162"/>
    <s v="Structural"/>
    <s v="Completed"/>
    <n v="2013"/>
    <s v="Banana River Lagoon"/>
    <s v="Not provided"/>
    <s v="Not provided"/>
    <s v="Not provided"/>
  </r>
  <r>
    <s v="2671"/>
    <s v="City of Satellite Beach"/>
    <s v="DEP"/>
    <s v="SB-17"/>
    <s v="Cassia Phase 1-26"/>
    <s v="Part of SB-13."/>
    <s v="On-line Retention BMPs"/>
    <x v="0"/>
    <n v="2013"/>
    <n v="12"/>
    <n v="2.6"/>
    <s v="B"/>
    <n v="14.1"/>
    <s v="Not provided"/>
    <s v="Not provided"/>
    <s v="DEP"/>
    <s v="Not provided"/>
    <s v="G0162"/>
    <s v="Structural"/>
    <s v="Completed"/>
    <n v="2013"/>
    <s v="Banana River Lagoon"/>
    <s v="Not provided"/>
    <s v="Not provided"/>
    <s v="Not provided"/>
  </r>
  <r>
    <s v="2670"/>
    <s v="City of Satellite Beach"/>
    <s v="Not provided"/>
    <s v="SB-18"/>
    <s v="North Basin Stormwater Retrofit"/>
    <s v="Not provided."/>
    <s v="On-line Retention BMPs"/>
    <x v="0"/>
    <n v="2013"/>
    <n v="318"/>
    <n v="80.5"/>
    <s v="B"/>
    <n v="97.9"/>
    <s v="Not provided"/>
    <s v="Not provided"/>
    <s v="Not provided"/>
    <s v="Not provided"/>
    <s v="N/A"/>
    <s v="Structural"/>
    <s v="Completed"/>
    <n v="2013"/>
    <s v="Banana River Lagoon"/>
    <s v="Not provided"/>
    <s v="Not provided"/>
    <s v="Not provided"/>
  </r>
  <r>
    <s v="2669"/>
    <s v="City of Satellite Beach"/>
    <s v="Not provided"/>
    <s v="SB-19"/>
    <s v="Street Sweeping"/>
    <s v="Not provided."/>
    <s v="Street Sweeping"/>
    <x v="0"/>
    <s v="N/A"/>
    <n v="47"/>
    <n v="30"/>
    <s v="B"/>
    <s v="N/A"/>
    <s v="Not provided"/>
    <s v="Not provided"/>
    <s v="Not provided"/>
    <s v="Not provided"/>
    <s v="N/A"/>
    <s v="Non-structural"/>
    <s v="Ongoing"/>
    <n v="2013"/>
    <s v="Banana River Lagoon"/>
    <s v="Not provided"/>
    <s v="Not provided"/>
    <s v="Not provided"/>
  </r>
  <r>
    <s v="2656"/>
    <s v="City of Satellite Beach"/>
    <s v="Not provided"/>
    <s v="SB-20"/>
    <s v="Education Efforts"/>
    <s v="FYN; landscape, irrigation, fertilizer, and pet waste ordinances; public service announcements (PSAs); pamphlets; website; Illicit Discharge Program."/>
    <s v="Education Efforts"/>
    <x v="0"/>
    <s v="N/A"/>
    <n v="1002"/>
    <n v="197"/>
    <s v="B"/>
    <s v="N/A"/>
    <s v="Not provided"/>
    <s v="Not provided"/>
    <s v="Not provided"/>
    <s v="Not provided"/>
    <s v="N/A"/>
    <s v="Non-structural"/>
    <s v="Ongoing"/>
    <n v="2013"/>
    <s v="Banana River Lagoon"/>
    <s v="N/A"/>
    <s v="N/A"/>
    <s v="Not provided"/>
  </r>
  <r>
    <s v="2614"/>
    <s v="City of Satellite Beach"/>
    <s v="DEP"/>
    <s v="SB-21"/>
    <s v="Cassia Phase 3 - C3A"/>
    <s v="Retention swales."/>
    <s v="On-line Retention BMPs"/>
    <x v="0"/>
    <n v="2013"/>
    <n v="3"/>
    <n v="0.6"/>
    <s v="B"/>
    <n v="0.24"/>
    <s v="Not provided"/>
    <s v="Not provided"/>
    <s v="City/ DEP"/>
    <s v="Not provided"/>
    <s v="G0162"/>
    <s v="Structural"/>
    <s v="Completed"/>
    <n v="2013"/>
    <s v="Banana River Lagoon"/>
    <s v="Not provided"/>
    <s v="Not provided"/>
    <s v="2012"/>
  </r>
  <r>
    <s v="2613"/>
    <s v="City of Satellite Beach"/>
    <s v="DEP"/>
    <s v="SB-22"/>
    <s v="Cassia Phase 3 - C3B"/>
    <s v="Retention swales."/>
    <s v="On-line Retention BMPs"/>
    <x v="0"/>
    <n v="2013"/>
    <n v="2"/>
    <n v="0.5"/>
    <s v="B"/>
    <n v="0.15"/>
    <s v="Not provided"/>
    <s v="Not provided"/>
    <s v="City/ DEP"/>
    <s v="Not provided"/>
    <s v="G0162"/>
    <s v="Structural"/>
    <s v="Completed"/>
    <n v="2013"/>
    <s v="Banana River Lagoon"/>
    <s v="Not provided"/>
    <s v="Not provided"/>
    <s v="2012"/>
  </r>
  <r>
    <s v="2612"/>
    <s v="City of Satellite Beach"/>
    <s v="DEP"/>
    <s v="SB-23"/>
    <s v="Cassia Phase 3 - C3C"/>
    <s v="Retention swales."/>
    <s v="On-line Retention BMPs"/>
    <x v="0"/>
    <n v="2013"/>
    <n v="2"/>
    <n v="0.5"/>
    <s v="B"/>
    <n v="0.16"/>
    <s v="Not provided"/>
    <s v="Not provided"/>
    <s v="City/ DEP"/>
    <s v="Not provided"/>
    <s v="G0162"/>
    <s v="Structural"/>
    <s v="Completed"/>
    <n v="2013"/>
    <s v="Banana River Lagoon"/>
    <s v="Not provided"/>
    <s v="Not provided"/>
    <s v="2012"/>
  </r>
  <r>
    <s v="2611"/>
    <s v="City of Satellite Beach"/>
    <s v="DEP"/>
    <s v="SB-24"/>
    <s v="Cassia Phase 3 - C3D"/>
    <s v="Retention swales."/>
    <s v="On-line Retention BMPs"/>
    <x v="0"/>
    <n v="2013"/>
    <n v="3"/>
    <n v="0.8"/>
    <s v="B"/>
    <n v="0.2"/>
    <s v="Not provided"/>
    <s v="Not provided"/>
    <s v="City/ DEP"/>
    <s v="Not provided"/>
    <s v="G0162"/>
    <s v="Structural"/>
    <s v="Completed"/>
    <n v="2013"/>
    <s v="Banana River Lagoon"/>
    <s v="Not provided"/>
    <s v="Not provided"/>
    <s v="2012"/>
  </r>
  <r>
    <s v="2439"/>
    <s v="City of Satellite Beach"/>
    <s v="DEP"/>
    <s v="SB-25"/>
    <s v="Cassia Phase 3 - C3E"/>
    <s v="Retention swales."/>
    <s v="On-line Retention BMPs"/>
    <x v="0"/>
    <n v="2013"/>
    <n v="3"/>
    <n v="0.7"/>
    <s v="B"/>
    <n v="0.2"/>
    <s v="Not provided"/>
    <s v="Not provided"/>
    <s v="City/ DEP"/>
    <s v="Not provided"/>
    <s v="G0162"/>
    <s v="Structural"/>
    <s v="Completed"/>
    <n v="2013"/>
    <s v="Banana River Lagoon"/>
    <s v="Not provided"/>
    <s v="Not provided"/>
    <s v="2012"/>
  </r>
  <r>
    <s v="2440"/>
    <s v="City of Satellite Beach"/>
    <s v="DEP"/>
    <s v="SB-26"/>
    <s v="Cassia Phase 3 - C3F"/>
    <s v="Retention swales."/>
    <s v="On-line Retention BMPs"/>
    <x v="0"/>
    <n v="2013"/>
    <n v="11"/>
    <n v="3"/>
    <s v="B"/>
    <n v="2"/>
    <s v="Not provided"/>
    <s v="Not provided"/>
    <s v="City/ DEP"/>
    <s v="Not provided"/>
    <s v="G0162"/>
    <s v="Structural"/>
    <s v="Completed"/>
    <n v="2013"/>
    <s v="Banana River Lagoon"/>
    <s v="Not provided"/>
    <s v="Not provided"/>
    <s v="2012"/>
  </r>
  <r>
    <s v="2441"/>
    <s v="City of Satellite Beach"/>
    <s v="DEP"/>
    <s v="SB-27"/>
    <s v="Cassia Phase 3 - C3G"/>
    <s v="Retention swales."/>
    <s v="On-line Retention BMPs"/>
    <x v="0"/>
    <n v="2013"/>
    <n v="8"/>
    <n v="2.2999999999999998"/>
    <s v="B"/>
    <n v="1.3"/>
    <s v="Not provided"/>
    <s v="Not provided"/>
    <s v="City/ DEP"/>
    <s v="Not provided"/>
    <s v="G0162"/>
    <s v="Structural"/>
    <s v="Completed"/>
    <n v="2013"/>
    <s v="Banana River Lagoon"/>
    <s v="Not provided"/>
    <s v="Not provided"/>
    <s v="2012"/>
  </r>
  <r>
    <s v="2442"/>
    <s v="City of Satellite Beach"/>
    <s v="DEP"/>
    <s v="SB-28"/>
    <s v="Cassia Phase 3 - C5A"/>
    <s v="Retention swales."/>
    <s v="On-line Retention BMPs"/>
    <x v="0"/>
    <n v="2013"/>
    <n v="2"/>
    <n v="0.5"/>
    <s v="B"/>
    <n v="0.2"/>
    <s v="Not provided"/>
    <s v="Not provided"/>
    <s v="City/ DEP"/>
    <s v="Not provided"/>
    <s v="G0162"/>
    <s v="Structural"/>
    <s v="Completed"/>
    <n v="2013"/>
    <s v="Banana River Lagoon"/>
    <s v="Not provided"/>
    <s v="Not provided"/>
    <s v="2012"/>
  </r>
  <r>
    <s v="2443"/>
    <s v="City of Satellite Beach"/>
    <s v="DEP"/>
    <s v="SB-29"/>
    <s v="Cassia Phase 3 - C5B"/>
    <s v="Retention swales."/>
    <s v="On-line Retention BMPs"/>
    <x v="0"/>
    <n v="2013"/>
    <n v="24"/>
    <n v="5.4"/>
    <s v="B"/>
    <n v="5.9"/>
    <s v="Not provided"/>
    <s v="Not provided"/>
    <s v="City/ DEP"/>
    <s v="Not provided"/>
    <s v="G0162"/>
    <s v="Structural"/>
    <s v="Completed"/>
    <n v="2013"/>
    <s v="Banana River Lagoon"/>
    <s v="Not provided"/>
    <s v="Not provided"/>
    <s v="2012"/>
  </r>
  <r>
    <s v="2459"/>
    <s v="City of Satellite Beach"/>
    <s v="DEP"/>
    <s v="SB-30"/>
    <s v="Cassia Phase 3 - C7A"/>
    <s v="Retention swales."/>
    <s v="On-line Retention BMPs"/>
    <x v="0"/>
    <n v="2013"/>
    <n v="3"/>
    <n v="0.4"/>
    <s v="B"/>
    <n v="0.4"/>
    <s v="Not provided"/>
    <s v="Not provided"/>
    <s v="City/ DEP"/>
    <s v="Not provided"/>
    <s v="G0162"/>
    <s v="Structural"/>
    <s v="Completed"/>
    <n v="2013"/>
    <s v="Banana River Lagoon"/>
    <s v="Not provided"/>
    <s v="Not provided"/>
    <s v="2012"/>
  </r>
  <r>
    <s v="2445"/>
    <s v="City of Satellite Beach"/>
    <s v="DEP"/>
    <s v="SB-31"/>
    <s v="Cassia Phase 3 - C7B"/>
    <s v="Retention swales."/>
    <s v="On-line Retention BMPs"/>
    <x v="0"/>
    <n v="2013"/>
    <n v="25"/>
    <n v="3.5"/>
    <s v="B"/>
    <n v="4.0999999999999996"/>
    <s v="Not provided"/>
    <s v="Not provided"/>
    <s v="City/ DEP"/>
    <s v="Not provided"/>
    <s v="G0162"/>
    <s v="Structural"/>
    <s v="Completed"/>
    <n v="2013"/>
    <s v="Banana River Lagoon"/>
    <s v="Not provided"/>
    <s v="Not provided"/>
    <s v="2012"/>
  </r>
  <r>
    <s v="2432"/>
    <s v="City of Satellite Beach"/>
    <s v="DEP"/>
    <s v="SB-32"/>
    <s v="Cassia Phase 3 - C9A"/>
    <s v="Retention swales."/>
    <s v="On-line Retention BMPs"/>
    <x v="0"/>
    <n v="2013"/>
    <n v="4"/>
    <n v="0.6"/>
    <s v="B"/>
    <n v="0.5"/>
    <s v="Not provided"/>
    <s v="Not provided"/>
    <s v="City/ DEP"/>
    <s v="Not provided"/>
    <s v="G0162"/>
    <s v="Structural"/>
    <s v="Completed"/>
    <n v="2013"/>
    <s v="Banana River Lagoon"/>
    <s v="Not provided"/>
    <s v="Not provided"/>
    <s v="2012"/>
  </r>
  <r>
    <s v="2447"/>
    <s v="City of Satellite Beach"/>
    <s v="DEP"/>
    <s v="SB-33"/>
    <s v="Cassia Phase 3 - C9B"/>
    <s v="Retention swales."/>
    <s v="On-line Retention BMPs"/>
    <x v="0"/>
    <n v="2013"/>
    <n v="19"/>
    <n v="2.8"/>
    <s v="B"/>
    <n v="2.1"/>
    <s v="Not provided"/>
    <s v="Not provided"/>
    <s v="City/ DEP"/>
    <s v="Not provided"/>
    <s v="G0162"/>
    <s v="Structural"/>
    <s v="Completed"/>
    <n v="2013"/>
    <s v="Banana River Lagoon"/>
    <s v="Not provided"/>
    <s v="Not provided"/>
    <s v="2012"/>
  </r>
  <r>
    <s v="2448"/>
    <s v="City of Satellite Beach"/>
    <s v="DEP"/>
    <s v="SB-34"/>
    <s v="Cassia Phase 3 - C13A"/>
    <s v="Retention swales."/>
    <s v="On-line Retention BMPs"/>
    <x v="0"/>
    <n v="2013"/>
    <n v="7"/>
    <n v="1.9"/>
    <s v="B"/>
    <n v="1.2"/>
    <s v="Not provided"/>
    <s v="Not provided"/>
    <s v="City/ DEP"/>
    <s v="Not provided"/>
    <s v="G0162"/>
    <s v="Structural"/>
    <s v="Completed"/>
    <n v="2013"/>
    <s v="Banana River Lagoon"/>
    <s v="Not provided"/>
    <s v="Not provided"/>
    <s v="2012"/>
  </r>
  <r>
    <s v="2449"/>
    <s v="City of Satellite Beach"/>
    <s v="DEP"/>
    <s v="SB-35"/>
    <s v="Cassia Phase 3 - C13B"/>
    <s v="Retention swales."/>
    <s v="On-line Retention BMPs"/>
    <x v="0"/>
    <n v="2013"/>
    <n v="1"/>
    <n v="0.3"/>
    <s v="B"/>
    <n v="0.1"/>
    <s v="Not provided"/>
    <s v="Not provided"/>
    <s v="City/ DEP"/>
    <s v="Not provided"/>
    <s v="G0162"/>
    <s v="Structural"/>
    <s v="Completed"/>
    <n v="2013"/>
    <s v="Banana River Lagoon"/>
    <s v="Not provided"/>
    <s v="Not provided"/>
    <s v="2012"/>
  </r>
  <r>
    <s v="2450"/>
    <s v="City of Satellite Beach"/>
    <s v="DEP"/>
    <s v="SB-36"/>
    <s v="Cassia Phase 3 - C13C"/>
    <s v="Retention swales."/>
    <s v="On-line Retention BMPs"/>
    <x v="0"/>
    <n v="2013"/>
    <n v="9"/>
    <n v="1.7"/>
    <s v="B"/>
    <n v="3.1"/>
    <s v="Not provided"/>
    <s v="Not provided"/>
    <s v="City/ DEP"/>
    <s v="Not provided"/>
    <s v="G0162"/>
    <s v="Structural"/>
    <s v="Completed"/>
    <n v="2013"/>
    <s v="Banana River Lagoon"/>
    <s v="Not provided"/>
    <s v="Not provided"/>
    <s v="2012"/>
  </r>
  <r>
    <s v="2451"/>
    <s v="City of Satellite Beach"/>
    <s v="DEP"/>
    <s v="SB-37"/>
    <s v="Cassia Phase 3 - C13D"/>
    <s v="Retention swales."/>
    <s v="On-line Retention BMPs"/>
    <x v="0"/>
    <n v="2013"/>
    <n v="7"/>
    <n v="1.6"/>
    <s v="B"/>
    <n v="0.5"/>
    <s v="Not provided"/>
    <s v="Not provided"/>
    <s v="City/ DEP"/>
    <s v="Not provided"/>
    <s v="G0162"/>
    <s v="Structural"/>
    <s v="Completed"/>
    <n v="2013"/>
    <s v="Banana River Lagoon"/>
    <s v="Not provided"/>
    <s v="Not provided"/>
    <s v="2012"/>
  </r>
  <r>
    <s v="2452"/>
    <s v="City of Satellite Beach"/>
    <s v="DEP"/>
    <s v="SB-38"/>
    <s v="Cassia Phase 3 - C13E"/>
    <s v="Retention swales."/>
    <s v="On-line Retention BMPs"/>
    <x v="0"/>
    <n v="2013"/>
    <n v="9"/>
    <n v="2.2000000000000002"/>
    <s v="B"/>
    <n v="0.9"/>
    <s v="Not provided"/>
    <s v="Not provided"/>
    <s v="City/ DEP"/>
    <s v="Not provided"/>
    <s v="G0162"/>
    <s v="Structural"/>
    <s v="Completed"/>
    <n v="2013"/>
    <s v="Banana River Lagoon"/>
    <s v="Not provided"/>
    <s v="Not provided"/>
    <s v="2012"/>
  </r>
  <r>
    <s v="2453"/>
    <s v="City of Satellite Beach"/>
    <s v="DEP"/>
    <s v="SB-39"/>
    <s v="Cassia Phase 3 - C13F"/>
    <s v="Retention swales."/>
    <s v="On-line Retention BMPs"/>
    <x v="0"/>
    <n v="2013"/>
    <n v="11"/>
    <n v="2.6"/>
    <s v="B"/>
    <n v="1.6"/>
    <s v="Not provided"/>
    <s v="Not provided"/>
    <s v="City/ DEP"/>
    <s v="Not provided"/>
    <s v="G0162"/>
    <s v="Structural"/>
    <s v="Completed"/>
    <n v="2013"/>
    <s v="Banana River Lagoon"/>
    <s v="Not provided"/>
    <s v="Not provided"/>
    <s v="2012"/>
  </r>
  <r>
    <s v="2454"/>
    <s v="City of Satellite Beach"/>
    <s v="DEP"/>
    <s v="SB-40"/>
    <s v="Cassia Phase 3 - C13G"/>
    <s v="Retention swales."/>
    <s v="On-line Retention BMPs"/>
    <x v="0"/>
    <n v="2013"/>
    <n v="15"/>
    <n v="3.8"/>
    <s v="B"/>
    <n v="3.3"/>
    <s v="Not provided"/>
    <s v="Not provided"/>
    <s v="City/ DEP"/>
    <s v="Not provided"/>
    <s v="G0162"/>
    <s v="Structural"/>
    <s v="Completed"/>
    <n v="2013"/>
    <s v="Banana River Lagoon"/>
    <s v="Not provided"/>
    <s v="Not provided"/>
    <s v="2012"/>
  </r>
  <r>
    <s v="2455"/>
    <s v="City of Satellite Beach"/>
    <s v="Not provided"/>
    <s v="SB-41"/>
    <s v="Roosevelt Avenue"/>
    <s v="Off-line retention swales."/>
    <s v="Off-line Retention BMPs"/>
    <x v="0"/>
    <n v="2016"/>
    <n v="10"/>
    <n v="2"/>
    <s v="B"/>
    <n v="32"/>
    <n v="43482"/>
    <s v="Not provided"/>
    <s v="Not provided"/>
    <n v="43482"/>
    <s v="N/A"/>
    <s v="Structural"/>
    <s v="Not provided"/>
    <n v="2017"/>
    <s v="Banana River Lagoon"/>
    <s v="Not provided"/>
    <s v="Not provided"/>
    <s v="Not provided"/>
  </r>
  <r>
    <s v="2456"/>
    <s v="City of Satellite Beach"/>
    <s v="Not provided"/>
    <s v="SB-42"/>
    <s v="Roosevelt Avenue"/>
    <s v="Off-line retention pipes."/>
    <s v="Exfiltration Trench"/>
    <x v="0"/>
    <n v="2016"/>
    <s v="Not provided"/>
    <s v="Not provided"/>
    <s v="B"/>
    <n v="3"/>
    <n v="34350"/>
    <s v="Not provided"/>
    <s v="Not provided"/>
    <n v="34350"/>
    <s v="N/A"/>
    <s v="Structural"/>
    <s v="Not provided"/>
    <n v="2017"/>
    <s v="Banana River Lagoon"/>
    <s v="Not provided"/>
    <s v="Not provided"/>
    <s v="Not provided"/>
  </r>
  <r>
    <s v="2390"/>
    <s v="City of Satellite Beach"/>
    <s v="DEP"/>
    <s v="SB-43"/>
    <s v="Desoto Park"/>
    <s v="Wet detention pond that also features stormwater reuse and biosorption activated media (BAM)."/>
    <s v="Wet Detention Pond"/>
    <x v="0"/>
    <n v="2018"/>
    <n v="461"/>
    <n v="96"/>
    <s v="B"/>
    <n v="293"/>
    <n v="950000"/>
    <s v="Not provided"/>
    <s v="City/ DEP"/>
    <n v="703000"/>
    <s v="NF011"/>
    <s v="Structural"/>
    <s v="Not provided"/>
    <n v="2017"/>
    <s v="Banana River Lagoon"/>
    <s v="Not provided"/>
    <s v="Not provided"/>
    <s v="2018"/>
  </r>
  <r>
    <s v="4350"/>
    <s v="City of Satellite Beach"/>
    <s v="TBD"/>
    <s v="SB-44"/>
    <s v="Lori Laine Trunk Replacement"/>
    <s v="Replace Main Lori Laine Trunk"/>
    <s v="Stormwater System Rehabilitation"/>
    <x v="3"/>
    <n v="2023"/>
    <s v="TBD"/>
    <s v="TBD"/>
    <s v="B"/>
    <s v="N/A"/>
    <n v="2195137"/>
    <s v="Not provided"/>
    <s v="TBD"/>
    <s v="TBD"/>
    <s v="N/A"/>
    <s v="Structural"/>
    <s v="Planned"/>
    <n v="2018"/>
    <s v="Banana River Lagoon"/>
    <s v="Not provided"/>
    <s v="Not provided"/>
    <s v="Not provided"/>
  </r>
  <r>
    <s v="4351"/>
    <s v="City of Satellite Beach"/>
    <s v="TBD"/>
    <s v="SB-45"/>
    <s v="Lori Laine Outfall Treatment"/>
    <s v="Treat Stormwater at Lori Laine Outfall"/>
    <s v="Baffle Boxes- Second Generation"/>
    <x v="3"/>
    <n v="2020"/>
    <s v="TBD"/>
    <s v="TBD"/>
    <s v="B"/>
    <n v="184"/>
    <n v="173707"/>
    <s v="Not provided"/>
    <s v="TBD"/>
    <s v="TBD"/>
    <s v="N/A"/>
    <s v="Structural"/>
    <s v="Planned"/>
    <n v="2018"/>
    <s v="Banana River Lagoon"/>
    <s v="Not provided"/>
    <s v="Not provided"/>
    <s v="Not provided"/>
  </r>
  <r>
    <s v="4352"/>
    <s v="City of Satellite Beach"/>
    <s v="TBD"/>
    <s v="SB-46"/>
    <s v="Elwood/Temple Facility Upgrade"/>
    <s v="Change existing dry pond to wet detention pond and divert stormwater to pond"/>
    <s v="Wet Detention Pond"/>
    <x v="3"/>
    <n v="2023"/>
    <n v="65"/>
    <n v="23"/>
    <s v="B"/>
    <n v="35.06"/>
    <n v="43580"/>
    <s v="Not provided"/>
    <s v="TBD"/>
    <s v="TBD"/>
    <s v="N/A"/>
    <s v="Structural"/>
    <s v="Planned"/>
    <n v="2018"/>
    <s v="Banana River Lagoon"/>
    <s v="Not provided"/>
    <s v="Not provided"/>
    <s v="Not provided"/>
  </r>
  <r>
    <s v="4353"/>
    <s v="City of Satellite Beach"/>
    <s v="TBD"/>
    <s v="SB-47"/>
    <s v="Jackson Ct. Treatment Facility"/>
    <s v="Construct Wet Detention Pond"/>
    <s v="Wet Detention Pond"/>
    <x v="3"/>
    <n v="2024"/>
    <n v="46"/>
    <n v="23"/>
    <s v="B"/>
    <n v="12.13"/>
    <n v="232156"/>
    <s v="Not provided"/>
    <s v="TBD"/>
    <s v="TBD"/>
    <s v="N/A"/>
    <s v="Structural"/>
    <s v="Planned"/>
    <n v="2018"/>
    <s v="Banana River Lagoon"/>
    <s v="Not provided"/>
    <s v="Not provided"/>
    <s v="Not provided"/>
  </r>
  <r>
    <s v="4354"/>
    <s v="City of Satellite Beach"/>
    <s v="TBD"/>
    <s v="SB-48"/>
    <s v="Schechter Community Center Bioretention"/>
    <s v="Add Bioretention to Parking lot area"/>
    <s v="LID- Rain Gardens"/>
    <x v="3"/>
    <n v="2024"/>
    <s v="TBD"/>
    <s v="TBD"/>
    <s v="B"/>
    <n v="1.94"/>
    <n v="116840"/>
    <s v="Not provided"/>
    <s v="TBD"/>
    <s v="TBD"/>
    <s v="N/A"/>
    <s v="Structural"/>
    <s v="Planned"/>
    <n v="2018"/>
    <s v="Banana River Lagoon"/>
    <s v="Not provided"/>
    <s v="Not provided"/>
    <s v="Not provided"/>
  </r>
  <r>
    <s v="4355"/>
    <s v="City of Satellite Beach"/>
    <s v="TBD"/>
    <s v="SB-49"/>
    <s v="Robert Way Diversion/Library Dry Retention"/>
    <s v="Divert Robert Way into dry detention pond"/>
    <s v="Dry Detention Pond"/>
    <x v="3"/>
    <n v="2024"/>
    <s v="TBD"/>
    <s v="TBD"/>
    <s v="B"/>
    <n v="14.1"/>
    <n v="150960"/>
    <s v="Not provided"/>
    <s v="TBD"/>
    <s v="TBD"/>
    <s v="N/A"/>
    <s v="Structural"/>
    <s v="Planned"/>
    <n v="2018"/>
    <s v="Banana River Lagoon"/>
    <s v="Not provided"/>
    <s v="Not provided"/>
    <s v="Not provided"/>
  </r>
  <r>
    <s v="4356"/>
    <s v="City of Satellite Beach"/>
    <s v="TBD"/>
    <s v="SB-50"/>
    <s v="Robin Way Diversion/Library Dry Retention"/>
    <s v="Divert Robin Way into dry detention pond"/>
    <s v="Dry Detention Pond"/>
    <x v="3"/>
    <n v="2025"/>
    <s v="TBD"/>
    <s v="TBD"/>
    <s v="B"/>
    <n v="19.13"/>
    <n v="151026"/>
    <s v="Not provided"/>
    <s v="TBD"/>
    <s v="TBD"/>
    <s v="N/A"/>
    <s v="Structural"/>
    <s v="Planned"/>
    <n v="2018"/>
    <s v="Banana River Lagoon"/>
    <s v="Not provided"/>
    <s v="Not provided"/>
    <s v="Not provided"/>
  </r>
  <r>
    <s v="4357"/>
    <s v="City of Satellite Beach"/>
    <s v="TBD"/>
    <s v="SB-51"/>
    <s v="Roosevelt BAM Filter"/>
    <s v="Add BAM Filter to Roosevelt outfall Baffle Box"/>
    <s v="Baffle Boxes- Second Generation with Media"/>
    <x v="3"/>
    <n v="2025"/>
    <s v="TBD"/>
    <s v="TBD"/>
    <s v="B"/>
    <n v="240"/>
    <n v="93696"/>
    <s v="Not provided"/>
    <s v="TBD"/>
    <s v="TBD"/>
    <s v="N/A"/>
    <s v="Structural"/>
    <s v="Planned"/>
    <n v="2018"/>
    <s v="Banana River Lagoon"/>
    <s v="Not provided"/>
    <s v="Not provided"/>
    <s v="Not provided"/>
  </r>
  <r>
    <s v="4358"/>
    <s v="City of Satellite Beach"/>
    <s v="TBD"/>
    <s v="SB-52"/>
    <s v="South Ditch BAM Swales"/>
    <s v="Add BAM Swales along South Ditch Trunkline"/>
    <s v="Biosorption Activated Media (BAM)"/>
    <x v="3"/>
    <n v="2026"/>
    <n v="72"/>
    <n v="11"/>
    <s v="B"/>
    <n v="16.91"/>
    <n v="148580"/>
    <s v="Not provided"/>
    <s v="TBD"/>
    <s v="TBD"/>
    <s v="N/A"/>
    <s v="Structural"/>
    <s v="Planned"/>
    <n v="2018"/>
    <s v="Banana River Lagoon"/>
    <s v="Not provided"/>
    <s v="Not provided"/>
    <s v="Not provided"/>
  </r>
  <r>
    <s v="4359"/>
    <s v="City of Satellite Beach"/>
    <s v="TBD"/>
    <s v="SB-53"/>
    <s v="Sports Park Treatment"/>
    <s v="Install In-Ditch BAM"/>
    <s v="Biosorption Activated Media (BAM)"/>
    <x v="3"/>
    <n v="2026"/>
    <s v="TBD"/>
    <s v="TBD"/>
    <s v="B"/>
    <n v="157"/>
    <n v="102292"/>
    <s v="Not provided"/>
    <s v="TBD"/>
    <s v="TBD"/>
    <s v="N/A"/>
    <s v="Structural"/>
    <s v="Planned"/>
    <n v="2018"/>
    <s v="Banana River Lagoon"/>
    <s v="Not provided"/>
    <s v="Not provided"/>
    <s v="Not provided"/>
  </r>
  <r>
    <s v="4360"/>
    <s v="City of Satellite Beach"/>
    <s v="TBD"/>
    <s v="SB-54"/>
    <s v="Glenwood Road Narrowing"/>
    <s v="Adding Roadside Swales to Glenwood"/>
    <s v="Grass Swales without Swale Blocks or Raised Culverts"/>
    <x v="3"/>
    <n v="2027"/>
    <s v="TBD"/>
    <s v="TBD"/>
    <s v="B"/>
    <n v="6"/>
    <n v="241868"/>
    <s v="Not provided"/>
    <s v="TBD"/>
    <s v="TBD"/>
    <s v="N/A"/>
    <s v="Structural"/>
    <s v="Planned"/>
    <n v="2018"/>
    <s v="Banana River Lagoon"/>
    <s v="Not provided"/>
    <s v="Not provided"/>
    <s v="Not provided"/>
  </r>
  <r>
    <s v="4361"/>
    <s v="City of Satellite Beach"/>
    <s v="TBD"/>
    <s v="SB-55"/>
    <s v="North Drainage BAM Filter"/>
    <s v="Add BAM filter to North Drainage Baffle Box"/>
    <s v="Baffle Boxes- Second Generation with Media"/>
    <x v="3"/>
    <n v="2028"/>
    <s v="TBD"/>
    <s v="TBD"/>
    <s v="B"/>
    <s v="TBD"/>
    <n v="138661"/>
    <s v="Not provided"/>
    <s v="TBD"/>
    <s v="TBD"/>
    <s v="N/A"/>
    <s v="Structural"/>
    <s v="Planned"/>
    <n v="2018"/>
    <s v="Banana River Lagoon"/>
    <s v="Not provided"/>
    <s v="Not provided"/>
    <s v="Not provided"/>
  </r>
  <r>
    <s v="4362"/>
    <s v="City of Satellite Beach"/>
    <s v="TBD"/>
    <s v="SB-56"/>
    <s v="Emerald Court Inlet Baskets"/>
    <s v="Insert Inlet Trap at the end of Emerald Court"/>
    <s v="Catch Basin Inserts/Inlet Filter Cleanout"/>
    <x v="3"/>
    <n v="2028"/>
    <s v="TBD"/>
    <s v="TBD"/>
    <s v="B"/>
    <n v="2"/>
    <n v="20815"/>
    <s v="Not provided"/>
    <s v="TBD"/>
    <s v="TBD"/>
    <s v="N/A"/>
    <s v="Non-structural"/>
    <s v="Planned"/>
    <n v="2018"/>
    <s v="Banana River Lagoon"/>
    <s v="Not provided"/>
    <s v="Not provided"/>
    <s v="Not provided"/>
  </r>
  <r>
    <s v="4363"/>
    <s v="City of Satellite Beach"/>
    <s v="TBD"/>
    <s v="SB-57"/>
    <s v="City Hall Pond Beemats/Living Shoreline"/>
    <s v="Install BeeMats and living shoreline along City Hall Pond area"/>
    <s v="Floating Islands/ Managed Aquatic Plant Systems (MAPS)"/>
    <x v="3"/>
    <n v="2028"/>
    <n v="71"/>
    <n v="13"/>
    <s v="B"/>
    <s v="N/A"/>
    <n v="40480"/>
    <s v="Not provided"/>
    <s v="TBD"/>
    <s v="TBD"/>
    <s v="N/A"/>
    <s v="Structural"/>
    <s v="Planned"/>
    <n v="2018"/>
    <s v="Banana River Lagoon"/>
    <s v="Not provided"/>
    <s v="Not provided"/>
    <s v="Not provided"/>
  </r>
  <r>
    <s v="4364"/>
    <s v="City of Satellite Beach"/>
    <s v="TBD"/>
    <s v="SB-58"/>
    <s v="Jamacia Pond Outfall BAM Filter"/>
    <s v="Adding BAM filters to Jamaica Pond outfalls"/>
    <s v="Biosorption Activated Media (BAM)"/>
    <x v="3"/>
    <n v="2028"/>
    <s v="TBD"/>
    <s v="TBD"/>
    <s v="B"/>
    <s v="TBD"/>
    <n v="69575"/>
    <s v="Not provided"/>
    <s v="TBD"/>
    <s v="TBD"/>
    <s v="N/A"/>
    <s v="Structural"/>
    <s v="Planned"/>
    <n v="2018"/>
    <s v="Banana River Lagoon"/>
    <s v="Not provided"/>
    <s v="Not provided"/>
    <s v="Not provided"/>
  </r>
  <r>
    <n v="2391"/>
    <s v="FDOT District 5"/>
    <s v="N/A"/>
    <s v="FDOT-01"/>
    <s v="Street Sweeping"/>
    <s v="Street sweeping."/>
    <s v="Street Sweeping"/>
    <x v="0"/>
    <s v="N/A"/>
    <n v="49"/>
    <n v="31.2"/>
    <s v="A"/>
    <s v="Not provided"/>
    <s v="Not provided"/>
    <s v="Not provided"/>
    <s v="Florida Legislature"/>
    <s v="Not provided"/>
    <s v="N/A"/>
    <s v="Non-structural"/>
    <s v="Ongoing"/>
    <n v="2013"/>
    <s v="Banana River Lagoon"/>
    <s v="N/A"/>
    <s v="N/A"/>
    <n v="2013"/>
  </r>
  <r>
    <n v="2392"/>
    <s v="FDOT District 5"/>
    <s v="N/A"/>
    <s v="FDOT-02"/>
    <s v="Education Efforts"/>
    <s v="Pamphlets, illicit discharge program."/>
    <s v="Education Efforts"/>
    <x v="0"/>
    <s v="N/A"/>
    <n v="1"/>
    <n v="0.5"/>
    <s v="A"/>
    <s v="N/A"/>
    <s v="Not provided"/>
    <s v="Not provided"/>
    <s v="Florida Legislature"/>
    <s v="Not provided"/>
    <s v="N/A"/>
    <s v="Non-structural"/>
    <s v="Ongoing"/>
    <n v="2013"/>
    <s v="Banana River Lagoon"/>
    <s v="N/A"/>
    <s v="N/A"/>
    <n v="2004"/>
  </r>
  <r>
    <n v="2395"/>
    <s v="FDOT District 5"/>
    <s v="N/A"/>
    <s v="FDOT-03"/>
    <s v="Fertilizer Cessation"/>
    <s v="Elimination of fertilizer application in rights-of-way."/>
    <s v="Fertilizer Cessation"/>
    <x v="0"/>
    <n v="2005"/>
    <n v="102"/>
    <n v="0"/>
    <s v="A"/>
    <n v="103"/>
    <s v="Not provided"/>
    <s v="Not provided"/>
    <s v="Florida Legislature"/>
    <s v="Not provided"/>
    <s v="N/A"/>
    <s v="Non-structural"/>
    <s v="Completed"/>
    <n v="2013"/>
    <s v="Banana River Lagoon"/>
    <s v="N/A"/>
    <s v="N/A"/>
    <n v="2012"/>
  </r>
  <r>
    <n v="2418"/>
    <s v="FDOT District 5"/>
    <s v="N/A"/>
    <s v="FDOT-04"/>
    <s v="FM: 237139 D5_70120-3518-01"/>
    <s v="Pond 7."/>
    <s v="Wet Detention Pond"/>
    <x v="0"/>
    <n v="2013"/>
    <n v="63"/>
    <n v="15.8"/>
    <s v="B"/>
    <n v="4.7"/>
    <s v="Not provided"/>
    <s v="Not provided"/>
    <s v="Florida Legislature"/>
    <s v="Not provided"/>
    <s v="N/A"/>
    <s v="Structural"/>
    <s v="Completed"/>
    <n v="2013"/>
    <s v="Banana River Lagoon"/>
    <n v="28.5441"/>
    <n v="-80.922321999999994"/>
    <n v="2000"/>
  </r>
  <r>
    <n v="2430"/>
    <s v="FDOT District 5"/>
    <s v="N/A"/>
    <s v="FDOT-05"/>
    <s v="FM: 237454 D5_70100-3553-01"/>
    <s v="French drains."/>
    <s v="On-line Retention BMPs"/>
    <x v="0"/>
    <n v="2013"/>
    <n v="23"/>
    <n v="11.3"/>
    <s v="B"/>
    <n v="5"/>
    <s v="Not provided"/>
    <s v="Not provided"/>
    <s v="Florida Legislature"/>
    <s v="Not provided"/>
    <s v="N/A"/>
    <s v="Structural"/>
    <s v="Completed"/>
    <n v="2013"/>
    <s v="Banana River Lagoon"/>
    <n v="28.357659000000002"/>
    <n v="-80.664201000000006"/>
    <n v="1997"/>
  </r>
  <r>
    <n v="2429"/>
    <s v="FDOT District 5"/>
    <s v="N/A"/>
    <s v="FDOT-06"/>
    <s v="FM: 237447 D5_70008-3505-02"/>
    <s v="Pond 2."/>
    <s v="Wet Detention Pond"/>
    <x v="0"/>
    <n v="2013"/>
    <n v="9"/>
    <n v="5"/>
    <s v="B"/>
    <n v="3.4"/>
    <s v="Not provided"/>
    <s v="Not provided"/>
    <s v="Florida Legislature"/>
    <s v="Not provided"/>
    <s v="N/A"/>
    <s v="Structural"/>
    <s v="Completed"/>
    <n v="2013"/>
    <s v="Banana River Lagoon"/>
    <n v="28.139733"/>
    <n v="-80.599216999999996"/>
    <n v="1995"/>
  </r>
  <r>
    <n v="2427"/>
    <s v="FDOT District 5"/>
    <s v="N/A"/>
    <s v="FDOT-07"/>
    <s v="FM: 237447 D5_70008-3505-03"/>
    <s v="Pond 3."/>
    <s v="On-line Retention BMPs"/>
    <x v="0"/>
    <n v="2013"/>
    <n v="7"/>
    <n v="4.2"/>
    <s v="B"/>
    <n v="2.8"/>
    <s v="Not provided"/>
    <s v="Not provided"/>
    <s v="Florida Legislature"/>
    <s v="Not provided"/>
    <s v="N/A"/>
    <s v="Structural"/>
    <s v="Completed"/>
    <n v="2013"/>
    <s v="Banana River Lagoon"/>
    <n v="28.144908000000001"/>
    <n v="-80.598887000000005"/>
    <n v="1995"/>
  </r>
  <r>
    <n v="2425"/>
    <s v="FDOT District 5"/>
    <s v="N/A"/>
    <s v="FDOT-08"/>
    <s v="FM: 237447 D5_70008-3505-04"/>
    <s v="French drains."/>
    <s v="On-line Retention BMPs"/>
    <x v="0"/>
    <n v="2013"/>
    <n v="12"/>
    <n v="6.8"/>
    <s v="B"/>
    <n v="3.8"/>
    <s v="Not provided"/>
    <s v="Not provided"/>
    <s v="Florida Legislature"/>
    <s v="Not provided"/>
    <s v="N/A"/>
    <s v="Structural"/>
    <s v="Completed"/>
    <n v="2013"/>
    <s v="Banana River Lagoon"/>
    <n v="28.147299"/>
    <n v="-80.599070999999995"/>
    <n v="1995"/>
  </r>
  <r>
    <n v="2424"/>
    <s v="FDOT District 5"/>
    <s v="N/A"/>
    <s v="FDOT-09"/>
    <s v="FM: 237482 D5_70060-3533-01"/>
    <s v="French drains."/>
    <s v="On-line Retention BMPs"/>
    <x v="0"/>
    <n v="2013"/>
    <n v="1"/>
    <n v="0.8"/>
    <s v="B"/>
    <n v="0.4"/>
    <s v="Not provided"/>
    <s v="Not provided"/>
    <s v="Florida Legislature"/>
    <s v="Not provided"/>
    <s v="N/A"/>
    <s v="Structural"/>
    <s v="Completed"/>
    <n v="2013"/>
    <s v="Banana River Lagoon"/>
    <n v="28.265895"/>
    <n v="-80.606020999999998"/>
    <n v="1995"/>
  </r>
  <r>
    <n v="2416"/>
    <s v="FDOT District 5"/>
    <s v="N/A"/>
    <s v="FDOT-10"/>
    <s v="FM: 237453 D5_70008-3507-01"/>
    <s v="Pond 1."/>
    <s v="Wet Detention Pond"/>
    <x v="0"/>
    <n v="2013"/>
    <n v="26"/>
    <n v="9.5"/>
    <s v="B"/>
    <n v="8.6999999999999993"/>
    <s v="Not provided"/>
    <s v="Not provided"/>
    <s v="Florida Legislature"/>
    <s v="Not provided"/>
    <s v="N/A"/>
    <s v="Structural"/>
    <s v="Completed"/>
    <n v="2013"/>
    <s v="Banana River Lagoon"/>
    <n v="28.157042000000001"/>
    <n v="-80.599922000000007"/>
    <n v="1997"/>
  </r>
  <r>
    <n v="2423"/>
    <s v="FDOT District 5"/>
    <s v="N/A"/>
    <s v="FDOT-11"/>
    <s v="FM: 237453 D5_70008-3507-02"/>
    <s v="Pond 2."/>
    <s v="Wet Detention Pond"/>
    <x v="0"/>
    <n v="2013"/>
    <n v="24"/>
    <n v="7.4"/>
    <s v="B"/>
    <n v="10.7"/>
    <s v="Not provided"/>
    <s v="Not provided"/>
    <s v="Florida Legislature"/>
    <s v="Not provided"/>
    <s v="N/A"/>
    <s v="Structural"/>
    <s v="Completed"/>
    <n v="2013"/>
    <s v="Banana River Lagoon"/>
    <n v="28.157042000000001"/>
    <n v="-80.604068999999996"/>
    <n v="1997"/>
  </r>
  <r>
    <n v="2397"/>
    <s v="FDOT District 5"/>
    <s v="N/A"/>
    <s v="FDOT-12"/>
    <s v="FM: 237712 D5_70060-3519-01"/>
    <s v="French drains."/>
    <s v="On-line Retention BMPs"/>
    <x v="0"/>
    <n v="2013"/>
    <n v="36"/>
    <n v="8.9"/>
    <s v="B"/>
    <n v="2.5"/>
    <s v="Not provided"/>
    <s v="Not provided"/>
    <s v="Florida Legislature"/>
    <s v="Not provided"/>
    <s v="N/A"/>
    <s v="Structural"/>
    <s v="Completed"/>
    <n v="2013"/>
    <s v="Banana River Lagoon"/>
    <n v="28.320333999999999"/>
    <n v="-80.609013000000004"/>
    <n v="2001"/>
  </r>
  <r>
    <n v="2422"/>
    <s v="FDOT District 5"/>
    <s v="N/A"/>
    <s v="FDOT-13"/>
    <s v="FM: 422691-01 D5_422691-01"/>
    <s v="French drains."/>
    <s v="On-line Retention BMPs"/>
    <x v="0"/>
    <n v="2013"/>
    <n v="15"/>
    <n v="3.8"/>
    <s v="B"/>
    <n v="1.3"/>
    <s v="Not provided"/>
    <s v="Not provided"/>
    <s v="Florida Legislature"/>
    <s v="Not provided"/>
    <s v="N/A"/>
    <s v="Structural"/>
    <s v="Completed"/>
    <n v="2013"/>
    <s v="Banana River Lagoon"/>
    <n v="28.320732"/>
    <n v="-80.608808999999994"/>
    <n v="2007"/>
  </r>
  <r>
    <n v="2421"/>
    <s v="FDOT District 5"/>
    <s v="N/A"/>
    <s v="FDOT-14"/>
    <s v="Street Sweeping"/>
    <s v="Street sweeping."/>
    <s v="Street Sweeping"/>
    <x v="0"/>
    <s v="N/A"/>
    <n v="354"/>
    <n v="193"/>
    <s v="B"/>
    <s v="N/A"/>
    <s v="Not provided"/>
    <s v="Not provided"/>
    <s v="Florida Legislature"/>
    <s v="Not provided"/>
    <s v="N/A"/>
    <s v="Non-structural"/>
    <s v="Ongoing"/>
    <n v="2013"/>
    <s v="Banana River Lagoon"/>
    <s v="N/A"/>
    <s v="N/A"/>
    <n v="2015"/>
  </r>
  <r>
    <n v="2420"/>
    <s v="FDOT District 5"/>
    <s v="N/A"/>
    <s v="FDOT-15"/>
    <s v="Education Efforts"/>
    <s v="Pamphlets, illicit discharge program."/>
    <s v="Education Efforts"/>
    <x v="0"/>
    <s v="N/A"/>
    <n v="25"/>
    <n v="8"/>
    <s v="B"/>
    <s v="N/A"/>
    <s v="Not provided"/>
    <s v="Not provided"/>
    <s v="Florida Legislature"/>
    <s v="Not provided"/>
    <s v="N/A"/>
    <s v="Non-structural"/>
    <s v="Ongoing"/>
    <n v="2013"/>
    <s v="Banana River Lagoon"/>
    <s v="N/A"/>
    <s v="N/A"/>
    <n v="2004"/>
  </r>
  <r>
    <n v="2419"/>
    <s v="FDOT District 5"/>
    <s v="N/A"/>
    <s v="FDOT-16"/>
    <s v="Fertilizer Cessation"/>
    <s v="Fertilizer cessation."/>
    <s v="Fertilizer Cessation"/>
    <x v="0"/>
    <n v="2005"/>
    <n v="1544"/>
    <n v="56"/>
    <s v="B"/>
    <s v="N/A"/>
    <s v="Not provided"/>
    <s v="Not provided"/>
    <s v="Florida Legislature"/>
    <s v="Not provided"/>
    <s v="N/A"/>
    <s v="Non-structural"/>
    <s v="Completed"/>
    <n v="2013"/>
    <s v="Banana River Lagoon"/>
    <s v="N/A"/>
    <s v="N/A"/>
    <n v="2016"/>
  </r>
  <r>
    <n v="2403"/>
    <s v="Kennedy Space Center"/>
    <s v="Not provided"/>
    <s v="KSC-01"/>
    <s v="KSC Landscape Fertilizer Reduction"/>
    <s v="Not provided."/>
    <s v="Fertilizer Reduction"/>
    <x v="0"/>
    <s v="N/A"/>
    <n v="1872"/>
    <n v="265.39999999999998"/>
    <s v="A"/>
    <n v="200"/>
    <s v="Not provided"/>
    <s v="Not provided"/>
    <s v="Not provided"/>
    <s v="Not provided"/>
    <s v="N/A"/>
    <s v="Non-structural"/>
    <s v="Ongoing"/>
    <n v="2013"/>
    <s v="Banana River Lagoon"/>
    <s v="Not provided"/>
    <s v="Not provided"/>
    <s v="Not provided"/>
  </r>
  <r>
    <n v="2417"/>
    <s v="Kennedy Space Center"/>
    <s v="Not provided"/>
    <s v="KSC-02"/>
    <s v="KSC Citrus Grove Termination Jerome Rd. East"/>
    <s v="Not provided."/>
    <s v="Land Use Change"/>
    <x v="0"/>
    <n v="2014"/>
    <n v="0"/>
    <n v="0"/>
    <s v="A"/>
    <n v="49.4"/>
    <s v="N/A"/>
    <s v="N/A"/>
    <s v="N/A"/>
    <s v="N/A"/>
    <s v="N/A"/>
    <s v="Non-structural"/>
    <s v="Completed"/>
    <n v="2013"/>
    <s v="Banana River Lagoon"/>
    <s v="Not provided"/>
    <s v="Not provided"/>
    <s v="Not provided"/>
  </r>
  <r>
    <n v="2431"/>
    <s v="Kennedy Space Center"/>
    <s v="Not provided"/>
    <s v="KSC-03"/>
    <s v="KSC Citrus Grove Termination  TEL-IV"/>
    <s v="Not provided."/>
    <s v="Land Use Change"/>
    <x v="0"/>
    <n v="2014"/>
    <n v="0"/>
    <n v="0"/>
    <s v="A"/>
    <n v="20.5"/>
    <s v="N/A"/>
    <s v="N/A"/>
    <s v="N/A"/>
    <s v="N/A"/>
    <s v="N/A"/>
    <s v="Non-structural"/>
    <s v="Completed"/>
    <n v="2013"/>
    <s v="Banana River Lagoon"/>
    <s v="Not provided"/>
    <s v="Not provided"/>
    <s v="Not provided"/>
  </r>
  <r>
    <n v="2415"/>
    <s v="Kennedy Space Center"/>
    <s v="Not provided"/>
    <s v="KSC-04"/>
    <s v="Vertical Processing Facility M7-1469"/>
    <s v="Not provided."/>
    <s v="Land Use Change"/>
    <x v="0"/>
    <n v="2014"/>
    <n v="24"/>
    <n v="9.4"/>
    <s v="A"/>
    <n v="2.2999999999999998"/>
    <s v="N/A"/>
    <s v="N/A"/>
    <s v="N/A"/>
    <s v="N/A"/>
    <s v="N/A"/>
    <s v="Non-structural"/>
    <s v="Completed"/>
    <n v="2013"/>
    <s v="Banana River Lagoon"/>
    <s v="Not provided"/>
    <s v="Not provided"/>
    <s v="Not provided"/>
  </r>
  <r>
    <n v="2414"/>
    <s v="Kennedy Space Center"/>
    <s v="Not provided"/>
    <s v="KSC-05"/>
    <s v="Spacecraft Assembly Encapsulation Facility 2 M7-1210"/>
    <s v="Not provided."/>
    <s v="Land Use Change"/>
    <x v="0"/>
    <n v="2014"/>
    <n v="15"/>
    <n v="4.9000000000000004"/>
    <s v="A"/>
    <n v="1.2"/>
    <s v="N/A"/>
    <s v="N/A"/>
    <s v="N/A"/>
    <s v="N/A"/>
    <s v="N/A"/>
    <s v="Non-structural"/>
    <s v="Completed"/>
    <n v="2013"/>
    <s v="Banana River Lagoon"/>
    <s v="Not provided"/>
    <s v="Not provided"/>
    <s v="Not provided"/>
  </r>
  <r>
    <n v="2413"/>
    <s v="Kennedy Space Center"/>
    <s v="Not provided"/>
    <s v="KSC-06"/>
    <s v="Central Heat Plant M6-595"/>
    <s v="Not provided."/>
    <s v="Land Use Change"/>
    <x v="0"/>
    <n v="2014"/>
    <n v="3"/>
    <n v="1"/>
    <s v="A"/>
    <n v="0.2"/>
    <s v="N/A"/>
    <s v="N/A"/>
    <s v="N/A"/>
    <s v="N/A"/>
    <s v="N/A"/>
    <s v="Non-structural"/>
    <s v="Completed"/>
    <n v="2013"/>
    <s v="Banana River Lagoon"/>
    <s v="Not provided"/>
    <s v="Not provided"/>
    <s v="Not provided"/>
  </r>
  <r>
    <n v="2412"/>
    <s v="Kennedy Space Center"/>
    <s v="Not provided"/>
    <s v="KSC-07"/>
    <s v="Utility Shops K6-1246"/>
    <s v="Not provided."/>
    <s v="Land Use Change"/>
    <x v="0"/>
    <n v="2014"/>
    <n v="3"/>
    <n v="1"/>
    <s v="A"/>
    <n v="0.3"/>
    <s v="N/A"/>
    <s v="N/A"/>
    <s v="N/A"/>
    <s v="N/A"/>
    <s v="N/A"/>
    <s v="Non-structural"/>
    <s v="Completed"/>
    <n v="2013"/>
    <s v="Banana River Lagoon"/>
    <s v="Not provided"/>
    <s v="Not provided"/>
    <s v="Not provided"/>
  </r>
  <r>
    <n v="2411"/>
    <s v="Kennedy Space Center"/>
    <s v="Not provided"/>
    <s v="KSC-08"/>
    <s v="Fire Station 2 K6-1198"/>
    <s v="Not provided."/>
    <s v="Land Use Change"/>
    <x v="0"/>
    <n v="2014"/>
    <n v="5"/>
    <n v="1.5"/>
    <s v="A"/>
    <n v="0.4"/>
    <s v="N/A"/>
    <s v="N/A"/>
    <s v="N/A"/>
    <s v="N/A"/>
    <s v="N/A"/>
    <s v="Non-structural"/>
    <s v="Completed"/>
    <n v="2013"/>
    <s v="Banana River Lagoon"/>
    <s v="Not provided"/>
    <s v="Not provided"/>
    <s v="Not provided"/>
  </r>
  <r>
    <n v="2410"/>
    <s v="Kennedy Space Center"/>
    <s v="Not provided"/>
    <s v="KSC-09"/>
    <s v="Vehicle Loading Ramp  M7-0651"/>
    <s v="Not provided."/>
    <s v="Land Use Change"/>
    <x v="0"/>
    <n v="2014"/>
    <n v="0"/>
    <n v="0.1"/>
    <s v="A"/>
    <n v="0"/>
    <s v="N/A"/>
    <s v="N/A"/>
    <s v="N/A"/>
    <s v="N/A"/>
    <s v="N/A"/>
    <s v="Non-structural"/>
    <s v="Completed"/>
    <n v="2013"/>
    <s v="Banana River Lagoon"/>
    <s v="Not provided"/>
    <s v="Not provided"/>
    <s v="Not provided"/>
  </r>
  <r>
    <n v="2409"/>
    <s v="Kennedy Space Center"/>
    <s v="Not provided"/>
    <s v="KSC-10"/>
    <s v="Hypergol Module Storage East  M7-1412"/>
    <s v="Not provided."/>
    <s v="Land Use Change"/>
    <x v="0"/>
    <n v="2014"/>
    <n v="6"/>
    <n v="2.1"/>
    <s v="A"/>
    <n v="0.5"/>
    <s v="N/A"/>
    <s v="N/A"/>
    <s v="N/A"/>
    <s v="N/A"/>
    <s v="N/A"/>
    <s v="Non-structural"/>
    <s v="Completed"/>
    <n v="2013"/>
    <s v="Banana River Lagoon"/>
    <s v="Not provided"/>
    <s v="Not provided"/>
    <s v="Not provided"/>
  </r>
  <r>
    <n v="2408"/>
    <s v="Kennedy Space Center"/>
    <s v="Not provided"/>
    <s v="KSC-11"/>
    <s v="Hypergol Module Storage West M7-1410"/>
    <s v="Not provided."/>
    <s v="Land Use Change"/>
    <x v="0"/>
    <n v="2014"/>
    <n v="8"/>
    <n v="2.6"/>
    <s v="A"/>
    <n v="0.6"/>
    <s v="N/A"/>
    <s v="N/A"/>
    <s v="N/A"/>
    <s v="N/A"/>
    <s v="N/A"/>
    <s v="Non-structural"/>
    <s v="Completed"/>
    <n v="2013"/>
    <s v="Banana River Lagoon"/>
    <s v="Not provided"/>
    <s v="Not provided"/>
    <s v="Not provided"/>
  </r>
  <r>
    <n v="2407"/>
    <s v="Kennedy Space Center"/>
    <s v="Not provided"/>
    <s v="KSC-12"/>
    <s v="Regional Stormwater Management System"/>
    <s v="Not provided."/>
    <s v="Wet Detention Pond"/>
    <x v="0"/>
    <n v="2014"/>
    <n v="2541"/>
    <n v="1022.1"/>
    <s v="A"/>
    <n v="593.20000000000005"/>
    <s v="Not provided"/>
    <s v="Not provided"/>
    <s v="Not provided"/>
    <s v="Not provided"/>
    <s v="N/A"/>
    <s v="Structural"/>
    <s v="Completed"/>
    <n v="2013"/>
    <s v="Banana River Lagoon"/>
    <s v="Not provided"/>
    <s v="Not provided"/>
    <s v="Not provided"/>
  </r>
  <r>
    <n v="2404"/>
    <s v="Kennedy Space Center"/>
    <s v="Not provided"/>
    <s v="KSC-13"/>
    <s v="ARF Stormwater System"/>
    <s v="Not provided."/>
    <s v="On-line Retention BMPs"/>
    <x v="0"/>
    <n v="2014"/>
    <n v="320"/>
    <n v="67.8"/>
    <s v="A"/>
    <n v="55.4"/>
    <s v="Not provided"/>
    <s v="Not provided"/>
    <s v="Not provided"/>
    <s v="Not provided"/>
    <s v="N/A"/>
    <s v="Structural"/>
    <s v="Completed"/>
    <n v="2013"/>
    <s v="Banana River Lagoon"/>
    <s v="Not provided"/>
    <s v="Not provided"/>
    <s v="Not provided"/>
  </r>
  <r>
    <n v="2426"/>
    <s v="Kennedy Space Center"/>
    <s v="Not provided"/>
    <s v="KSC-14"/>
    <s v="VAB South Wetland Treatment System"/>
    <s v="Not provided."/>
    <s v="Wetland Treatment"/>
    <x v="0"/>
    <n v="2014"/>
    <n v="672"/>
    <n v="330.3"/>
    <s v="A"/>
    <n v="188.5"/>
    <s v="Not provided"/>
    <s v="Not provided"/>
    <s v="Not provided"/>
    <s v="Not provided"/>
    <s v="N/A"/>
    <s v="Structural"/>
    <s v="Completed"/>
    <n v="2013"/>
    <s v="Banana River Lagoon"/>
    <s v="Not provided"/>
    <s v="Not provided"/>
    <s v="Not provided"/>
  </r>
  <r>
    <n v="2609"/>
    <s v="Kennedy Space Center"/>
    <s v="Not provided"/>
    <s v="KSC-15"/>
    <s v="Schwartz Road Landfill"/>
    <s v="Not provided."/>
    <s v="100% On-site Retention"/>
    <x v="0"/>
    <n v="2014"/>
    <n v="1341"/>
    <n v="257.10000000000002"/>
    <s v="A"/>
    <n v="122.5"/>
    <s v="Not provided"/>
    <s v="Not provided"/>
    <s v="Not provided"/>
    <s v="Not provided"/>
    <s v="N/A"/>
    <s v="Structural"/>
    <s v="Completed"/>
    <n v="2013"/>
    <s v="Banana River Lagoon"/>
    <s v="Not provided"/>
    <s v="Not provided"/>
    <s v="Not provided"/>
  </r>
  <r>
    <n v="2728"/>
    <s v="Kennedy Space Center"/>
    <s v="Not provided"/>
    <s v="KSC-16"/>
    <s v="Closed Basin 4 (Spoil Site - Static Test Road)"/>
    <s v="Not provided."/>
    <s v="100% On-site Retention"/>
    <x v="0"/>
    <n v="2014"/>
    <n v="844"/>
    <n v="160.6"/>
    <s v="A"/>
    <n v="68.2"/>
    <s v="Not provided"/>
    <s v="Not provided"/>
    <s v="Not provided"/>
    <s v="Not provided"/>
    <s v="N/A"/>
    <s v="Non-structural"/>
    <s v="Completed"/>
    <n v="2013"/>
    <s v="Banana River Lagoon"/>
    <s v="Not provided"/>
    <s v="Not provided"/>
    <s v="Not provided"/>
  </r>
  <r>
    <n v="2890"/>
    <s v="Kennedy Space Center"/>
    <s v="Not provided"/>
    <s v="KSC-17"/>
    <s v="Impounded Areas"/>
    <s v="Not provided."/>
    <s v="100% On-site Retention"/>
    <x v="0"/>
    <n v="2014"/>
    <n v="2444"/>
    <n v="149.6"/>
    <s v="A"/>
    <n v="1655.3"/>
    <n v="62406"/>
    <s v="Not provided"/>
    <s v="Not provided"/>
    <n v="62406"/>
    <s v="N/A"/>
    <s v="Structural"/>
    <s v="Completed"/>
    <n v="2013"/>
    <s v="Banana River Lagoon"/>
    <s v="Not provided"/>
    <s v="Not provided"/>
    <s v="Not provided"/>
  </r>
  <r>
    <n v="2889"/>
    <s v="Kennedy Space Center"/>
    <s v="Not provided"/>
    <s v="KSC-18"/>
    <s v="Depressional Storage (22nd St. to 28th St.)"/>
    <s v="Not provided."/>
    <s v="100% On-site Retention"/>
    <x v="0"/>
    <n v="2014"/>
    <n v="4139"/>
    <n v="228.3"/>
    <s v="A"/>
    <n v="1008.1"/>
    <n v="491976"/>
    <s v="Not provided"/>
    <s v="Not provided"/>
    <n v="491976"/>
    <s v="N/A"/>
    <s v="Structural"/>
    <s v="Completed"/>
    <n v="2013"/>
    <s v="Banana River Lagoon"/>
    <s v="Not provided"/>
    <s v="Not provided"/>
    <s v="Not provided"/>
  </r>
  <r>
    <n v="2888"/>
    <s v="Kennedy Space Center"/>
    <s v="Not provided"/>
    <s v="KSC-19"/>
    <s v="Depressional Storage (Jerome Rd. to 22nd St.)"/>
    <s v="Not provided."/>
    <s v="100% On-site Retention"/>
    <x v="0"/>
    <n v="2014"/>
    <n v="4064"/>
    <n v="283.60000000000002"/>
    <s v="A"/>
    <n v="982"/>
    <n v="477506"/>
    <s v="Not provided"/>
    <s v="Not provided"/>
    <n v="477506"/>
    <s v="N/A"/>
    <s v="Structural"/>
    <s v="Completed"/>
    <n v="2013"/>
    <s v="Banana River Lagoon"/>
    <s v="Not provided"/>
    <s v="Not provided"/>
    <s v="Not provided"/>
  </r>
  <r>
    <n v="2887"/>
    <s v="Kennedy Space Center"/>
    <s v="Not provided"/>
    <s v="KSC-20"/>
    <s v="Demolition of Facilities M7-1521 and M7-1522"/>
    <s v="Not provided."/>
    <s v="Land Use Change"/>
    <x v="0"/>
    <n v="2014"/>
    <n v="7"/>
    <n v="1.8"/>
    <s v="A"/>
    <n v="0.5"/>
    <s v="N/A"/>
    <s v="N/A"/>
    <s v="N/A"/>
    <s v="N/A"/>
    <s v="N/A"/>
    <s v="Non-structural"/>
    <s v="Completed"/>
    <n v="2014"/>
    <s v="Banana River Lagoon"/>
    <s v="Not provided"/>
    <s v="Not provided"/>
    <s v="Not provided"/>
  </r>
  <r>
    <n v="2886"/>
    <s v="Kennedy Space Center"/>
    <s v="Not provided"/>
    <s v="KSC-21"/>
    <s v="Demolition of Facility M6-0339"/>
    <s v="Not provided."/>
    <s v="Land Use Change"/>
    <x v="0"/>
    <n v="2014"/>
    <n v="7"/>
    <n v="2.2999999999999998"/>
    <s v="A"/>
    <n v="0.5"/>
    <s v="N/A"/>
    <s v="N/A"/>
    <s v="N/A"/>
    <s v="N/A"/>
    <s v="N/A"/>
    <s v="Non-structural"/>
    <s v="Completed"/>
    <n v="2014"/>
    <s v="Banana River Lagoon"/>
    <s v="Not provided"/>
    <s v="Not provided"/>
    <s v="Not provided"/>
  </r>
  <r>
    <n v="2885"/>
    <s v="Kennedy Space Center"/>
    <s v="Not provided"/>
    <s v="KSC-22"/>
    <s v="Demolition of Facility M7-0862"/>
    <s v="Not provided."/>
    <s v="Land Use Change"/>
    <x v="0"/>
    <n v="2015"/>
    <n v="0"/>
    <n v="0.1"/>
    <s v="A"/>
    <n v="0.02"/>
    <s v="N/A"/>
    <s v="N/A"/>
    <s v="N/A"/>
    <s v="N/A"/>
    <s v="N/A"/>
    <s v="Non-structural"/>
    <s v="Completed"/>
    <n v="2015"/>
    <s v="Banana River Lagoon"/>
    <s v="Not provided"/>
    <s v="Not provided"/>
    <s v="Not provided"/>
  </r>
  <r>
    <n v="2884"/>
    <s v="Kennedy Space Center"/>
    <s v="Not provided"/>
    <s v="KSC-23"/>
    <s v="Demolition of Facility M7-1012"/>
    <s v="Not provided."/>
    <s v="Land Use Change"/>
    <x v="0"/>
    <n v="2015"/>
    <n v="0"/>
    <n v="0"/>
    <s v="A"/>
    <n v="7.0000000000000001E-3"/>
    <s v="N/A"/>
    <s v="N/A"/>
    <s v="N/A"/>
    <s v="N/A"/>
    <s v="N/A"/>
    <s v="Non-structural"/>
    <s v="Completed"/>
    <n v="2015"/>
    <s v="Banana River Lagoon"/>
    <s v="Not provided"/>
    <s v="Not provided"/>
    <s v="Not provided"/>
  </r>
  <r>
    <n v="2874"/>
    <s v="Kennedy Space Center"/>
    <s v="Not provided"/>
    <s v="KSC-24"/>
    <s v="Demolition of Facility M7-1061"/>
    <s v="Not provided."/>
    <s v="Land Use Change"/>
    <x v="0"/>
    <n v="2015"/>
    <n v="15"/>
    <n v="3.9"/>
    <s v="A"/>
    <n v="1.3"/>
    <s v="N/A"/>
    <s v="N/A"/>
    <s v="N/A"/>
    <s v="N/A"/>
    <s v="N/A"/>
    <s v="Non-structural"/>
    <s v="Completed"/>
    <n v="2015"/>
    <s v="Banana River Lagoon"/>
    <s v="Not provided"/>
    <s v="Not provided"/>
    <s v="Not provided"/>
  </r>
  <r>
    <n v="2882"/>
    <s v="Kennedy Space Center"/>
    <s v="Not provided"/>
    <s v="KSC-25"/>
    <s v="Demolition of Facility M7-1112"/>
    <s v="Not provided."/>
    <s v="Land Use Change"/>
    <x v="0"/>
    <n v="2015"/>
    <n v="2"/>
    <n v="0.5"/>
    <s v="A"/>
    <n v="0.11"/>
    <s v="N/A"/>
    <s v="N/A"/>
    <s v="N/A"/>
    <s v="N/A"/>
    <s v="N/A"/>
    <s v="Non-structural"/>
    <s v="Completed"/>
    <n v="2015"/>
    <s v="Banana River Lagoon"/>
    <s v="Not provided"/>
    <s v="Not provided"/>
    <s v="Not provided"/>
  </r>
  <r>
    <n v="2891"/>
    <s v="Kennedy Space Center"/>
    <s v="Not provided"/>
    <s v="KSC-26"/>
    <s v="Demolition of Facility M7-0961"/>
    <s v="Not provided."/>
    <s v="Land Use Change"/>
    <x v="0"/>
    <n v="2015"/>
    <n v="16"/>
    <n v="4.0999999999999996"/>
    <s v="A"/>
    <n v="1.04"/>
    <s v="N/A"/>
    <s v="N/A"/>
    <s v="N/A"/>
    <s v="N/A"/>
    <s v="N/A"/>
    <s v="Non-structural"/>
    <s v="Completed"/>
    <n v="2015"/>
    <s v="Banana River Lagoon"/>
    <s v="Not provided"/>
    <s v="Not provided"/>
    <s v="Not provided"/>
  </r>
  <r>
    <n v="2880"/>
    <s v="Kennedy Space Center"/>
    <s v="Not provided"/>
    <s v="KSC-27"/>
    <s v="Demolition of Facility K7-2468"/>
    <s v="Not provided."/>
    <s v="Land Use Change"/>
    <x v="0"/>
    <n v="2015"/>
    <n v="0"/>
    <n v="0"/>
    <s v="A"/>
    <n v="0.1"/>
    <s v="N/A"/>
    <s v="N/A"/>
    <s v="N/A"/>
    <s v="N/A"/>
    <s v="N/A"/>
    <s v="Non-structural"/>
    <s v="Completed"/>
    <n v="2015"/>
    <s v="Banana River Lagoon"/>
    <s v="Not provided"/>
    <s v="Not provided"/>
    <s v="Not provided"/>
  </r>
  <r>
    <n v="2879"/>
    <s v="Kennedy Space Center"/>
    <s v="Not provided"/>
    <s v="KSC-28"/>
    <s v="Cut 13 Dredging"/>
    <s v="Maintenance dredging."/>
    <s v="Muck Removal/Restoration Dredging"/>
    <x v="2"/>
    <n v="2017"/>
    <n v="0"/>
    <n v="0"/>
    <s v="A"/>
    <n v="37"/>
    <n v="14000000"/>
    <s v="Not provided"/>
    <s v="Not provided"/>
    <n v="14000000"/>
    <s v="N/A"/>
    <s v="Non-structural"/>
    <s v="In progress"/>
    <n v="2016"/>
    <s v="Banana River Lagoon"/>
    <n v="28.413374999999998"/>
    <n v="80.644490000000005"/>
    <n v="2017"/>
  </r>
  <r>
    <n v="2536"/>
    <s v="Brevard County"/>
    <s v="N/A"/>
    <s v="BC-01"/>
    <s v="Education Efforts"/>
    <s v="Florida Yards and Neighbors (FYN); landscape, irrigation, fertilizer, and pet waste ordinances; public service announcements (PSAs); pamphlets; website; Illicit Discharge Program."/>
    <s v="Education Efforts"/>
    <x v="0"/>
    <s v="N/A"/>
    <n v="79"/>
    <n v="14"/>
    <s v="A"/>
    <s v="N/A"/>
    <s v="N/A"/>
    <n v="40000"/>
    <s v="Utility Fee"/>
    <s v="N/A"/>
    <s v="N/A"/>
    <s v="Non-structural"/>
    <s v="Ongoing"/>
    <n v="2013"/>
    <s v="Banana River Lagoon"/>
    <s v="Not provided"/>
    <s v="Not provided"/>
    <s v="Not provided"/>
  </r>
  <r>
    <n v="2547"/>
    <s v="Brevard County"/>
    <s v="SJRWMD/ Environmentally Endangered Lands (EELS)"/>
    <s v="BC-02"/>
    <s v="Pine Island Phase I and II"/>
    <s v="Regional Stormwater Management System  includes two wet ponds (80-acres &amp; 23 acres) with gravity flow and pump station."/>
    <s v="Regional Stormwater Treatment"/>
    <x v="0"/>
    <n v="2015"/>
    <n v="160"/>
    <n v="102"/>
    <s v="A"/>
    <n v="15.3"/>
    <n v="3140824"/>
    <n v="19235"/>
    <s v="EPA/ DEP TMDL"/>
    <n v="1677079"/>
    <s v="G0288/ G0344"/>
    <s v="Structural"/>
    <s v="Completed"/>
    <n v="2013"/>
    <s v="Banana River Lagoon"/>
    <s v="Not provided"/>
    <s v="Not provided"/>
    <s v="Not provided"/>
  </r>
  <r>
    <n v="2559"/>
    <s v="Brevard County"/>
    <s v="DEP"/>
    <s v="BC-03"/>
    <s v="Florida Blvd. Pond"/>
    <s v="Construction of a 2.3 acre wet detention pond to proivide treatment to a residential area in Merritt Island."/>
    <s v="Wet Detention Pond"/>
    <x v="0"/>
    <n v="2013"/>
    <n v="324"/>
    <n v="126.4"/>
    <s v="B"/>
    <n v="73.599999999999994"/>
    <n v="350384"/>
    <s v="Not provided"/>
    <s v="DEP"/>
    <s v="DEP - $350,384"/>
    <s v="WM744"/>
    <s v="Structural"/>
    <s v="Completed"/>
    <n v="2013"/>
    <s v="Banana River Lagoon"/>
    <s v="Not provided"/>
    <s v="Not provided"/>
    <s v="Not provided"/>
  </r>
  <r>
    <n v="2545"/>
    <s v="Brevard County"/>
    <s v="DEP"/>
    <s v="BC-04"/>
    <s v="Hampton North (Riverside)"/>
    <s v="Upgrading a 1st generation to a 2nd generatrion baffle box by adding the nutrient separating screen."/>
    <s v="Baffle Boxes- First Generation (hydrodynamic separator)"/>
    <x v="0"/>
    <n v="2013"/>
    <n v="1"/>
    <n v="1.4"/>
    <s v="B"/>
    <n v="15.3"/>
    <n v="27000"/>
    <n v="1500"/>
    <s v="DEP"/>
    <s v="DEP - $27,000"/>
    <s v="G0268"/>
    <s v="Structural"/>
    <s v="Completed"/>
    <n v="2013"/>
    <s v="Banana River Lagoon"/>
    <s v="Not provided"/>
    <s v="Not provided"/>
    <s v="Not provided"/>
  </r>
  <r>
    <n v="2544"/>
    <s v="Brevard County"/>
    <s v="DEP"/>
    <s v="BC-05"/>
    <s v="Hampton South (Needle Blvd)"/>
    <s v="Upgrading a 1st generation to a 2nd generatrion baffle box by adding the nutrient separating screen."/>
    <s v="Baffle Boxes- First Generation (hydrodynamic separator)"/>
    <x v="0"/>
    <n v="2013"/>
    <n v="1"/>
    <n v="1.6"/>
    <s v="B"/>
    <n v="18.100000000000001"/>
    <n v="29000"/>
    <n v="1500"/>
    <s v="DEP"/>
    <s v="DEP - $29,000"/>
    <s v="G0268"/>
    <s v="Structural"/>
    <s v="Completed"/>
    <n v="2013"/>
    <s v="Banana River Lagoon"/>
    <s v="Not provided"/>
    <s v="Not provided"/>
    <s v="Not provided"/>
  </r>
  <r>
    <n v="2543"/>
    <s v="Brevard County"/>
    <s v="DEP"/>
    <s v="BC-06"/>
    <s v="Albatross"/>
    <s v="Upgrading a 1st generation to a 2nd generatrion baffle box by adding the nutrient separating screen."/>
    <s v="Baffle Boxes- First Generation (hydrodynamic separator)"/>
    <x v="0"/>
    <n v="2013"/>
    <n v="1"/>
    <n v="1.5"/>
    <s v="B"/>
    <n v="21.8"/>
    <n v="33000"/>
    <n v="1500"/>
    <s v="DEP"/>
    <s v="DEP - $33,000"/>
    <s v="G0268"/>
    <s v="Structural"/>
    <s v="Completed"/>
    <n v="2013"/>
    <s v="Banana River Lagoon"/>
    <s v="Not provided"/>
    <s v="Not provided"/>
    <s v="Not provided"/>
  </r>
  <r>
    <n v="2789"/>
    <s v="Brevard County"/>
    <s v="DEP"/>
    <s v="BC-07"/>
    <s v="Surfside"/>
    <s v="Upgrading a 1st generation to a 2nd generatrion baffle box by adding the nutrient separating screen."/>
    <s v="Baffle Boxes- First Generation (hydrodynamic separator)"/>
    <x v="0"/>
    <n v="2013"/>
    <n v="2"/>
    <n v="2.2000000000000002"/>
    <s v="B"/>
    <n v="22.8"/>
    <n v="31500"/>
    <n v="1500"/>
    <s v="DEP"/>
    <s v="DEP - $31,500"/>
    <s v="G0268"/>
    <s v="Structural"/>
    <s v="Completed"/>
    <n v="2013"/>
    <s v="Banana River Lagoon"/>
    <s v="Not provided"/>
    <s v="Not provided"/>
    <s v="Not provided"/>
  </r>
  <r>
    <n v="2457"/>
    <s v="Brevard County"/>
    <s v="DEP"/>
    <s v="BC-08"/>
    <s v="West Scots"/>
    <s v="Upgrading a 1st generation to a 2nd generatrion baffle box by adding the nutrient separating screen."/>
    <s v="Baffle Boxes- Second Generation"/>
    <x v="0"/>
    <n v="2013"/>
    <n v="30"/>
    <n v="5.9"/>
    <s v="B"/>
    <n v="9.6999999999999993"/>
    <n v="41000"/>
    <n v="1500"/>
    <s v="DEP"/>
    <s v="DEP - $41,000"/>
    <s v="G0268"/>
    <s v="Structural"/>
    <s v="Completed"/>
    <n v="2013"/>
    <s v="Banana River Lagoon"/>
    <s v="Not provided"/>
    <s v="Not provided"/>
    <s v="Not provided"/>
  </r>
  <r>
    <n v="2428"/>
    <s v="Brevard County"/>
    <s v="DEP"/>
    <s v="BC-09"/>
    <s v="Johns Circle"/>
    <s v="Upgrading a 1st generation to a 2nd generatrion baffle box by adding the nutrient separating screen."/>
    <s v="Baffle Boxes- First Generation (hydrodynamic separator)"/>
    <x v="0"/>
    <n v="2013"/>
    <n v="2"/>
    <n v="1.8"/>
    <s v="B"/>
    <n v="19.5"/>
    <n v="31000"/>
    <n v="1500"/>
    <s v="DEP"/>
    <s v="DEP - $31,000"/>
    <s v="G0268"/>
    <s v="Structural"/>
    <s v="Completed"/>
    <n v="2013"/>
    <s v="Banana River Lagoon"/>
    <s v="Not provided"/>
    <s v="Not provided"/>
    <s v="Not provided"/>
  </r>
  <r>
    <n v="2393"/>
    <s v="Brevard County"/>
    <s v="DEP"/>
    <s v="BC-10"/>
    <s v="Farrington Drive"/>
    <s v="Upgrading a 1st generation to a 2nd generatrion baffle box by adding the nutrient separating screen."/>
    <s v="Baffle Boxes- Second Generation"/>
    <x v="0"/>
    <n v="2013"/>
    <n v="24"/>
    <n v="4.9000000000000004"/>
    <s v="B"/>
    <n v="7.8"/>
    <n v="37500"/>
    <n v="1500"/>
    <s v="DEP"/>
    <s v="DEP - $37,500"/>
    <s v="G0268"/>
    <s v="Structural"/>
    <s v="Completed"/>
    <n v="2013"/>
    <s v="Banana River Lagoon"/>
    <s v="Not provided"/>
    <s v="Not provided"/>
    <s v="Not provided"/>
  </r>
  <r>
    <n v="2394"/>
    <s v="Brevard County"/>
    <s v="DEP"/>
    <s v="BC-11"/>
    <s v="Porpoise Street"/>
    <s v="Upgrading a 1st generation to a 2nd generatrion baffle box by adding the nutrient separating screen."/>
    <s v="Baffle Boxes- Second Generation"/>
    <x v="0"/>
    <n v="2013"/>
    <n v="25"/>
    <n v="4.9000000000000004"/>
    <s v="B"/>
    <n v="7.8"/>
    <n v="42000"/>
    <n v="1500"/>
    <s v="DEP"/>
    <s v="DEP - $42,000"/>
    <s v="G0268"/>
    <s v="Structural"/>
    <s v="Completed"/>
    <n v="2013"/>
    <s v="Banana River Lagoon"/>
    <s v="Not provided"/>
    <s v="Not provided"/>
    <s v="Not provided"/>
  </r>
  <r>
    <n v="2402"/>
    <s v="Brevard County"/>
    <s v="DEP"/>
    <s v="BC-12"/>
    <s v="Angler Street"/>
    <s v="Upgrading a 1st generation to a 2nd generatrion baffle box by adding the nutrient separating screen."/>
    <s v="Baffle Boxes- First Generation (hydrodynamic separator)"/>
    <x v="0"/>
    <n v="2013"/>
    <n v="1"/>
    <n v="0.9"/>
    <s v="B"/>
    <n v="10.199999999999999"/>
    <n v="30700"/>
    <n v="1500"/>
    <s v="DEP"/>
    <s v="DEP - $30,700"/>
    <s v="G0268"/>
    <s v="Structural"/>
    <s v="Completed"/>
    <n v="2013"/>
    <s v="Banana River Lagoon"/>
    <s v="Not provided"/>
    <s v="Not provided"/>
    <s v="Not provided"/>
  </r>
  <r>
    <n v="2396"/>
    <s v="Brevard County"/>
    <s v="DEP"/>
    <s v="BC-13"/>
    <s v="Diana Shores"/>
    <s v="Installing a Vortech Unit to treat runoff form an old residential, multi family and commercial area."/>
    <s v="Hydrodynamic Separators"/>
    <x v="0"/>
    <n v="2013"/>
    <n v="0"/>
    <n v="17"/>
    <s v="B"/>
    <n v="38.6"/>
    <n v="102000"/>
    <n v="1500"/>
    <s v="DEP"/>
    <s v="DEP - $102,000"/>
    <s v="G0268"/>
    <s v="Structural"/>
    <s v="Completed"/>
    <n v="2013"/>
    <s v="Banana River Lagoon"/>
    <s v="Not provided"/>
    <s v="Not provided"/>
    <s v="Not provided"/>
  </r>
  <r>
    <n v="2389"/>
    <s v="Brevard County"/>
    <s v="N/A"/>
    <s v="BC-14"/>
    <s v="Education Efforts"/>
    <s v="FYN; landscape, irrigation, fertilizer, and pet waste ordinances; public service announcements (PSAs); pamphlets; website; Illicit Discharge Program."/>
    <s v="Education Efforts"/>
    <x v="0"/>
    <s v="N/A"/>
    <n v="3854"/>
    <n v="825"/>
    <s v="B"/>
    <s v="N/A"/>
    <s v="Not provided"/>
    <s v="Not provided"/>
    <s v="N/A"/>
    <s v="N/A"/>
    <s v="N/A"/>
    <s v="Non-structural"/>
    <s v="Ongoing"/>
    <n v="2013"/>
    <s v="Banana River Lagoon"/>
    <s v="N/A"/>
    <s v="N/A"/>
    <s v="Not provided"/>
  </r>
  <r>
    <n v="2398"/>
    <s v="Brevard County"/>
    <s v="N/A"/>
    <s v="BC-15"/>
    <s v="Street Sweeping"/>
    <s v="Street sweeping on 786 miles eight times per year."/>
    <s v="Street Sweeping"/>
    <x v="0"/>
    <s v="N/A"/>
    <n v="525"/>
    <n v="336"/>
    <s v="A"/>
    <s v="N/A"/>
    <s v="N/A"/>
    <n v="50000"/>
    <s v="N/A"/>
    <s v="N/A"/>
    <s v="N/A"/>
    <s v="Non-structural"/>
    <s v="Ongoing"/>
    <n v="2013"/>
    <s v="Banana River Lagoon"/>
    <s v="N/A"/>
    <s v="N/A"/>
    <s v="Not provided"/>
  </r>
  <r>
    <n v="2399"/>
    <s v="Brevard County"/>
    <s v="DEP"/>
    <s v="BC-16"/>
    <s v="Fortenberry Pond"/>
    <s v="22.3 Acre Regional Stormwater Detention Pond designed to accommodate water quality treatment for pre-existing development as well as for future build-out of commercial properties through the purchase of stormwater credits."/>
    <s v="Wet Detention Pond"/>
    <x v="0"/>
    <n v="2015"/>
    <n v="847"/>
    <n v="364.6"/>
    <s v="B"/>
    <n v="164.5"/>
    <n v="10900000"/>
    <n v="35000"/>
    <s v="DEP TMDL"/>
    <s v="DEP TMDL - $340,533"/>
    <s v="S0646"/>
    <s v="Structural"/>
    <s v="Completed"/>
    <n v="2013"/>
    <s v="Banana River Lagoon"/>
    <s v="Not provided"/>
    <s v="Not provided"/>
    <s v="Not provided"/>
  </r>
  <r>
    <n v="2400"/>
    <s v="Brevard County"/>
    <s v="DEP"/>
    <s v="BC-17"/>
    <s v="Merritt Island Airport Pond"/>
    <s v="Redirection of run-off from a drainage basin with no treatment through a swale and to a pond that was expanded to provide water quality."/>
    <s v="Wet Detention Pond"/>
    <x v="0"/>
    <n v="2013"/>
    <n v="458"/>
    <n v="160"/>
    <s v="B"/>
    <n v="148.19999999999999"/>
    <n v="652056"/>
    <s v="Not provided"/>
    <s v="DEP"/>
    <s v="DEP - $652,056"/>
    <s v="S0439"/>
    <s v="Structural"/>
    <s v="Completed"/>
    <n v="2013"/>
    <s v="Banana River Lagoon"/>
    <s v="Not provided"/>
    <s v="Not provided"/>
    <s v="Not provided"/>
  </r>
  <r>
    <n v="2542"/>
    <s v="Brevard County"/>
    <s v="Not provided"/>
    <s v="BC-18"/>
    <s v="Florida Boulevard"/>
    <s v="Installation of floating vegetation islands to remove nitrogen from an existing wet detention pond."/>
    <s v="Floating Islands/ Managed Aquatic Plant Systems (MAPS)"/>
    <x v="0"/>
    <n v="2013"/>
    <n v="117"/>
    <n v="14.3"/>
    <s v="B"/>
    <n v="73.599999999999994"/>
    <n v="40772"/>
    <n v="18295"/>
    <s v="Not provided"/>
    <n v="40772"/>
    <s v="Not provided"/>
    <s v="Structural"/>
    <s v="Completed"/>
    <n v="2013"/>
    <s v="Banana River Lagoon"/>
    <s v="Not provided"/>
    <s v="Not provided"/>
    <s v="Not provided"/>
  </r>
  <r>
    <m/>
    <s v="City of Indian Harbour Beach"/>
    <s v="TBD"/>
    <s v="IHB-37"/>
    <s v="Gleason Park Irrigation Phase 3"/>
    <s v="Expansion of irrigation in Gleason Park to cover SE area of park."/>
    <s v="Reclaimed Water"/>
    <x v="0"/>
    <n v="2019"/>
    <s v="TBD"/>
    <s v="TBD"/>
    <s v="B"/>
    <n v="129"/>
    <n v="12000"/>
    <s v="Not provided"/>
    <s v="City of IHB Stormwater Utility"/>
    <s v="N/A"/>
    <s v="N/A"/>
    <s v="Structural"/>
    <s v="Completed"/>
    <n v="2019"/>
    <s v="Banana River Lagoon"/>
    <s v="Not provided"/>
    <s v="Not provided"/>
    <s v="Not provided"/>
  </r>
  <r>
    <m/>
    <s v="Brevard County"/>
    <s v="MIRA/ SJRWMD/ SOIRL/ DEP"/>
    <s v="BC-44"/>
    <s v="MIRA Phase 2 Septic to Sewer (S. Tropical Tr.)"/>
    <s v="Connect 80 commercial properties to sewer."/>
    <s v="OSTDS Phase Out"/>
    <x v="0"/>
    <n v="2020"/>
    <s v="TBD"/>
    <s v="N/A"/>
    <s v="B"/>
    <s v="N/A"/>
    <s v="Not provided"/>
    <s v="Not provided"/>
    <s v="SJRWMD/ SOIRL/ DEP"/>
    <s v="Not provided"/>
    <n v="28731"/>
    <s v="Structural"/>
    <s v="Completed"/>
    <n v="2019"/>
    <s v="Banana River Lagoon"/>
    <s v="Not provided"/>
    <s v="Not provided"/>
    <s v="Not provided"/>
  </r>
  <r>
    <m/>
    <s v="Brevard County"/>
    <s v="SOIRL/ Brevard Zoo"/>
    <s v="BC-45"/>
    <s v="Bettinger Oyster Bar"/>
    <s v="Construct 120-linear foot oyster bar."/>
    <s v="Creating/ Enhancing Oyster Reefs"/>
    <x v="0"/>
    <n v="2019"/>
    <s v="TBD"/>
    <s v="TBD"/>
    <s v="B"/>
    <s v="Not provided"/>
    <n v="101680"/>
    <s v="Not provided"/>
    <s v="Not provided"/>
    <n v="10680"/>
    <s v="N/A"/>
    <s v="Structural"/>
    <s v="Completed"/>
    <n v="2019"/>
    <s v="Banana River Lagoon"/>
    <s v="Not provided"/>
    <s v="Not provided"/>
    <s v="Not provided"/>
  </r>
  <r>
    <m/>
    <s v="Brevard County"/>
    <s v="SOIRL/ Brevard Zoo"/>
    <s v="BC-46"/>
    <s v="Gitlin Oyster Bar"/>
    <s v="Construct 180 linear foot oyster reef."/>
    <s v="Creating/ Enhancing Oyster Reefs"/>
    <x v="0"/>
    <n v="2019"/>
    <s v="TBD"/>
    <s v="TBD"/>
    <s v="B"/>
    <s v="Not provided"/>
    <n v="16020"/>
    <s v="Not provided"/>
    <s v="SOIRL"/>
    <n v="16020"/>
    <s v="N/A"/>
    <s v="Structural"/>
    <s v="Completed"/>
    <n v="2019"/>
    <s v="Banana River Lagoon"/>
    <s v="Not provided"/>
    <s v="Not provided"/>
    <s v="Not provided"/>
  </r>
  <r>
    <m/>
    <s v="Brevard County"/>
    <s v="SOIRL/ Brevard Zoo"/>
    <s v="BC-47"/>
    <s v="Marina Isles Oyster Restoration"/>
    <s v="Construct 1500 linear foot oyster reef."/>
    <s v="Creating/ Enhancing Oyster Reefs"/>
    <x v="0"/>
    <n v="2019"/>
    <s v="TBD"/>
    <s v="TBD"/>
    <s v="B"/>
    <s v="Not provided"/>
    <n v="26700"/>
    <s v="Not provided"/>
    <s v="SOIRL"/>
    <n v="26700"/>
    <s v="N/A"/>
    <s v="Structural"/>
    <s v="Completed"/>
    <n v="2019"/>
    <s v="Banana River Lagoon"/>
    <s v="Not provided"/>
    <s v="Not provided"/>
    <s v="Not provided"/>
  </r>
  <r>
    <m/>
    <s v="Brevard County"/>
    <s v="SOIRL/ MRC"/>
    <s v="BC-48"/>
    <s v="Cocoa Beach Living Shoreline"/>
    <s v="Plant 200 mangroves and 1000 spartina along shoreline of Cocoa Beach Country Club."/>
    <s v="Creating/ Enhancing Living Shoreline"/>
    <x v="0"/>
    <n v="2018"/>
    <s v="TBD"/>
    <s v="TBD"/>
    <s v="B"/>
    <s v="Not provided"/>
    <n v="16080"/>
    <s v="Not provided"/>
    <s v="SOIRL"/>
    <n v="16080"/>
    <s v="N/A"/>
    <s v="Structural"/>
    <s v="Completed"/>
    <n v="2019"/>
    <s v="Banana River Lagoon"/>
    <s v="Not provided"/>
    <s v="Not provided"/>
    <s v="Not provided"/>
  </r>
  <r>
    <m/>
    <s v="Brevard County"/>
    <s v="SOIRL/ Cocoa Beach"/>
    <s v="BC-49"/>
    <s v="Cocoa Beach Muck Dredging Phase III"/>
    <s v="Remove 300,000 cubic yards of muck."/>
    <s v="Muck Removal/Restoration Dredging"/>
    <x v="0"/>
    <n v="2019"/>
    <s v="TBD"/>
    <s v="TBD"/>
    <s v="B"/>
    <s v="Not provided"/>
    <n v="2236566"/>
    <s v="Not provided"/>
    <s v="SOIRL/ DEP/ SJRWMD"/>
    <s v="Not provided"/>
    <s v="N/A"/>
    <s v="Non-structural"/>
    <s v="Completed"/>
    <n v="2019"/>
    <s v="Banana River Lagoon"/>
    <s v="Not provided"/>
    <s v="Not provided"/>
    <s v="Not provided"/>
  </r>
  <r>
    <m/>
    <s v="Brevard County"/>
    <s v="SOIRL"/>
    <s v="BC-50"/>
    <s v="Education Efforts"/>
    <s v="Fertilizer, grass clippings, and septic system maintenance."/>
    <s v="Education Efforts"/>
    <x v="2"/>
    <n v="2027"/>
    <s v="TBD"/>
    <s v="TBD"/>
    <s v="A"/>
    <s v="N/A"/>
    <n v="375000"/>
    <s v="Not provided"/>
    <s v="SOIRL"/>
    <n v="375000"/>
    <s v="N/A"/>
    <s v="Non-structural"/>
    <s v="Underway"/>
    <n v="2019"/>
    <s v="Banana River Lagoon"/>
    <s v="Not provided"/>
    <s v="Not provided"/>
    <s v="Not provided"/>
  </r>
  <r>
    <m/>
    <s v="Brevard County"/>
    <s v="SOIRL"/>
    <s v="BC-50a"/>
    <s v="Education Efforts"/>
    <s v="Fertilizer, grass clippings, and septic system maintenance."/>
    <s v="Education Efforts"/>
    <x v="2"/>
    <n v="2027"/>
    <s v="TBD"/>
    <s v="TBD"/>
    <s v="B"/>
    <s v="N/A"/>
    <n v="375000"/>
    <s v="Not provided"/>
    <s v="SOIRL"/>
    <n v="375000"/>
    <s v="N/A"/>
    <s v="Non-structural"/>
    <s v="Underway"/>
    <n v="2019"/>
    <s v="Banana River Lagoon"/>
    <s v="Not provided"/>
    <s v="Not provided"/>
    <s v="Not provided"/>
  </r>
  <r>
    <m/>
    <s v="Brevard County"/>
    <s v="DEP"/>
    <s v="BC-51"/>
    <s v="Andrix Blvd. - BB#973"/>
    <s v="Biosorption Activated Media installed within existing Merritt Island drainage ditch system to remove nitrogen from groundwater baseflow."/>
    <s v="Biosorption Activated Media (BAM)"/>
    <x v="0"/>
    <n v="2019"/>
    <s v="TBD"/>
    <s v="TBD"/>
    <s v="B"/>
    <s v="Not provided"/>
    <n v="55000"/>
    <n v="1500"/>
    <s v="Legislative Funding"/>
    <n v="35000"/>
    <s v="LP0511A"/>
    <s v="Structural"/>
    <s v="Completed"/>
    <n v="2019"/>
    <s v="Banana River Lagoon"/>
    <s v="Not provided"/>
    <s v="Not provided"/>
    <s v="Not provided"/>
  </r>
  <r>
    <m/>
    <s v="Brevard County"/>
    <s v="MIRA/ SJRWMD/ SOIRL/ DEP"/>
    <s v="BC-52"/>
    <s v="MIRA Phase 2 Bioswale Treatment Train (Merritt Ridge Pond)"/>
    <s v="Modification of existing wet pond to include bioswale with BAM."/>
    <s v="BMP Treatment Train"/>
    <x v="0"/>
    <n v="2019"/>
    <s v="TBD"/>
    <s v="TBD"/>
    <s v="B"/>
    <n v="210"/>
    <s v="Not provided"/>
    <s v="Not provided"/>
    <s v="Not provided"/>
    <s v="Not provided"/>
    <n v="28731"/>
    <s v="Structural"/>
    <s v="Completed"/>
    <n v="2019"/>
    <s v="Banana River Lagoon"/>
    <s v="Not provided"/>
    <s v="Not provided"/>
    <s v="Not provided"/>
  </r>
  <r>
    <m/>
    <s v="Brevard County"/>
    <s v="MIRA/ SJRWMD/ SOIRL/ DEP"/>
    <s v="BC-53"/>
    <s v="MIRA Phase 3 Septic to Sewer (Cone Rd)"/>
    <s v="Connect 30+ commercial properties to sewer."/>
    <s v="OSTDS Phase Out"/>
    <x v="2"/>
    <n v="2020"/>
    <s v="TBD"/>
    <s v="TBD"/>
    <s v="B"/>
    <s v="N/A"/>
    <s v="Not provided"/>
    <s v="Not provided"/>
    <s v="Not provided"/>
    <s v="Not provided"/>
    <n v="28731"/>
    <s v="Structural"/>
    <s v="Underway"/>
    <n v="2019"/>
    <s v="Banana River Lagoon"/>
    <s v="Not provided"/>
    <s v="Not provided"/>
    <s v="Not provided"/>
  </r>
  <r>
    <m/>
    <s v="Brevard County"/>
    <s v="SOIRL"/>
    <s v="BC-54"/>
    <s v="Grass Clippings Campaign Phase 1"/>
    <s v="Marketing and surveying."/>
    <s v="Education Efforts"/>
    <x v="0"/>
    <n v="2019"/>
    <s v="TBD"/>
    <s v="TBD"/>
    <s v="A"/>
    <s v="N/A"/>
    <n v="6666.66"/>
    <s v="N/A"/>
    <s v="SOIRL"/>
    <n v="20000"/>
    <s v="N/A"/>
    <s v="Non-structural"/>
    <s v="Completed"/>
    <n v="2019"/>
    <s v="Banana River Lagoon"/>
    <s v="Not provided"/>
    <s v="Not provided"/>
    <s v="Not provided"/>
  </r>
  <r>
    <m/>
    <s v="Brevard County"/>
    <s v="SOIRL"/>
    <s v="BC-54a"/>
    <s v="Grass Clippings Campaign Phase 1"/>
    <s v="Marketing and surveying."/>
    <s v="Education Efforts"/>
    <x v="0"/>
    <n v="2020"/>
    <s v="TBD"/>
    <s v="TBD"/>
    <s v="B"/>
    <s v="N/A"/>
    <n v="6667.66"/>
    <s v="N/A"/>
    <s v="SOIRL"/>
    <n v="20001"/>
    <s v="N/A"/>
    <s v="Non-structural"/>
    <s v="Completed"/>
    <n v="2019"/>
    <s v="Banana River Lagoon"/>
    <s v="Not provided"/>
    <s v="Not provided"/>
    <s v="Not provided"/>
  </r>
  <r>
    <m/>
    <s v="City of Cape Canaveral"/>
    <s v="N/A"/>
    <s v="CC-41"/>
    <s v="Carbon (Micro C) Feed System Installation"/>
    <s v="WWTF Effluent Polishing System."/>
    <s v="WWTF Upgrade"/>
    <x v="2"/>
    <n v="2021"/>
    <s v="TBD"/>
    <s v="TBD"/>
    <s v="B"/>
    <s v="N/A"/>
    <s v="TBD"/>
    <s v="TBD"/>
    <s v="City"/>
    <s v="TBD"/>
    <s v="N/A"/>
    <s v="Structural"/>
    <s v="Underway"/>
    <n v="2019"/>
    <s v="Banana River Lagoon"/>
    <n v="28.392531999999999"/>
    <n v="80.617655999999997"/>
    <s v="Not provided"/>
  </r>
  <r>
    <s v="2878"/>
    <s v="Patrick Air Force Base"/>
    <s v="Not provided"/>
    <s v="PAFB-01"/>
    <s v="Youth Center Bldg. 3656"/>
    <s v="Added on-line retention."/>
    <s v="On-line Retention BMPs"/>
    <x v="0"/>
    <n v="2013"/>
    <n v="3"/>
    <n v="0.9"/>
    <s v="B"/>
    <n v="1.7"/>
    <s v="Not provided"/>
    <s v="Not provided"/>
    <s v="Not provided"/>
    <s v="Not provided"/>
    <s v="N/A"/>
    <s v="Structural"/>
    <s v="Completed"/>
    <n v="2013"/>
    <s v="Banana River Lagoon"/>
    <s v="Not provided"/>
    <s v="Not provided"/>
    <s v="Not provided"/>
  </r>
  <r>
    <s v="2877"/>
    <s v="Patrick Air Force Base"/>
    <s v="Not provided"/>
    <s v="PAFB-02"/>
    <s v="Building 543 Replace Main Gate"/>
    <s v="Added on-line retention."/>
    <s v="On-line Retention BMPs"/>
    <x v="0"/>
    <n v="2013"/>
    <n v="0"/>
    <n v="0.1"/>
    <s v="B"/>
    <n v="0.2"/>
    <s v="Not provided"/>
    <s v="Not provided"/>
    <s v="Not provided"/>
    <s v="Not provided"/>
    <s v="N/A"/>
    <s v="Structural"/>
    <s v="Completed"/>
    <n v="2013"/>
    <s v="Banana River Lagoon"/>
    <s v="Not provided"/>
    <s v="Not provided"/>
    <s v="Not provided"/>
  </r>
  <r>
    <s v="2876"/>
    <s v="Patrick Air Force Base"/>
    <s v="USACE"/>
    <s v="PAFB-03"/>
    <s v="Basin 6B No Discharge"/>
    <s v="No discharge."/>
    <s v="100% On-site Retention"/>
    <x v="0"/>
    <s v="Prior to 2013"/>
    <n v="46"/>
    <n v="12.5"/>
    <s v="B"/>
    <n v="3.2"/>
    <s v="Not provided"/>
    <s v="Not provided"/>
    <s v="USAF"/>
    <s v="Not provided"/>
    <s v="N/A"/>
    <s v="Non-structural"/>
    <s v="Completed"/>
    <n v="2013"/>
    <s v="Banana River Lagoon"/>
    <s v="28o14'16.93&quot; N"/>
    <s v="80o36'17.54&quot; W"/>
    <s v="Not provided"/>
  </r>
  <r>
    <s v="2899"/>
    <s v="Patrick Air Force Base"/>
    <s v="USACE"/>
    <s v="PAFB-04"/>
    <s v="Basin 6C No Discharge"/>
    <s v="No discharge."/>
    <s v="100% On-site Retention"/>
    <x v="0"/>
    <s v="Prior to 2013"/>
    <n v="164"/>
    <n v="43.5"/>
    <s v="B"/>
    <n v="11.3"/>
    <s v="Not provided"/>
    <s v="Not provided"/>
    <s v="USAF"/>
    <s v="Not provided"/>
    <s v="N/A"/>
    <s v="Non-structural"/>
    <s v="Completed"/>
    <n v="2013"/>
    <s v="Banana River Lagoon"/>
    <s v="28o14'16.93&quot; N"/>
    <s v="80o36'17.54&quot; W"/>
    <s v="Not provided"/>
  </r>
  <r>
    <s v="2881"/>
    <s v="Patrick Air Force Base"/>
    <s v="Not provided"/>
    <s v="PAFB-05"/>
    <s v="Education Efforts"/>
    <s v="In addition to no fertilizer use on base, 212 personnel/ residents received initial stormwater awareness training in the monthly newcomers meetings; additional 347 personnel received stormwater awareness using the ESOHTN website or in-person training; 204 Illicit Discharge Detection and Elimination (IDDE) informational brochures were distributed to residents, businesses and base personnel in 2017. Two stormwater-related articles were published for distribution through the base newpaper and website in 2017."/>
    <s v="Enhanced Public Education"/>
    <x v="0"/>
    <s v="N/A"/>
    <n v="367"/>
    <n v="97"/>
    <s v="B"/>
    <s v="N/A"/>
    <s v="Not provided"/>
    <s v="Not provided"/>
    <s v="USAF"/>
    <s v="Not provided"/>
    <s v="N/A"/>
    <s v="Non-structural"/>
    <s v="Ongoing"/>
    <n v="2013"/>
    <s v="Banana River Lagoon"/>
    <s v="N/A"/>
    <s v="N/A"/>
    <s v="Not provided"/>
  </r>
  <r>
    <s v="2883"/>
    <s v="Patrick Air Force Base"/>
    <s v="Not provided"/>
    <s v="PAFB-06"/>
    <s v="Golf Course Pond Stormwater Reuse"/>
    <s v="Golf course pond stormwater reuse for irrigation."/>
    <s v="Stormwater Reuse"/>
    <x v="0"/>
    <n v="2013"/>
    <n v="3677"/>
    <n v="969.9"/>
    <s v="B"/>
    <n v="348.9"/>
    <n v="850000"/>
    <s v="Not provided"/>
    <s v="USAF"/>
    <n v="850000"/>
    <s v="N/A"/>
    <s v="Structural"/>
    <s v="Completed"/>
    <n v="2013"/>
    <s v="Banana River Lagoon"/>
    <s v="Not provided"/>
    <s v="Not provided"/>
    <s v="Not provided"/>
  </r>
  <r>
    <s v="2908"/>
    <s v="Patrick Air Force Base"/>
    <s v="Not provided"/>
    <s v="PAFB-07"/>
    <s v="Street Sweeping"/>
    <s v="Removed 8.5 tons of sediment and disposed of it at a landfill."/>
    <s v="Street Sweeping"/>
    <x v="0"/>
    <s v="N/A"/>
    <n v="11"/>
    <n v="7"/>
    <s v="B"/>
    <n v="14705"/>
    <s v="Not provided"/>
    <n v="119000"/>
    <s v="USAF"/>
    <s v="Not provided"/>
    <s v="N/A"/>
    <s v="Non-structural"/>
    <s v="Completed"/>
    <n v="2016"/>
    <s v="Banana River Lagoon"/>
    <s v="N/A"/>
    <s v="N/A"/>
    <s v="2016"/>
  </r>
  <r>
    <s v="2907"/>
    <s v="Patrick Air Force Base"/>
    <s v="Not provided"/>
    <s v="PAFB-08"/>
    <s v="Demo AFTEC Bldg."/>
    <s v="Demolition/ loss of impervious area."/>
    <s v="Land use change"/>
    <x v="0"/>
    <s v="N/A"/>
    <n v="0"/>
    <n v="12.84"/>
    <s v="B"/>
    <s v="Not provided"/>
    <s v="N/A"/>
    <s v="N/A"/>
    <s v="N/A"/>
    <s v="N/A"/>
    <s v="N/A"/>
    <s v="Non-structural"/>
    <s v="Completed"/>
    <n v="2016"/>
    <s v="Banana River Lagoon"/>
    <s v="Not provided"/>
    <s v="Not provided"/>
    <s v="Not provided"/>
  </r>
  <r>
    <s v="2906"/>
    <s v="Patrick Air Force Base"/>
    <s v="Not provided"/>
    <s v="PAFB-09"/>
    <s v="Fuel Farm Baffle Box"/>
    <s v="PAFB 2nd generation baffle box located north of the Fuel Farm - Subbasins 13A and 13B."/>
    <s v="Baffle Boxes- Second Generation"/>
    <x v="0"/>
    <n v="2016"/>
    <n v="228"/>
    <n v="43"/>
    <s v="B"/>
    <s v="Not provided"/>
    <s v="Not provided"/>
    <s v="Not provided"/>
    <s v="USAF"/>
    <s v="Not provided"/>
    <s v="N/A"/>
    <s v="Structural"/>
    <s v="Completed"/>
    <n v="2016"/>
    <s v="Banana River Lagoon"/>
    <s v="Not provided"/>
    <s v="Not provided"/>
    <s v="Not provided"/>
  </r>
  <r>
    <s v="2905"/>
    <s v="Patrick Air Force Base"/>
    <s v="Not provided"/>
    <s v="PAFB-10"/>
    <s v="South Patrick Drive Baffle Box"/>
    <s v="No longer a PAFB project."/>
    <s v="Baffle Boxes- Second Generation"/>
    <x v="1"/>
    <s v="N/A"/>
    <s v="N/A"/>
    <s v="N/A"/>
    <s v="N/A"/>
    <s v="N/A"/>
    <s v="N/A"/>
    <s v="N/A"/>
    <s v="N/A"/>
    <s v="N/A"/>
    <s v="N/A"/>
    <s v="Structural"/>
    <s v="Underway"/>
    <n v="2016"/>
    <s v="Banana River Lagoon"/>
    <s v="N/A"/>
    <s v="N/A"/>
    <s v="N/A"/>
  </r>
  <r>
    <s v="2904"/>
    <s v="Patrick Air Force Base"/>
    <s v="Not provided"/>
    <s v="PAFB-11"/>
    <s v="Canal/ Basin Clean Out"/>
    <s v="170 inlets/ pipes/ swales/ ponds were inspected and 89 maintenance operations of stormwater systems were performed in 2017."/>
    <s v="On-line Retention BMPs"/>
    <x v="0"/>
    <n v="2017"/>
    <n v="71"/>
    <n v="29"/>
    <s v="B"/>
    <s v="N/A"/>
    <n v="134500"/>
    <n v="134500"/>
    <s v="USAF"/>
    <n v="134500"/>
    <s v="N/A"/>
    <s v="Structural"/>
    <s v="Completed"/>
    <n v="2016"/>
    <s v="Banana River Lagoon"/>
    <s v="N/A"/>
    <s v="N/A"/>
    <s v="2017"/>
  </r>
  <r>
    <s v="2903"/>
    <s v="Patrick Air Force Base"/>
    <s v="USACE"/>
    <s v="PAFB-12"/>
    <s v="Ponds Without Discharge"/>
    <s v="Documenting no discharge from existing retention ponds. Subbasins 11A, 18A, and 18B."/>
    <s v="Impoundment"/>
    <x v="0"/>
    <n v="2017"/>
    <n v="424"/>
    <n v="52"/>
    <s v="B"/>
    <n v="87"/>
    <s v="Not provided"/>
    <s v="Not provided"/>
    <s v="USAF"/>
    <s v="Not provided"/>
    <s v="N/A"/>
    <s v="Structural"/>
    <s v="Completed"/>
    <n v="2016"/>
    <s v="Banana River Lagoon"/>
    <s v="28o15'12.62&quot; N"/>
    <s v="80o36'14.73&quot; W"/>
    <s v="Not provided"/>
  </r>
  <r>
    <s v="2902"/>
    <s v="Patrick Air Force Base"/>
    <s v="USACE"/>
    <s v="PAFB-13"/>
    <s v="Dry Detention Ponds after 2000"/>
    <s v="Documenting treatment from existing completed ERP projects that were not included in the PLSM model."/>
    <s v="Dry Detention Pond"/>
    <x v="0"/>
    <n v="2016"/>
    <n v="195"/>
    <n v="45"/>
    <s v="B"/>
    <n v="144.23684280000001"/>
    <s v="Not provided"/>
    <s v="Not provided"/>
    <s v="USAF"/>
    <s v="Not provided"/>
    <s v="N/A"/>
    <s v="Structural"/>
    <s v="Completed"/>
    <n v="2016"/>
    <s v="Banana River Lagoon"/>
    <s v="Not provided"/>
    <s v="Not provided"/>
    <s v="Not provided"/>
  </r>
  <r>
    <s v="2892"/>
    <s v="Patrick Air Force Base"/>
    <s v="USACE"/>
    <s v="PAFB-14"/>
    <s v="Golf Course MAPS Install"/>
    <s v="Install 4 MAPS at the golf course within the retention ponds."/>
    <s v="Floating Islands/ Managed Aquatic Plant Systems (MAPS)"/>
    <x v="2"/>
    <n v="2018"/>
    <s v="TBD"/>
    <s v="TBD"/>
    <s v="B"/>
    <n v="3"/>
    <s v="Not provided"/>
    <n v="2000"/>
    <s v="USAF"/>
    <s v="Not provided"/>
    <s v="N/A"/>
    <s v="Structural"/>
    <s v="Not provided"/>
    <n v="2017"/>
    <s v="Banana River Lagoon"/>
    <s v="28o12'53.08&quot; N"/>
    <s v="80o36'36.47&quot; W"/>
    <s v="2017"/>
  </r>
  <r>
    <s v="2900"/>
    <s v="Patrick Air Force Base"/>
    <s v="USACE"/>
    <s v="PAFB-15"/>
    <s v="TMDL Monitoring and Data Collection"/>
    <s v="Collected stormwater and baseflow nutrient concentrations and rainfall data from 5 monitoring stations; collected baseflow and stormwater runoff flow volume data and groundwater elevation data from 9 monitoring stations."/>
    <s v="Monitoring/Data Collection"/>
    <x v="0"/>
    <n v="2018"/>
    <s v="N/A"/>
    <s v="N/A"/>
    <s v="B"/>
    <s v="N/A"/>
    <n v="1850000"/>
    <n v="370000"/>
    <s v="USAF"/>
    <n v="1850000"/>
    <s v="N/A"/>
    <s v="Non-structural"/>
    <s v="Not provided"/>
    <n v="2017"/>
    <s v="Banana River Lagoon"/>
    <s v="N/A"/>
    <s v="N/A"/>
    <s v="2011"/>
  </r>
  <r>
    <s v="2909"/>
    <s v="Patrick Air Force Base"/>
    <s v="FEMA/ Installation Restoration Program (IRP)/  U.S. Air Force Civil Engineering Center (AFCEC)"/>
    <s v="PAFB-16"/>
    <s v="Shoreline Stabilization Projects"/>
    <s v="6 Projects:_x000a_West of Runway 11: 490 LF of riprap, 780 LF of marsh sill barrier (living shoreline), and planting native marsh grasses between the existing shoreline and breakwater._x000a_Eastern Portion of Landfill No. 5 along Survival Canal: 2,570 LF of riprap, 256 LF of living shoreline, and plantings of native species in the upland areas._x000a_North Housing: repair and supplement existing rock rip-rap with the installation of 20 marsh sills_x000a_Fuel Farm to Runway 11: repair and supplement existing rock rip-rap with the installation of 17 marsh sills_x000a_FamCamp: supplement existing open sand areas with the installation of 26 marsh sills_x000a_Airfield: install 280 feet of new rock rip-rap, supplemental sand placement along the shoreline, fill 0.58 acre of shoreline, and installation of 56 marsh sills"/>
    <s v="Shoreline Stabilization"/>
    <x v="2"/>
    <n v="2019"/>
    <s v="TBD"/>
    <s v="TBD"/>
    <s v="B"/>
    <n v="249"/>
    <n v="11676000"/>
    <s v="TBD"/>
    <s v="USAF/ Air Force Environmental Restoration Account (AFERA)"/>
    <n v="11676000"/>
    <s v="N/A"/>
    <s v="Structural"/>
    <s v="Not provided"/>
    <n v="2017"/>
    <s v="Banana River Lagoon"/>
    <s v="N/A"/>
    <s v="N/A"/>
    <s v="2017"/>
  </r>
  <r>
    <s v="2898"/>
    <s v="Patrick Air Force Base"/>
    <s v="Not provided"/>
    <s v="PAFB-17"/>
    <s v="Public Education"/>
    <s v="Six outreach events were held: Annual Spring Beach Cleanup; PAFB Riverside Cleanup; Earth Day Memorial Tree Planting; Earth Day Outreach at the BX; Space Wing Family Day; and PAFB Fall Beach Cleanup._x000a_"/>
    <s v="Enhanced Public Education"/>
    <x v="0"/>
    <n v="2017"/>
    <s v="N/A"/>
    <s v="N/A"/>
    <s v="B"/>
    <s v="N/A"/>
    <s v="Not provided"/>
    <s v="N/A"/>
    <s v="USAF"/>
    <s v="Not provided"/>
    <s v="N/A"/>
    <s v="Non-structural"/>
    <s v="Not provided"/>
    <n v="2017"/>
    <s v="Banana River Lagoon"/>
    <s v="N/A"/>
    <s v="N/A"/>
    <n v="2017"/>
  </r>
  <r>
    <s v="2897"/>
    <s v="Patrick Air Force Base"/>
    <s v="Not provided"/>
    <s v="PAFB-18"/>
    <s v="Manatee Cove Marina entrance Dredging Project"/>
    <s v="Removed 2,500 cubic yards of sand from the Manatee Cove Marina entrance."/>
    <s v="Muck Removal/Restoration Dredging"/>
    <x v="0"/>
    <n v="2017"/>
    <s v="TBD"/>
    <s v="TBD"/>
    <s v="B"/>
    <s v="N/A"/>
    <s v="Not provided"/>
    <s v="Not provided"/>
    <s v="USAF"/>
    <s v="TBD"/>
    <s v="N/A"/>
    <s v="Non-structural"/>
    <s v="Not provided"/>
    <n v="2017"/>
    <s v="Banana River Lagoon"/>
    <s v="28o12'49.28&quot; N"/>
    <s v="80o37'00.42&quot; W"/>
    <n v="2017"/>
  </r>
  <r>
    <s v="2896"/>
    <s v="Patrick Air Force Base"/>
    <s v="N/A"/>
    <s v="PAFB-19"/>
    <s v="Wetlands as Filters"/>
    <s v="Jurisdictional wetlands consist of four canals that directly connect to the Banana River totaling 35.7 surface acres."/>
    <s v="Natural Wetlands as Filters"/>
    <x v="1"/>
    <s v="N/A"/>
    <s v="N/A"/>
    <s v="N/A"/>
    <s v="B"/>
    <s v="TBD"/>
    <s v="N/A"/>
    <s v="N/A"/>
    <s v="N/A"/>
    <s v="N/A"/>
    <s v="N/A"/>
    <s v="Non-structural"/>
    <s v="Not provided"/>
    <n v="2017"/>
    <s v="Banana River Lagoon"/>
    <s v="N/A"/>
    <s v="N/A"/>
    <s v="TBD"/>
  </r>
  <r>
    <m/>
    <m/>
    <m/>
    <m/>
    <m/>
    <m/>
    <m/>
    <x v="4"/>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8">
  <r>
    <n v="2541"/>
  </r>
  <r>
    <n v="2540"/>
  </r>
  <r>
    <n v="2539"/>
  </r>
  <r>
    <n v="2538"/>
  </r>
  <r>
    <n v="2570"/>
  </r>
  <r>
    <n v="2546"/>
  </r>
  <r>
    <n v="2548"/>
  </r>
  <r>
    <n v="2582"/>
  </r>
  <r>
    <n v="2581"/>
  </r>
  <r>
    <n v="2580"/>
  </r>
  <r>
    <n v="2579"/>
  </r>
  <r>
    <n v="2578"/>
  </r>
  <r>
    <n v="2577"/>
  </r>
  <r>
    <n v="2576"/>
  </r>
  <r>
    <n v="4328"/>
  </r>
  <r>
    <n v="4329"/>
  </r>
  <r>
    <n v="4330"/>
  </r>
  <r>
    <n v="4331"/>
  </r>
  <r>
    <n v="4332"/>
  </r>
  <r>
    <n v="4333"/>
  </r>
  <r>
    <n v="4334"/>
  </r>
  <r>
    <n v="4335"/>
  </r>
  <r>
    <n v="4336"/>
  </r>
  <r>
    <n v="4337"/>
  </r>
  <r>
    <n v="4338"/>
  </r>
  <r>
    <n v="2575"/>
  </r>
  <r>
    <n v="2574"/>
  </r>
  <r>
    <n v="2583"/>
  </r>
  <r>
    <n v="2569"/>
  </r>
  <r>
    <n v="2401"/>
  </r>
  <r>
    <n v="2406"/>
  </r>
  <r>
    <n v="2474"/>
  </r>
  <r>
    <n v="2461"/>
  </r>
  <r>
    <n v="2462"/>
  </r>
  <r>
    <n v="2463"/>
  </r>
  <r>
    <n v="4348"/>
  </r>
  <r>
    <n v="4349"/>
  </r>
  <r>
    <n v="2464"/>
  </r>
  <r>
    <n v="2465"/>
  </r>
  <r>
    <n v="2466"/>
  </r>
  <r>
    <n v="2467"/>
  </r>
  <r>
    <n v="2468"/>
  </r>
  <r>
    <n v="2469"/>
  </r>
  <r>
    <n v="2470"/>
  </r>
  <r>
    <n v="2471"/>
  </r>
  <r>
    <n v="2487"/>
  </r>
  <r>
    <n v="2473"/>
  </r>
  <r>
    <n v="2610"/>
  </r>
  <r>
    <n v="2438"/>
  </r>
  <r>
    <n v="2437"/>
  </r>
  <r>
    <n v="2436"/>
  </r>
  <r>
    <n v="2405"/>
  </r>
  <r>
    <n v="2435"/>
  </r>
  <r>
    <n v="2433"/>
  </r>
  <r>
    <n v="2434"/>
  </r>
  <r>
    <n v="2472"/>
  </r>
  <r>
    <n v="2444"/>
  </r>
  <r>
    <n v="2446"/>
  </r>
  <r>
    <n v="2486"/>
  </r>
  <r>
    <n v="2485"/>
  </r>
  <r>
    <n v="2484"/>
  </r>
  <r>
    <n v="2483"/>
  </r>
  <r>
    <n v="2482"/>
  </r>
  <r>
    <n v="2481"/>
  </r>
  <r>
    <n v="2480"/>
  </r>
  <r>
    <n v="2479"/>
  </r>
  <r>
    <n v="2478"/>
  </r>
  <r>
    <n v="2477"/>
  </r>
  <r>
    <n v="2476"/>
  </r>
  <r>
    <n v="4340"/>
  </r>
  <r>
    <n v="4341"/>
  </r>
  <r>
    <n v="4342"/>
  </r>
  <r>
    <n v="4343"/>
  </r>
  <r>
    <n v="4344"/>
  </r>
  <r>
    <n v="4345"/>
  </r>
  <r>
    <n v="4346"/>
  </r>
  <r>
    <n v="4347"/>
  </r>
  <r>
    <n v="2475"/>
  </r>
  <r>
    <n v="2460"/>
  </r>
  <r>
    <n v="2571"/>
  </r>
  <r>
    <n v="2560"/>
  </r>
  <r>
    <n v="2573"/>
  </r>
  <r>
    <n v="2549"/>
  </r>
  <r>
    <n v="2550"/>
  </r>
  <r>
    <n v="2551"/>
  </r>
  <r>
    <n v="2552"/>
  </r>
  <r>
    <n v="2557"/>
  </r>
  <r>
    <n v="2592"/>
  </r>
  <r>
    <n v="2558"/>
  </r>
  <r>
    <n v="2556"/>
  </r>
  <r>
    <n v="2555"/>
  </r>
  <r>
    <n v="2554"/>
  </r>
  <r>
    <n v="2553"/>
  </r>
  <r>
    <n v="2568"/>
  </r>
  <r>
    <n v="2567"/>
  </r>
  <r>
    <n v="2566"/>
  </r>
  <r>
    <n v="2565"/>
  </r>
  <r>
    <n v="2564"/>
  </r>
  <r>
    <n v="2563"/>
  </r>
  <r>
    <n v="2562"/>
  </r>
  <r>
    <n v="2561"/>
  </r>
  <r>
    <n v="2524"/>
  </r>
  <r>
    <n v="2489"/>
  </r>
  <r>
    <n v="2537"/>
  </r>
  <r>
    <n v="2509"/>
  </r>
  <r>
    <n v="2508"/>
  </r>
  <r>
    <n v="2507"/>
  </r>
  <r>
    <n v="2506"/>
  </r>
  <r>
    <n v="2505"/>
  </r>
  <r>
    <n v="2504"/>
  </r>
  <r>
    <n v="2503"/>
  </r>
  <r>
    <n v="2502"/>
  </r>
  <r>
    <n v="2501"/>
  </r>
  <r>
    <n v="2488"/>
  </r>
  <r>
    <n v="2499"/>
  </r>
  <r>
    <n v="2511"/>
  </r>
  <r>
    <n v="2497"/>
  </r>
  <r>
    <n v="4339"/>
  </r>
  <r>
    <n v="2496"/>
  </r>
  <r>
    <n v="2495"/>
  </r>
  <r>
    <n v="2494"/>
  </r>
  <r>
    <n v="2493"/>
  </r>
  <r>
    <n v="2492"/>
  </r>
  <r>
    <n v="2491"/>
  </r>
  <r>
    <n v="2490"/>
  </r>
  <r>
    <n v="2522"/>
  </r>
  <r>
    <n v="2498"/>
  </r>
  <r>
    <n v="2500"/>
  </r>
  <r>
    <n v="2534"/>
  </r>
  <r>
    <n v="2533"/>
  </r>
  <r>
    <n v="2532"/>
  </r>
  <r>
    <n v="2531"/>
  </r>
  <r>
    <n v="2530"/>
  </r>
  <r>
    <n v="2529"/>
  </r>
  <r>
    <n v="2528"/>
  </r>
  <r>
    <n v="2527"/>
  </r>
  <r>
    <n v="2526"/>
  </r>
  <r>
    <n v="2525"/>
  </r>
  <r>
    <n v="2512"/>
  </r>
  <r>
    <n v="2523"/>
  </r>
  <r>
    <n v="2535"/>
  </r>
  <r>
    <n v="2521"/>
  </r>
  <r>
    <n v="2520"/>
  </r>
  <r>
    <n v="2519"/>
  </r>
  <r>
    <n v="2518"/>
  </r>
  <r>
    <n v="2517"/>
  </r>
  <r>
    <n v="2516"/>
  </r>
  <r>
    <n v="2515"/>
  </r>
  <r>
    <n v="2514"/>
  </r>
  <r>
    <n v="2606"/>
  </r>
  <r>
    <n v="2510"/>
  </r>
  <r>
    <n v="2572"/>
  </r>
  <r>
    <n v="2654"/>
  </r>
  <r>
    <n v="2653"/>
  </r>
  <r>
    <n v="2652"/>
  </r>
  <r>
    <n v="2651"/>
  </r>
  <r>
    <n v="2637"/>
  </r>
  <r>
    <n v="2636"/>
  </r>
  <r>
    <n v="2635"/>
  </r>
  <r>
    <n v="2634"/>
  </r>
  <r>
    <n v="2666"/>
  </r>
  <r>
    <n v="2642"/>
  </r>
  <r>
    <n v="2644"/>
  </r>
  <r>
    <n v="2678"/>
  </r>
  <r>
    <n v="2677"/>
  </r>
  <r>
    <n v="2676"/>
  </r>
  <r>
    <n v="2675"/>
  </r>
  <r>
    <n v="2674"/>
  </r>
  <r>
    <n v="2673"/>
  </r>
  <r>
    <n v="2672"/>
  </r>
  <r>
    <n v="2671"/>
  </r>
  <r>
    <n v="2670"/>
  </r>
  <r>
    <n v="2669"/>
  </r>
  <r>
    <n v="2656"/>
  </r>
  <r>
    <n v="2614"/>
  </r>
  <r>
    <n v="2613"/>
  </r>
  <r>
    <n v="2612"/>
  </r>
  <r>
    <n v="2611"/>
  </r>
  <r>
    <n v="2439"/>
  </r>
  <r>
    <n v="2440"/>
  </r>
  <r>
    <n v="2441"/>
  </r>
  <r>
    <n v="2442"/>
  </r>
  <r>
    <n v="2443"/>
  </r>
  <r>
    <n v="2459"/>
  </r>
  <r>
    <n v="2445"/>
  </r>
  <r>
    <n v="2432"/>
  </r>
  <r>
    <n v="2447"/>
  </r>
  <r>
    <n v="2448"/>
  </r>
  <r>
    <n v="2449"/>
  </r>
  <r>
    <n v="2450"/>
  </r>
  <r>
    <n v="2451"/>
  </r>
  <r>
    <n v="2452"/>
  </r>
  <r>
    <n v="2453"/>
  </r>
  <r>
    <n v="2454"/>
  </r>
  <r>
    <n v="2455"/>
  </r>
  <r>
    <n v="2456"/>
  </r>
  <r>
    <n v="2390"/>
  </r>
  <r>
    <n v="4350"/>
  </r>
  <r>
    <n v="4351"/>
  </r>
  <r>
    <n v="4352"/>
  </r>
  <r>
    <n v="4353"/>
  </r>
  <r>
    <n v="4354"/>
  </r>
  <r>
    <n v="4355"/>
  </r>
  <r>
    <n v="4356"/>
  </r>
  <r>
    <n v="4357"/>
  </r>
  <r>
    <n v="4358"/>
  </r>
  <r>
    <n v="4359"/>
  </r>
  <r>
    <n v="4360"/>
  </r>
  <r>
    <n v="4361"/>
  </r>
  <r>
    <n v="4362"/>
  </r>
  <r>
    <n v="4363"/>
  </r>
  <r>
    <n v="4364"/>
  </r>
  <r>
    <n v="2391"/>
  </r>
  <r>
    <n v="2392"/>
  </r>
  <r>
    <n v="2395"/>
  </r>
  <r>
    <n v="2418"/>
  </r>
  <r>
    <n v="2430"/>
  </r>
  <r>
    <n v="2429"/>
  </r>
  <r>
    <n v="2427"/>
  </r>
  <r>
    <n v="2425"/>
  </r>
  <r>
    <n v="2424"/>
  </r>
  <r>
    <n v="2416"/>
  </r>
  <r>
    <n v="2423"/>
  </r>
  <r>
    <n v="2397"/>
  </r>
  <r>
    <n v="2422"/>
  </r>
  <r>
    <n v="2421"/>
  </r>
  <r>
    <n v="2420"/>
  </r>
  <r>
    <n v="2419"/>
  </r>
  <r>
    <n v="2403"/>
  </r>
  <r>
    <n v="2417"/>
  </r>
  <r>
    <n v="2431"/>
  </r>
  <r>
    <n v="2415"/>
  </r>
  <r>
    <n v="2414"/>
  </r>
  <r>
    <n v="2413"/>
  </r>
  <r>
    <n v="2412"/>
  </r>
  <r>
    <n v="2411"/>
  </r>
  <r>
    <n v="2410"/>
  </r>
  <r>
    <n v="2409"/>
  </r>
  <r>
    <n v="2408"/>
  </r>
  <r>
    <n v="2407"/>
  </r>
  <r>
    <n v="2404"/>
  </r>
  <r>
    <n v="2426"/>
  </r>
  <r>
    <n v="2609"/>
  </r>
  <r>
    <n v="2728"/>
  </r>
  <r>
    <n v="2890"/>
  </r>
  <r>
    <n v="2889"/>
  </r>
  <r>
    <n v="2888"/>
  </r>
  <r>
    <n v="2887"/>
  </r>
  <r>
    <n v="2886"/>
  </r>
  <r>
    <n v="2885"/>
  </r>
  <r>
    <n v="2884"/>
  </r>
  <r>
    <n v="2874"/>
  </r>
  <r>
    <n v="2882"/>
  </r>
  <r>
    <n v="2891"/>
  </r>
  <r>
    <n v="2880"/>
  </r>
  <r>
    <n v="2879"/>
  </r>
  <r>
    <n v="2536"/>
  </r>
  <r>
    <n v="2547"/>
  </r>
  <r>
    <n v="2559"/>
  </r>
  <r>
    <n v="2545"/>
  </r>
  <r>
    <n v="2544"/>
  </r>
  <r>
    <n v="2543"/>
  </r>
  <r>
    <n v="2789"/>
  </r>
  <r>
    <n v="2457"/>
  </r>
  <r>
    <n v="2428"/>
  </r>
  <r>
    <n v="2393"/>
  </r>
  <r>
    <n v="2394"/>
  </r>
  <r>
    <n v="2402"/>
  </r>
  <r>
    <n v="2396"/>
  </r>
  <r>
    <n v="2389"/>
  </r>
  <r>
    <n v="2398"/>
  </r>
  <r>
    <n v="2399"/>
  </r>
  <r>
    <n v="2400"/>
  </r>
  <r>
    <n v="2542"/>
  </r>
  <r>
    <n v="5145"/>
  </r>
  <r>
    <n v="5146"/>
  </r>
  <r>
    <n v="5147"/>
  </r>
  <r>
    <n v="5148"/>
  </r>
  <r>
    <n v="5149"/>
  </r>
  <r>
    <n v="5150"/>
  </r>
  <r>
    <n v="5151"/>
  </r>
  <r>
    <n v="5152"/>
  </r>
  <r>
    <n v="5153"/>
  </r>
  <r>
    <n v="5154"/>
  </r>
  <r>
    <n v="5155"/>
  </r>
  <r>
    <n v="5156"/>
  </r>
  <r>
    <n v="5157"/>
  </r>
  <r>
    <n v="5158"/>
  </r>
  <r>
    <n v="5159"/>
  </r>
  <r>
    <n v="2878"/>
  </r>
  <r>
    <n v="2877"/>
  </r>
  <r>
    <n v="2876"/>
  </r>
  <r>
    <n v="2899"/>
  </r>
  <r>
    <n v="2881"/>
  </r>
  <r>
    <n v="2883"/>
  </r>
  <r>
    <n v="2908"/>
  </r>
  <r>
    <n v="2907"/>
  </r>
  <r>
    <n v="2906"/>
  </r>
  <r>
    <n v="2905"/>
  </r>
  <r>
    <n v="2904"/>
  </r>
  <r>
    <n v="2903"/>
  </r>
  <r>
    <n v="2902"/>
  </r>
  <r>
    <n v="2892"/>
  </r>
  <r>
    <n v="2900"/>
  </r>
  <r>
    <n v="2909"/>
  </r>
  <r>
    <n v="2898"/>
  </r>
  <r>
    <n v="2897"/>
  </r>
  <r>
    <n v="2896"/>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8">
  <r>
    <n v="2541"/>
    <s v="Brevard County"/>
    <s v="DEP"/>
    <s v="BC-19"/>
    <s v="Third Ave Baffle Box"/>
    <s v="Upgrading a 1st generation baffle box to a 2nd generatrion baffle box by adding the nutrient separating screen."/>
    <s v="Baffle Boxes- First Generation (hydrodynamic separator)"/>
    <x v="0"/>
    <x v="0"/>
    <n v="93"/>
    <n v="10"/>
    <x v="0"/>
    <n v="53.1"/>
    <n v="31452"/>
    <s v="Not provided"/>
    <s v="DEP"/>
    <s v="DEP - $31,452"/>
    <s v="S0648"/>
    <s v="Structural"/>
    <s v="Completed"/>
    <n v="2013"/>
    <s v="Banana River Lagoon"/>
    <s v="Not provided"/>
    <s v="Not provided"/>
    <s v="Not provided"/>
  </r>
  <r>
    <n v="2540"/>
    <s v="Brevard County"/>
    <s v="Not provided"/>
    <s v="BC-20"/>
    <s v="Bes Management Practice (BMP) Cleanout"/>
    <s v="Cleaning out the BMP such as baffle boxes, inlet baskets, and sediment basins."/>
    <s v="BMP Cleanout"/>
    <x v="0"/>
    <x v="1"/>
    <n v="1"/>
    <n v="1"/>
    <x v="0"/>
    <s v="N/A"/>
    <n v="95069"/>
    <n v="55300"/>
    <s v="N/A"/>
    <n v="95069"/>
    <s v="N/A"/>
    <s v="Non-structural"/>
    <s v="Ongoing"/>
    <n v="2013"/>
    <s v="Banana River Lagoon"/>
    <s v="Not provided"/>
    <s v="Not provided"/>
    <s v="Not provided"/>
  </r>
  <r>
    <n v="2539"/>
    <s v="Brevard County"/>
    <s v="DEP"/>
    <s v="BC-21"/>
    <s v="Fourth Place Baffle Box"/>
    <s v="Upgrading a 1st generation to a 2nd generatrion baffle box by adding the nutrient separating screen."/>
    <s v="Baffle Boxes- First Generation (hydrodynamic separator)"/>
    <x v="0"/>
    <x v="0"/>
    <n v="146"/>
    <n v="25.7"/>
    <x v="0"/>
    <n v="57"/>
    <n v="34037"/>
    <s v="Not provided"/>
    <s v="DEP"/>
    <s v="DEP - $34,037"/>
    <s v="S0648"/>
    <s v="Structural"/>
    <s v="Completed"/>
    <n v="2013"/>
    <s v="Banana River Lagoon"/>
    <s v="Not provided"/>
    <s v="Not provided"/>
    <s v="Not provided"/>
  </r>
  <r>
    <n v="2538"/>
    <s v="Brevard County"/>
    <s v="DEP"/>
    <s v="BC-22"/>
    <s v="Thrush 405 Baffle Box"/>
    <s v="Upgrading a 1st generation to a 2nd generatrion baffle box by adding the nutrient separating screen."/>
    <s v="Baffle Boxes- First Generation (hydrodynamic separator)"/>
    <x v="0"/>
    <x v="0"/>
    <n v="7"/>
    <n v="0.7"/>
    <x v="0"/>
    <n v="4.3"/>
    <n v="12507"/>
    <s v="Not provided"/>
    <s v="DEP"/>
    <s v="DEP - $12,507"/>
    <s v="S0648"/>
    <s v="Structural"/>
    <s v="Completed"/>
    <n v="2013"/>
    <s v="Banana River Lagoon"/>
    <s v="Not provided"/>
    <s v="Not provided"/>
    <s v="Not provided"/>
  </r>
  <r>
    <n v="2570"/>
    <s v="Brevard County"/>
    <s v="Not provided"/>
    <s v="BC-23"/>
    <s v="Fortenberry Pond MAPS"/>
    <s v="Installation of floating vegetation islands to remove nitrogen from an existing wet detention pond."/>
    <s v="Floating Islands/ Managed Aquatic Plant Systems (MAPS)"/>
    <x v="1"/>
    <x v="1"/>
    <s v="N/A"/>
    <s v="N/A"/>
    <x v="1"/>
    <s v="N/A"/>
    <s v="N/A"/>
    <s v="N/A"/>
    <s v="N/A"/>
    <s v="N/A"/>
    <s v="N/A"/>
    <s v="Structural"/>
    <s v="Canceled"/>
    <n v="2013"/>
    <s v="Banana River Lagoon"/>
    <s v="N/A"/>
    <s v="N/A"/>
    <s v="N/A"/>
  </r>
  <r>
    <n v="2546"/>
    <s v="Brevard County"/>
    <s v="DEP"/>
    <s v="BC-24"/>
    <s v="Merritt Ridge Pond 3A"/>
    <s v="Installation of floating vegetation islands to remove nitrogen from an existing wet detention pond."/>
    <s v="Floating Islands/ Managed Aquatic Plant Systems (MAPS)"/>
    <x v="0"/>
    <x v="2"/>
    <n v="210"/>
    <n v="48.7"/>
    <x v="0"/>
    <n v="84.4"/>
    <n v="114914"/>
    <n v="25091"/>
    <s v="DEP"/>
    <s v="DEP - $114,914"/>
    <s v="G0430"/>
    <s v="Structural"/>
    <s v="Funded"/>
    <n v="2013"/>
    <s v="Banana River Lagoon"/>
    <s v="Not provided"/>
    <s v="Not provided"/>
    <s v="Not provided"/>
  </r>
  <r>
    <n v="2548"/>
    <s v="Brevard County"/>
    <s v="Satellite Beach"/>
    <s v="BC-25"/>
    <s v="Cassia Phase 3"/>
    <s v="Landscape buffer/ drainage swale along the adjoining roadway. Improvements include the construction of a dry detention area within  an existing ditch and construction of roadside swales in the location of the existing bike/ pedestrian lane."/>
    <s v="On-line Retention BMPs"/>
    <x v="0"/>
    <x v="3"/>
    <n v="100"/>
    <n v="0"/>
    <x v="0"/>
    <n v="18.399999999999999"/>
    <n v="100000"/>
    <s v="Not provided"/>
    <s v="DEP/ Satellite Beach/ Brevard County"/>
    <s v="Not provided"/>
    <s v="N/A"/>
    <s v="Structural"/>
    <s v="Completed"/>
    <n v="2013"/>
    <s v="Banana River Lagoon"/>
    <s v="Not provided"/>
    <s v="Not provided"/>
    <s v="Not provided"/>
  </r>
  <r>
    <n v="2582"/>
    <s v="Brevard County"/>
    <s v="SJRWMD"/>
    <s v="BC-26"/>
    <s v="South Patrick Drive Baffle Box"/>
    <s v="2nd generation baffle box with denitrification bioreactor."/>
    <s v="Baffle Boxes- Second Generation"/>
    <x v="0"/>
    <x v="4"/>
    <n v="132"/>
    <n v="16.899999999999999"/>
    <x v="0"/>
    <n v="73.900000000000006"/>
    <n v="320256"/>
    <n v="2100"/>
    <s v="SJRWMD/ DEP"/>
    <s v="SJRWMD - $57,750/ DEP - $136,000"/>
    <s v="LP05111"/>
    <s v="Structural"/>
    <s v="Funded"/>
    <n v="2013"/>
    <s v="Banana River Lagoon"/>
    <s v="Not provided"/>
    <s v="Not provided"/>
    <s v="Not provided"/>
  </r>
  <r>
    <n v="2581"/>
    <s v="Brevard County"/>
    <s v="Not provided"/>
    <s v="BC-27"/>
    <s v="Kelly Park Reuse"/>
    <s v="Not provided."/>
    <s v="Stormwater Reuse"/>
    <x v="0"/>
    <x v="3"/>
    <n v="19"/>
    <n v="1.3"/>
    <x v="0"/>
    <n v="32.9"/>
    <s v="Not provided"/>
    <s v="Not provided"/>
    <s v="Not provided"/>
    <s v="Not provided"/>
    <s v="N/A"/>
    <s v="Structural"/>
    <s v="Completed"/>
    <n v="2013"/>
    <s v="Banana River Lagoon"/>
    <s v="Not provided"/>
    <s v="Not provided"/>
    <s v="Not provided"/>
  </r>
  <r>
    <n v="2580"/>
    <s v="Brevard County"/>
    <s v="Not provided"/>
    <s v="BC-28"/>
    <s v="Patrick Air Force Base Golf Course Pond Stormwater Reuse"/>
    <s v="Conversion of a retention pond into a reusue pond to irrigate the golf course."/>
    <s v="Stormwater Reuse"/>
    <x v="0"/>
    <x v="5"/>
    <n v="359.1"/>
    <n v="0"/>
    <x v="0"/>
    <n v="88.331207629214006"/>
    <s v="Not provided"/>
    <s v="Not provided"/>
    <s v="Not provided"/>
    <s v="Not provided"/>
    <s v="N/A"/>
    <s v="Structural"/>
    <s v="Planned, Not Funded"/>
    <n v="2013"/>
    <s v="Banana River Lagoon"/>
    <s v="Not provided"/>
    <s v="Not provided"/>
    <s v="Not provided"/>
  </r>
  <r>
    <n v="2579"/>
    <s v="City of Cocoa Beach"/>
    <s v="DEP"/>
    <s v="BC-29"/>
    <s v="Ocean Boulevard"/>
    <s v="Upgrading a 1st generation to a 2nd generatrion baffle box by adding the nutrient separating screen."/>
    <s v="Baffle Boxes- First Generation (hydrodynamic separator)"/>
    <x v="0"/>
    <x v="0"/>
    <n v="10"/>
    <n v="1.4"/>
    <x v="0"/>
    <n v="6"/>
    <n v="12507"/>
    <n v="2000"/>
    <s v="DEP"/>
    <s v="DEP - $12,507"/>
    <s v="S0648"/>
    <s v="Structural"/>
    <s v="Completed"/>
    <n v="2014"/>
    <s v="Banana River Lagoon"/>
    <s v="Not provided"/>
    <s v="Not provided"/>
    <s v="Not provided"/>
  </r>
  <r>
    <n v="2578"/>
    <s v="Brevard County"/>
    <s v="N/A"/>
    <s v="BC-30"/>
    <s v="Street Sweeping"/>
    <s v="Monthly street sweeping."/>
    <s v="Street Sweeping"/>
    <x v="0"/>
    <x v="1"/>
    <n v="0"/>
    <n v="0"/>
    <x v="2"/>
    <s v="N/A"/>
    <s v="N/A"/>
    <n v="47064"/>
    <s v="N/A"/>
    <s v="N/A"/>
    <s v="N/A"/>
    <s v="Non-structural"/>
    <s v="Started"/>
    <n v="2015"/>
    <s v="Banana River Lagoon"/>
    <s v="N/A"/>
    <s v="N/A"/>
    <s v="Not provided"/>
  </r>
  <r>
    <n v="2577"/>
    <s v="Brevard County"/>
    <s v="Not provided"/>
    <s v="BC-31"/>
    <s v="BMP Cleanout"/>
    <s v="Quarterly baffle box/ sediment trap cleaning."/>
    <s v="BMP Cleanout"/>
    <x v="0"/>
    <x v="1"/>
    <n v="0"/>
    <n v="0"/>
    <x v="2"/>
    <s v="N/A"/>
    <s v="N/A"/>
    <n v="52000"/>
    <s v="N/A"/>
    <s v="N/A"/>
    <s v="N/A"/>
    <s v="Non-structural"/>
    <s v="Started"/>
    <n v="2015"/>
    <s v="Banana River Lagoon"/>
    <s v="N/A"/>
    <s v="N/A"/>
    <s v="Not provided"/>
  </r>
  <r>
    <n v="2576"/>
    <s v="Brevard County"/>
    <s v="DEP"/>
    <s v="BC-32"/>
    <s v="Cocoa Beach Canal Dredging"/>
    <s v="Muck removal of 84,000 cubic yards of material."/>
    <s v="Muck Removal/Restoration Dredging"/>
    <x v="0"/>
    <x v="4"/>
    <n v="0"/>
    <n v="0"/>
    <x v="0"/>
    <s v="Not provided"/>
    <n v="20000000"/>
    <s v="Not provided"/>
    <s v="DEP"/>
    <s v="DEP - $10,000,000"/>
    <s v="S0714"/>
    <s v="Non-structural"/>
    <s v="Completed"/>
    <n v="2017"/>
    <s v="Banana River Lagoon"/>
    <s v="Not provided"/>
    <s v="Not provided"/>
    <s v="Not provided"/>
  </r>
  <r>
    <n v="4328"/>
    <s v="City of Cape Canaveral"/>
    <s v="Cape Canaveral/ Save Our Indian River Lagoon (SOIRL)"/>
    <s v="BC-33"/>
    <s v="Central Blvd Baffle Box"/>
    <s v="2nd generation baffle box, SOIRL-13."/>
    <s v="Baffle Boxes- Second Generation"/>
    <x v="0"/>
    <x v="4"/>
    <s v="TBD"/>
    <s v="TBD"/>
    <x v="0"/>
    <n v="213.4"/>
    <n v="41700"/>
    <n v="41700"/>
    <s v="SOIRL/ DEP"/>
    <n v="34700"/>
    <s v="NF025"/>
    <s v="Structural"/>
    <s v="Completed"/>
    <n v="2018"/>
    <s v="Banana River Lagoon"/>
    <s v="Not provided"/>
    <s v="Not provided"/>
    <s v="Not provided"/>
  </r>
  <r>
    <n v="4329"/>
    <s v="City of Indian Harbour Beach"/>
    <s v="Save Our Indian River Lagoon"/>
    <s v="BC-34"/>
    <s v="Gleason Park Reuse"/>
    <s v="Increasing reuse from an existing facility, SOIRL-16."/>
    <s v="Stormwater Reuse"/>
    <x v="0"/>
    <x v="4"/>
    <s v="TBD"/>
    <s v="TBD"/>
    <x v="0"/>
    <n v="128.9"/>
    <n v="11000"/>
    <s v="Not provided"/>
    <s v="SOIRL"/>
    <n v="4224"/>
    <s v="N/A"/>
    <s v="Structural"/>
    <s v="Completed"/>
    <n v="2018"/>
    <s v="Banana River Lagoon"/>
    <s v="Not provided"/>
    <s v="Not provided"/>
    <s v="Not provided"/>
  </r>
  <r>
    <n v="4330"/>
    <s v="Brevard County"/>
    <s v="All Cities"/>
    <s v="BC-35"/>
    <s v="Education Efforts"/>
    <s v="Fertilizer video, rainbarrel workshops, Facebook page, bus wrap, and billboard."/>
    <s v="Education Efforts"/>
    <x v="2"/>
    <x v="1"/>
    <s v="N/A"/>
    <s v="N/A"/>
    <x v="0"/>
    <s v="N/A"/>
    <s v="N/A"/>
    <n v="42000"/>
    <s v="N/A"/>
    <s v="N/A"/>
    <s v="N/A"/>
    <s v="Non-structural"/>
    <s v="Underway"/>
    <n v="2018"/>
    <s v="Banana River Lagoon"/>
    <s v="Not provided"/>
    <s v="Not provided"/>
    <s v="Not provided"/>
  </r>
  <r>
    <n v="4331"/>
    <s v="Brevard County"/>
    <s v="N/A"/>
    <s v="BC-36"/>
    <s v="Merritt Island Airport"/>
    <s v="Two wet detention ponds (80-acres &amp; 23 acres) with gravity flow and pump station."/>
    <s v="Wet Detention Pond"/>
    <x v="0"/>
    <x v="6"/>
    <n v="458"/>
    <n v="160"/>
    <x v="0"/>
    <n v="184.2"/>
    <n v="672464.37"/>
    <s v="N/A"/>
    <s v="DEP TMDL"/>
    <s v="DEP TMDL - $307,333.86"/>
    <s v="S0439"/>
    <s v="Structural"/>
    <s v="Completed"/>
    <n v="2018"/>
    <s v="Banana River Lagoon"/>
    <s v="Not provided"/>
    <s v="Not provided"/>
    <s v="Not provided"/>
  </r>
  <r>
    <n v="4332"/>
    <s v="Brevard County"/>
    <s v="DEP"/>
    <s v="BC-37"/>
    <s v="Artemis Blvd. - BB #979"/>
    <s v="Biosorption Activated Media installed within existing Merritt Island drainage ditch system to remove nitrogen from groundwater baseflow with phosphorus removal media."/>
    <s v="Biosorption Activated Media (BAM)"/>
    <x v="0"/>
    <x v="7"/>
    <s v="TBD"/>
    <s v="TBD"/>
    <x v="0"/>
    <n v="789"/>
    <n v="150000"/>
    <n v="2500"/>
    <s v="Legislative Funding"/>
    <s v="Legislative Funding - $35,000"/>
    <s v="LP0511A"/>
    <s v="Structural"/>
    <s v="Underway"/>
    <n v="2018"/>
    <s v="Banana River Lagoon"/>
    <s v="Not provided"/>
    <s v="Not provided"/>
    <s v="Not provided"/>
  </r>
  <r>
    <n v="4333"/>
    <s v="Brevard County"/>
    <s v="DEP"/>
    <s v="BC-38"/>
    <s v="Oceana Drive - BB#997A"/>
    <s v="Biosorption Activated Media installed within existing Merritt Island drainage ditch system to remove nitrogen from groundwater baseflow."/>
    <s v="Biosorption Activated Media (BAM)"/>
    <x v="0"/>
    <x v="7"/>
    <s v="TBD"/>
    <s v="TBD"/>
    <x v="0"/>
    <n v="68"/>
    <n v="50000"/>
    <n v="1000"/>
    <s v="Legislative Funding"/>
    <s v="Legislative Funding - $35,000"/>
    <s v="LP0511A"/>
    <s v="Structural"/>
    <s v="Underway"/>
    <n v="2018"/>
    <s v="Banana River Lagoon"/>
    <s v="Not provided"/>
    <s v="Not provided"/>
    <s v="Not provided"/>
  </r>
  <r>
    <n v="4334"/>
    <s v="Brevard County"/>
    <s v="DEP"/>
    <s v="BC-39"/>
    <s v="Georgiana Drive - BB#997C"/>
    <s v="Biosorption Activated Media installed within existing Merritt Island drainage ditch system to remove nitrogen from groundwater baseflow."/>
    <s v="Biosorption Activated Media (BAM)"/>
    <x v="0"/>
    <x v="7"/>
    <s v="TBD"/>
    <s v="TBD"/>
    <x v="0"/>
    <n v="68"/>
    <n v="50000"/>
    <n v="1000"/>
    <s v="Legislative Funding"/>
    <s v="Legislative Funding - $35,000"/>
    <s v="LP0511A"/>
    <s v="Structural"/>
    <s v="Underway"/>
    <n v="2018"/>
    <s v="Banana River Lagoon"/>
    <s v="Not provided"/>
    <s v="Not provided"/>
    <s v="Not provided"/>
  </r>
  <r>
    <n v="4335"/>
    <s v="Brevard County"/>
    <s v="DEP"/>
    <s v="BC-40"/>
    <s v="Savannah Drive - BB#997B"/>
    <s v="Biosorption Activated Media installed within existing Merritt Island drainage ditch system to remove nitrogen from groundwater baseflow."/>
    <s v="Biosorption Activated Media (BAM)"/>
    <x v="0"/>
    <x v="7"/>
    <s v="TBD"/>
    <s v="TBD"/>
    <x v="0"/>
    <n v="68"/>
    <n v="50000"/>
    <n v="1000"/>
    <s v="Legislative Funding"/>
    <s v="Legislative Funding - $35,000"/>
    <s v="LP0511A"/>
    <s v="Structural"/>
    <s v="Underway"/>
    <n v="2018"/>
    <s v="Banana River Lagoon"/>
    <s v="Not provided"/>
    <s v="Not provided"/>
    <s v="Not provided"/>
  </r>
  <r>
    <n v="4336"/>
    <s v="Brevard County"/>
    <s v="DEP"/>
    <s v="BC-41"/>
    <s v="Needle Blvd. - BB #998"/>
    <s v="Biosorption Activated Media installed within existing Merritt Island drainage ditch system to remove nitrogen from groundwater baseflow."/>
    <s v="Biosorption Activated Media (BAM)"/>
    <x v="0"/>
    <x v="7"/>
    <s v="TBD"/>
    <s v="TBD"/>
    <x v="0"/>
    <n v="273"/>
    <n v="55000"/>
    <n v="1000"/>
    <s v="Legislative Funding"/>
    <s v="Legislative Funding - $35,000"/>
    <s v="LP0511A"/>
    <s v="Structural"/>
    <s v="Underway"/>
    <n v="2018"/>
    <s v="Banana River Lagoon"/>
    <s v="Not provided"/>
    <s v="Not provided"/>
    <s v="Not provided"/>
  </r>
  <r>
    <n v="4337"/>
    <s v="Brevard County"/>
    <s v="N/A"/>
    <s v="BC-42"/>
    <s v="Piney Woods  BB #1066"/>
    <s v="Biosorption Activated Media installed within existing Merritt Island drainage ditch system to remove nitrogen from baseflow."/>
    <s v="Biosorption Activated Media (BAM)"/>
    <x v="1"/>
    <x v="1"/>
    <s v="N/A"/>
    <s v="N/A"/>
    <x v="0"/>
    <s v="N/A"/>
    <s v="N/A"/>
    <s v="N/A"/>
    <s v="N/A"/>
    <s v="N/A"/>
    <s v="N/A"/>
    <s v="Structural"/>
    <s v="Underway"/>
    <n v="2018"/>
    <s v="Banana River Lagoon"/>
    <s v="Not provided"/>
    <s v="Not provided"/>
    <s v="Not provided"/>
  </r>
  <r>
    <n v="4338"/>
    <s v="Brevard County"/>
    <s v="DEP/ SOIRL"/>
    <s v="BC-43"/>
    <s v="Seagull Drive Pond Pond BAM Train BB#1304 (D-4)"/>
    <s v="Media will be installed along side slope of existing pond and will include solar panels."/>
    <s v="BMP Treatment Train"/>
    <x v="2"/>
    <x v="8"/>
    <s v="TBD"/>
    <s v="TBD"/>
    <x v="1"/>
    <s v="Not provided"/>
    <n v="96000"/>
    <s v="Not provided"/>
    <s v="LF/ SOIRL"/>
    <n v="125000"/>
    <s v="LP0511A"/>
    <s v="Structural"/>
    <s v="Underway"/>
    <n v="2018"/>
    <s v="Banana River Lagoon"/>
    <s v="Not provided"/>
    <s v="Not provided"/>
    <s v="Not provided"/>
  </r>
  <r>
    <n v="2575"/>
    <s v="Cape Canaveral Air Force Station"/>
    <s v="N/A"/>
    <s v="CCAFS-01"/>
    <s v="Nonuse of Fertilizer/ Fertilizer Ordinance"/>
    <s v="No fertilizer is used at station."/>
    <s v="Education Efforts"/>
    <x v="0"/>
    <x v="1"/>
    <n v="377"/>
    <n v="107.9"/>
    <x v="2"/>
    <s v="N/A"/>
    <s v="N/A"/>
    <s v="N/A"/>
    <s v="U.S. Air Force (USAF)"/>
    <s v="N/A"/>
    <s v="N/A"/>
    <s v="Non-structural"/>
    <s v="Ongoing"/>
    <n v="2013"/>
    <s v="Banana River Lagoon"/>
    <s v="N/A"/>
    <s v="N/A"/>
    <s v="Not provided"/>
  </r>
  <r>
    <n v="2574"/>
    <s v="Cape Canaveral Air Force Station"/>
    <s v="N/A"/>
    <s v="CCAFS-02"/>
    <s v="Street Sweeping"/>
    <s v="Removed 24.03 tons of sediment and disposed of it at a landfill."/>
    <s v="Street Sweeping"/>
    <x v="0"/>
    <x v="1"/>
    <n v="27"/>
    <n v="17"/>
    <x v="2"/>
    <s v="N/A"/>
    <s v="Not provided"/>
    <n v="715"/>
    <s v="USAF"/>
    <s v="Not provided"/>
    <s v="N/A"/>
    <s v="Non-structural"/>
    <s v="Ongoing"/>
    <n v="2013"/>
    <s v="Banana River Lagoon"/>
    <s v="N/A"/>
    <s v="N/A"/>
    <s v="Not provided"/>
  </r>
  <r>
    <n v="2583"/>
    <s v="Cape Canaveral Air Force Station"/>
    <s v="N/A"/>
    <s v="CCAFS-03"/>
    <s v="Dry Detention Ponds after 2000"/>
    <s v="Identified 36 ERPs that were not included in the PLSM model that provide treatment."/>
    <s v="Dry Detention Pond"/>
    <x v="0"/>
    <x v="1"/>
    <n v="70"/>
    <n v="14"/>
    <x v="2"/>
    <n v="477"/>
    <s v="N/A"/>
    <n v="12000"/>
    <s v="USAF"/>
    <s v="N/A"/>
    <s v="N/A"/>
    <s v="Structural"/>
    <s v="Completed"/>
    <n v="2016"/>
    <s v="Banana River Lagoon"/>
    <s v="N/A"/>
    <s v="N/A"/>
    <s v="N/A"/>
  </r>
  <r>
    <n v="2569"/>
    <s v="Cape Canaveral Air Force Station"/>
    <s v="N/A"/>
    <s v="CCAFS-04"/>
    <s v="Online Wet Retention Ponds after 2000"/>
    <s v="Providing 3.187 inches of additional treatment within 5 ERP drainage basins that were not included in the PLSM model."/>
    <s v="On-line Retention BMPs"/>
    <x v="0"/>
    <x v="1"/>
    <n v="319"/>
    <n v="115"/>
    <x v="2"/>
    <n v="157"/>
    <s v="N/A"/>
    <n v="2000"/>
    <s v="USAF"/>
    <s v="N/A"/>
    <s v="N/A"/>
    <s v="Structural"/>
    <s v="Completed"/>
    <n v="2016"/>
    <s v="Banana River Lagoon"/>
    <s v="N/A"/>
    <s v="N/A"/>
    <s v="N/A"/>
  </r>
  <r>
    <n v="2401"/>
    <s v="Cape Canaveral Air Force Station"/>
    <s v="N/A"/>
    <s v="CCAFS-05"/>
    <s v="TMDL Monitoring and Data Collection"/>
    <s v="Collected stormwater and baseflow nutrient concentrations and rainfall data at 3 monitoring stations; collected baseflow and stormwater runoff flow volume data and groundwater elevation data at 6 monitoring stations."/>
    <s v="Monitoring/Data Collection"/>
    <x v="0"/>
    <x v="9"/>
    <s v="N/A"/>
    <s v="N/A"/>
    <x v="2"/>
    <s v="N/A"/>
    <n v="1850000"/>
    <n v="370000"/>
    <s v="USAF"/>
    <s v="USAF - $1,850,000"/>
    <s v="N/A"/>
    <s v="Non-structural"/>
    <s v="Ongoing"/>
    <n v="2017"/>
    <s v="Banana River Lagoon"/>
    <s v="N/A"/>
    <s v="N/A"/>
    <n v="2011"/>
  </r>
  <r>
    <n v="2406"/>
    <s v="Cape Canaveral Air Force Station"/>
    <s v="N/A"/>
    <s v="CCAFS-06"/>
    <s v="WWTF Upgrade Feasibility Study"/>
    <s v="Pilot study to improve removal rates of nitrates, total nitrogen, and ammonia in plant effluent. Pilot study was successful and will result in permanent changes that will be requested in RWWTF Permits."/>
    <s v="Study"/>
    <x v="0"/>
    <x v="4"/>
    <s v="N/A"/>
    <s v="N/A"/>
    <x v="2"/>
    <s v="N/A"/>
    <n v="46000"/>
    <s v="N/A"/>
    <s v="USAF"/>
    <s v="USAF - $46,000"/>
    <s v="N/A"/>
    <s v="Non-structural"/>
    <s v="Ongoing"/>
    <n v="2017"/>
    <s v="Banana River Lagoon"/>
    <s v="28o31'49.07&quot; N"/>
    <s v="80o33'57.38&quot; W"/>
    <n v="2017"/>
  </r>
  <r>
    <n v="2474"/>
    <s v="Cape Canaveral Air Force Station"/>
    <s v="N/A"/>
    <s v="CCAFS-07"/>
    <s v="Invasive Vegetation Management"/>
    <s v="Enhancement to wetlands at CCAFS occurs through invasive vegetation management including annual exotic vegetation removal."/>
    <s v="Exotic Vegetation Removal"/>
    <x v="2"/>
    <x v="10"/>
    <n v="14"/>
    <n v="9"/>
    <x v="2"/>
    <s v="N/A"/>
    <s v="Not provided"/>
    <s v="Not provided"/>
    <s v="USAF"/>
    <s v="Not provided"/>
    <s v="N/A"/>
    <s v="Non-structural"/>
    <s v="Not provided"/>
    <n v="2017"/>
    <s v="Banana River Lagoon"/>
    <s v="N/A"/>
    <s v="N/A"/>
    <n v="2017"/>
  </r>
  <r>
    <n v="2461"/>
    <s v="Cape Canaveral Air Force Station"/>
    <s v="N/A"/>
    <s v="CCAFS-08"/>
    <s v="Sanitary Sewer Infiltration and Inflow Study"/>
    <s v="Conduct infiltration and inflow study of station's sanitary sewer system."/>
    <s v="Study"/>
    <x v="2"/>
    <x v="7"/>
    <s v="N/A"/>
    <s v="N/A"/>
    <x v="2"/>
    <s v="N/A"/>
    <s v="TBD"/>
    <s v="N/A"/>
    <s v="USAF"/>
    <s v="TBD"/>
    <s v="N/A"/>
    <s v="Non-structural"/>
    <s v="Ongoing"/>
    <n v="2017"/>
    <s v="Banana River Lagoon"/>
    <s v="N/A"/>
    <s v="N/A"/>
    <n v="2018"/>
  </r>
  <r>
    <n v="2462"/>
    <s v="Cape Canaveral Air Force Station"/>
    <s v="N/A"/>
    <s v="CCAFS-09"/>
    <s v="Public Education"/>
    <s v="Three outreach events were held that removed 30 tons of debris through beach cleanups"/>
    <s v="Enhanced Public Education"/>
    <x v="0"/>
    <x v="4"/>
    <s v="N/A"/>
    <s v="N/A"/>
    <x v="2"/>
    <s v="N/A"/>
    <s v="Not provided"/>
    <s v="N/A"/>
    <s v="USAF"/>
    <s v="Not provided"/>
    <s v="N/A"/>
    <s v="Non-structural"/>
    <s v="Ongoing"/>
    <n v="2017"/>
    <s v="Banana River Lagoon"/>
    <s v="N/A"/>
    <s v="N/A"/>
    <n v="2017"/>
  </r>
  <r>
    <n v="2463"/>
    <s v="Cape Canaveral Air Force Station"/>
    <s v="N/A"/>
    <s v="CCAFS-10"/>
    <s v="Wetlands as Filters"/>
    <s v="Station has many canals and functional culvert openings that allow connection with the Banana River Lagoon at an estimated 11 surface acres: 65 surface acres of the Army wharf that connect with the Atlantic Ocean, and 106 surface acres of the Trident wharf that connect with the Atlantic Ocean, totaling 182 surface acres of jurisdictional wetlands."/>
    <s v="Natural Wetlands as Filters"/>
    <x v="1"/>
    <x v="1"/>
    <s v="N/A"/>
    <s v="N/A"/>
    <x v="2"/>
    <n v="182"/>
    <s v="TBD"/>
    <s v="TBD"/>
    <s v="USAF"/>
    <s v="TBD"/>
    <s v="N/A"/>
    <s v="Non-structural"/>
    <s v="Planned"/>
    <n v="2017"/>
    <s v="Banana River Lagoon"/>
    <s v="N/A"/>
    <s v="N/A"/>
    <s v="TBD"/>
  </r>
  <r>
    <n v="4348"/>
    <s v="Cape Canaveral Air Force Station"/>
    <s v="N/A"/>
    <s v="CCAFS-11"/>
    <s v="WWTF Upgrade"/>
    <s v="Improved removal rates of nitrates, total nitrogen, and ammonia in plant effluent."/>
    <s v="WWTF Upgrade"/>
    <x v="0"/>
    <x v="9"/>
    <s v="N/A"/>
    <s v="N/A"/>
    <x v="2"/>
    <s v="N/A"/>
    <s v="N/A"/>
    <s v="N/A"/>
    <s v="USAF"/>
    <s v="N/A"/>
    <s v="N/A"/>
    <s v="Structural"/>
    <s v="Completed"/>
    <n v="2018"/>
    <s v="Banana River Lagoon"/>
    <s v="N/A"/>
    <s v="N/A"/>
    <s v="Not provided"/>
  </r>
  <r>
    <n v="4349"/>
    <s v="Cape Canaveral Air Force Station"/>
    <s v="N/A"/>
    <s v="CCAFS-12"/>
    <s v="Shoreline Stabilization"/>
    <s v="2 Projects: 4 miles on both sides of Titan Road and ITL Causeway and 1,000 ft near the South Gate Entrance."/>
    <s v="Shoreline Stabilization"/>
    <x v="3"/>
    <x v="7"/>
    <s v="TBD"/>
    <s v="TBD"/>
    <x v="2"/>
    <s v="N/A"/>
    <n v="4000000"/>
    <s v="N/A"/>
    <s v="USAF"/>
    <s v="N/A"/>
    <s v="N/A"/>
    <s v="Structural"/>
    <s v="Planned"/>
    <n v="2018"/>
    <s v="Banana River Lagoon"/>
    <s v="N/A"/>
    <s v="N/A"/>
    <s v="TBD"/>
  </r>
  <r>
    <n v="2464"/>
    <s v="City of Cape Canaveral"/>
    <s v="SJRWMD"/>
    <s v="CC-01"/>
    <s v="Holman Road Baffle Box"/>
    <s v="First generation baffle box installation near Holman Road outfall."/>
    <s v="Baffle Boxes- First Generation (hydrodynamic separator)"/>
    <x v="0"/>
    <x v="11"/>
    <n v="1.9"/>
    <n v="2.1"/>
    <x v="0"/>
    <n v="29.2"/>
    <n v="75000"/>
    <n v="1200"/>
    <s v="SJRWMD/ City"/>
    <s v="SJRWMD - $45,000/ City - $30,000"/>
    <s v="N/A"/>
    <s v="Structural"/>
    <s v="Completed"/>
    <n v="2013"/>
    <s v="Banana River Lagoon"/>
    <n v="28.374020000000002"/>
    <n v="80.607539000000003"/>
    <n v="2005"/>
  </r>
  <r>
    <n v="2465"/>
    <s v="City of Cape Canaveral"/>
    <s v="SJRWMD"/>
    <s v="CC-02"/>
    <s v="Center Street Baffle Box"/>
    <s v="First generation baffle box installation near Center Street outfall."/>
    <s v="Baffle Boxes- First Generation (hydrodynamic separator)"/>
    <x v="0"/>
    <x v="11"/>
    <n v="7.8"/>
    <n v="8.8000000000000007"/>
    <x v="0"/>
    <n v="117.2"/>
    <n v="75000"/>
    <n v="1200"/>
    <s v="SJRWMD/ City"/>
    <s v="SJRWMD - $45,000/ City - $30,000"/>
    <s v="N/A"/>
    <s v="Structural"/>
    <s v="Completed"/>
    <n v="2013"/>
    <s v="Banana River Lagoon"/>
    <n v="28.381477"/>
    <n v="80.608765000000005"/>
    <n v="2005"/>
  </r>
  <r>
    <n v="2466"/>
    <s v="City of Cape Canaveral"/>
    <s v="SJRWMD"/>
    <s v="CC-03"/>
    <s v="International Drive Baffle Box"/>
    <s v="First generation baffle box installation near International Drive outfall."/>
    <s v="Baffle Boxes- First Generation (hydrodynamic separator)"/>
    <x v="0"/>
    <x v="11"/>
    <n v="11.6"/>
    <n v="3.5"/>
    <x v="0"/>
    <n v="179.4"/>
    <n v="75000"/>
    <n v="1200"/>
    <s v="SJRWMD/ City"/>
    <s v="SJRWMD - $45,000/ City - $30,000"/>
    <s v="N/A"/>
    <s v="Structural"/>
    <s v="Completed"/>
    <n v="2013"/>
    <s v="Banana River Lagoon"/>
    <n v="28.387674000000001"/>
    <n v="80.608258000000006"/>
    <n v="2005"/>
  </r>
  <r>
    <n v="2467"/>
    <s v="City of Cape Canaveral"/>
    <s v="SJRWMD"/>
    <s v="CC-04"/>
    <s v="Angel Isles Baffle Box"/>
    <s v="First generation baffle box installation near Angel Isles outfall."/>
    <s v="Baffle Boxes- First Generation (hydrodynamic separator)"/>
    <x v="0"/>
    <x v="11"/>
    <n v="3.5"/>
    <n v="2.8"/>
    <x v="0"/>
    <n v="105.5"/>
    <n v="75000"/>
    <n v="1200"/>
    <s v="SJRWMD/ City"/>
    <s v="SJRWMD - $45,000/ City - $30,000"/>
    <s v="N/A"/>
    <s v="Structural"/>
    <s v="Completed"/>
    <n v="2013"/>
    <s v="Banana River Lagoon"/>
    <n v="28.395907999999999"/>
    <n v="80.618905999999996"/>
    <n v="2005"/>
  </r>
  <r>
    <n v="2468"/>
    <s v="City of Cape Canaveral"/>
    <s v="N/A"/>
    <s v="CC-05"/>
    <s v="WWTP Baffle Box"/>
    <s v="First generation baffle box installation at WWTP."/>
    <s v="Baffle Boxes- First Generation (hydrodynamic separator)"/>
    <x v="0"/>
    <x v="12"/>
    <n v="0.1"/>
    <n v="0.1"/>
    <x v="0"/>
    <n v="11.1"/>
    <n v="15000"/>
    <n v="1200"/>
    <s v="City"/>
    <s v="City - $15,000"/>
    <s v="N/A"/>
    <s v="Structural"/>
    <s v="Completed"/>
    <n v="2013"/>
    <s v="Banana River Lagoon"/>
    <n v="28.392042"/>
    <n v="80.618404999999996"/>
    <n v="2003"/>
  </r>
  <r>
    <n v="2469"/>
    <s v="City of Cape Canaveral"/>
    <s v="SJRWMD"/>
    <s v="CC-06"/>
    <s v="West Central Boulevard Baffle Box"/>
    <s v="First generation baffle box installation at West Central Boulevard outfall to Central Ditch."/>
    <s v="Baffle Boxes- First Generation (hydrodynamic separator)"/>
    <x v="0"/>
    <x v="13"/>
    <n v="12.6"/>
    <n v="13.6"/>
    <x v="0"/>
    <n v="213.4"/>
    <n v="75000"/>
    <n v="1200"/>
    <s v="SJRWMD/ City"/>
    <s v="SJRWMD - $45,000/ City - $30,000"/>
    <s v="N/A"/>
    <s v="Structural"/>
    <s v="Completed"/>
    <n v="2013"/>
    <s v="Banana River Lagoon"/>
    <n v="28.396122999999999"/>
    <n v="80.608024999999998"/>
    <n v="2004"/>
  </r>
  <r>
    <n v="2470"/>
    <s v="City of Cape Canaveral"/>
    <s v="DEP"/>
    <s v="CC-07"/>
    <s v="Central Ditch Baffle Box (3 count)"/>
    <s v="Second generation baffle box installations (3) in northern portion of Central Ditch."/>
    <s v="Baffle Boxes- Second Generation"/>
    <x v="0"/>
    <x v="14"/>
    <n v="222.8"/>
    <n v="39.6"/>
    <x v="0"/>
    <n v="248.2"/>
    <n v="443003"/>
    <n v="3600"/>
    <s v="City/ DEP"/>
    <s v="DEP - $263,402/ City - $179,601"/>
    <s v="G0136"/>
    <s v="Structural"/>
    <s v="Completed"/>
    <n v="2013"/>
    <s v="Banana River Lagoon"/>
    <n v="28.396433999999999"/>
    <n v="80.608163000000005"/>
    <n v="2008"/>
  </r>
  <r>
    <n v="2471"/>
    <s v="City of Cape Canaveral"/>
    <s v="N/A"/>
    <s v="CC-08"/>
    <s v="Street Sweeping"/>
    <s v="Sweeping of streets/pedways."/>
    <s v="Street Sweeping"/>
    <x v="0"/>
    <x v="1"/>
    <s v="TBD"/>
    <s v="TBD"/>
    <x v="0"/>
    <s v="N/A"/>
    <n v="12322"/>
    <s v="N/A"/>
    <s v="City"/>
    <s v="City - $12,322"/>
    <s v="N/A"/>
    <s v="Non-structural"/>
    <s v="Ongoing"/>
    <n v="2013"/>
    <s v="Banana River Lagoon"/>
    <s v="N/A"/>
    <s v="N/A"/>
    <n v="2002"/>
  </r>
  <r>
    <n v="2487"/>
    <s v="City of Cape Canaveral"/>
    <s v="N/A"/>
    <s v="CC-09"/>
    <s v="Shorewood Drainage Subbasin"/>
    <s v="Basin with no stormwater discharge."/>
    <s v="100% On-site Retention"/>
    <x v="0"/>
    <x v="2"/>
    <s v="TBD"/>
    <s v="TBD"/>
    <x v="0"/>
    <n v="169.8"/>
    <s v="Not provided"/>
    <n v="0"/>
    <s v="Private Developer"/>
    <s v="Not provided"/>
    <s v="N/A"/>
    <s v="Structural"/>
    <s v="Completed"/>
    <n v="2013"/>
    <s v="Banana River Lagoon"/>
    <n v="28.403428000000002"/>
    <n v="80.597272000000004"/>
    <s v="Not provided"/>
  </r>
  <r>
    <n v="2473"/>
    <s v="City of Cape Canaveral"/>
    <s v="N/A"/>
    <s v="CC-10"/>
    <s v="Education Efforts"/>
    <s v="FYN (Blue Life); landscape, irrigation, fertilizer, and pet waste ordinances; public service announcements (PSAs); pamphlets; website; Illicit Discharge Program."/>
    <s v="Education Efforts"/>
    <x v="0"/>
    <x v="1"/>
    <n v="230.1"/>
    <n v="54.6"/>
    <x v="0"/>
    <s v="N/A"/>
    <n v="3100"/>
    <n v="500"/>
    <s v="City"/>
    <s v="City - $3,100"/>
    <s v="N/A"/>
    <s v="Non-structural"/>
    <s v="Ongoing"/>
    <n v="2013"/>
    <s v="Banana River Lagoon"/>
    <s v="N/A"/>
    <s v="N/A"/>
    <n v="2013"/>
  </r>
  <r>
    <n v="2610"/>
    <s v="City of Cape Canaveral"/>
    <s v="N/A"/>
    <s v="CC-11"/>
    <s v="Manatee Park Stormwater Improvements"/>
    <s v="Wet detention pond and swales."/>
    <s v="Wet Detention Pond"/>
    <x v="0"/>
    <x v="3"/>
    <n v="59.3"/>
    <n v="27.8"/>
    <x v="0"/>
    <n v="11.1"/>
    <n v="193000"/>
    <n v="5000"/>
    <s v="City"/>
    <s v="City - $193,000"/>
    <s v="N/A"/>
    <s v="Structural"/>
    <s v="Completed"/>
    <n v="2013"/>
    <s v="Banana River Lagoon"/>
    <n v="28.393915"/>
    <n v="80.618386000000001"/>
    <n v="2012"/>
  </r>
  <r>
    <n v="2438"/>
    <s v="City of Cape Canaveral"/>
    <s v="N/A"/>
    <s v="CC-12"/>
    <s v="Banana River Park Stormwater Improvements"/>
    <s v="Stormwater swales."/>
    <s v="Grass Swales without Swale Blocks or Raised Culverts"/>
    <x v="0"/>
    <x v="3"/>
    <n v="40.4"/>
    <n v="10.6"/>
    <x v="0"/>
    <n v="5.3"/>
    <n v="38000"/>
    <n v="2500"/>
    <s v="City"/>
    <s v="City - $38,000"/>
    <s v="N/A"/>
    <s v="Structural"/>
    <s v="Completed"/>
    <n v="2013"/>
    <s v="Banana River Lagoon"/>
    <n v="28.396546000000001"/>
    <n v="80.618600999999998"/>
    <n v="2012"/>
  </r>
  <r>
    <n v="2437"/>
    <s v="City of Cape Canaveral"/>
    <s v="N/A"/>
    <s v="CC-13"/>
    <s v="Exfiltration on North Atlantic Ave"/>
    <s v="Stormwater swales."/>
    <s v="Grass Swales without Swale Blocks or Raised Culverts"/>
    <x v="0"/>
    <x v="5"/>
    <n v="102"/>
    <n v="24"/>
    <x v="0"/>
    <n v="37"/>
    <n v="436000"/>
    <n v="5000"/>
    <s v="City"/>
    <s v="City - $436,000"/>
    <s v="N/A"/>
    <s v="Structural"/>
    <s v="Completed"/>
    <n v="2013"/>
    <s v="Banana River Lagoon"/>
    <s v="N/A"/>
    <s v="N/A"/>
    <n v="2014"/>
  </r>
  <r>
    <n v="2436"/>
    <s v="City of Cape Canaveral"/>
    <s v="DEP"/>
    <s v="CC-14"/>
    <s v="Exfiltration at Canaveral City Park"/>
    <s v="Stormwater/wastewater vault system."/>
    <s v="Exfiltration Trench"/>
    <x v="0"/>
    <x v="4"/>
    <n v="324.11"/>
    <n v="76.430000000000007"/>
    <x v="0"/>
    <n v="30.3"/>
    <n v="1820500"/>
    <n v="3500"/>
    <s v="City/ DEP"/>
    <s v="DEP - $1,162,662/ City - $657,838"/>
    <s v="WW050500/ LP05052"/>
    <s v="Structural"/>
    <s v="Completed"/>
    <n v="2013"/>
    <s v="Banana River Lagoon"/>
    <n v="28.387269"/>
    <n v="80.602057000000002"/>
    <n v="2015"/>
  </r>
  <r>
    <n v="2405"/>
    <s v="City of Cape Canaveral"/>
    <s v="TBD"/>
    <s v="CC-15"/>
    <s v="Stormwater Pond on West Central Blvd"/>
    <s v="Wet detention pond and swales."/>
    <s v="Wet Detention Pond"/>
    <x v="3"/>
    <x v="15"/>
    <n v="1420.2"/>
    <n v="548.70000000000005"/>
    <x v="0"/>
    <n v="333.98"/>
    <n v="3130200"/>
    <n v="10000"/>
    <s v="TBD"/>
    <s v="TBD"/>
    <s v="TBD"/>
    <s v="Structural"/>
    <s v="Planned, Not Funded"/>
    <n v="2013"/>
    <s v="Banana River Lagoon"/>
    <s v="N/A"/>
    <s v="N/A"/>
    <n v="2021"/>
  </r>
  <r>
    <n v="2435"/>
    <s v="City of Cape Canaveral"/>
    <s v="N/A"/>
    <s v="CC-16"/>
    <s v="Clean Out of Baffle Boxes"/>
    <s v="Maintenance of baffle boxes."/>
    <s v="BMP Cleanout"/>
    <x v="2"/>
    <x v="1"/>
    <n v="1"/>
    <n v="0"/>
    <x v="0"/>
    <s v="N/A"/>
    <n v="4500"/>
    <n v="1500"/>
    <s v="City"/>
    <s v="City - $4,500"/>
    <s v="N/A"/>
    <s v="Non-structural"/>
    <s v="Ongoing"/>
    <n v="2014"/>
    <s v="Banana River Lagoon"/>
    <s v="N/A"/>
    <s v="N/A"/>
    <n v="2014"/>
  </r>
  <r>
    <n v="2433"/>
    <s v="City of Cape Canaveral"/>
    <s v="N/A"/>
    <s v="CC-17"/>
    <s v="Central Ditch Dredging Project"/>
    <s v="Dredging of southern portion of Central Ditch."/>
    <s v="Muck Removal/Restoration Dredging"/>
    <x v="1"/>
    <x v="1"/>
    <s v="N/A"/>
    <s v="N/A"/>
    <x v="0"/>
    <s v="N/A"/>
    <s v="N/A"/>
    <s v="N/A"/>
    <s v="N/A"/>
    <s v="N/A"/>
    <s v="N/A"/>
    <s v="Non-structural"/>
    <s v="Cancelled"/>
    <n v="2014"/>
    <s v="Banana River Lagoon"/>
    <s v="N/A"/>
    <s v="N/A"/>
    <s v="N/A"/>
  </r>
  <r>
    <n v="2434"/>
    <s v="City of Cape Canaveral"/>
    <s v="N/A"/>
    <s v="CC-18"/>
    <s v="Exfiltration Piping Installations"/>
    <s v="Exfiltration piping installations – 8 locations."/>
    <s v="Exfiltration Trench"/>
    <x v="0"/>
    <x v="16"/>
    <s v="TBD"/>
    <s v="TBD"/>
    <x v="0"/>
    <n v="4500"/>
    <n v="0"/>
    <s v="N/A"/>
    <s v="City"/>
    <s v="City - $4,500"/>
    <s v="N/A"/>
    <s v="Structural"/>
    <s v="Cancelled"/>
    <n v="2014"/>
    <s v="Banana River Lagoon"/>
    <s v="N/A"/>
    <s v="N/A"/>
    <s v="N/A"/>
  </r>
  <r>
    <n v="2472"/>
    <s v="City of Cape Canaveral"/>
    <s v="SJRWMD"/>
    <s v="CC-19"/>
    <s v="Reclaimed Water Tank"/>
    <s v="Reclaimed water system improvements (2.5 million gallon reclaimed water tank)."/>
    <s v="WWTF Upgrade"/>
    <x v="0"/>
    <x v="5"/>
    <n v="2151"/>
    <n v="158"/>
    <x v="0"/>
    <s v="N/A"/>
    <n v="3030000"/>
    <n v="10000"/>
    <s v="SJRWMD/ City"/>
    <s v="SJRWMD - $75,000/ City - $2,955,000"/>
    <s v="WW050500"/>
    <s v="Structural"/>
    <s v="Completed"/>
    <n v="2014"/>
    <s v="Banana River Lagoon"/>
    <n v="28.392523000000001"/>
    <n v="80.618626000000006"/>
    <n v="2014"/>
  </r>
  <r>
    <n v="2444"/>
    <s v="City of Cape Canaveral"/>
    <s v="DEP/ Brevard County/ SOIRL"/>
    <s v="CC-20"/>
    <s v="Central Boulevard Baffle Box Upgrade"/>
    <s v="Baffle box upgrade to 2nd generation - Central Ditch Baffle Box"/>
    <s v="Baffle Boxes- Second Generation"/>
    <x v="0"/>
    <x v="4"/>
    <n v="1221"/>
    <n v="207"/>
    <x v="0"/>
    <n v="213"/>
    <n v="43700"/>
    <n v="1200"/>
    <s v="DEP/ City/ County"/>
    <s v="DEP - $41,700/ City - $2,000"/>
    <s v="NF025"/>
    <s v="Structural"/>
    <s v="Planned, Funded"/>
    <n v="2014"/>
    <s v="Banana River Lagoon"/>
    <n v="28.396122999999999"/>
    <n v="80.608024999999998"/>
    <n v="2017"/>
  </r>
  <r>
    <n v="2446"/>
    <s v="City of Cape Canaveral"/>
    <s v="Brevard County/ SOIRL"/>
    <s v="CC-21"/>
    <s v="Holman Road Swale"/>
    <s v="Swales and biosorption activated media (BAM)."/>
    <s v="BMP Treatment Train"/>
    <x v="3"/>
    <x v="17"/>
    <n v="14.06"/>
    <n v="5.59"/>
    <x v="0"/>
    <n v="1.62"/>
    <n v="28000"/>
    <n v="500"/>
    <s v="City/ County"/>
    <s v="TBD"/>
    <s v="N/A"/>
    <s v="Structural"/>
    <s v="Planned, Funded"/>
    <n v="2015"/>
    <s v="Banana River Lagoon"/>
    <n v="28.372827000000001"/>
    <n v="80.607463999999993"/>
    <n v="2019"/>
  </r>
  <r>
    <n v="2486"/>
    <s v="City of Cape Canaveral"/>
    <s v="Brevard County/ SOIRL"/>
    <s v="CC-22"/>
    <s v="Cocoa Palms LID"/>
    <s v="Exfiltration and BAM wall."/>
    <s v="BMP Treatment Train"/>
    <x v="3"/>
    <x v="17"/>
    <n v="13.29"/>
    <n v="10.44"/>
    <x v="0"/>
    <n v="3.99"/>
    <n v="85000"/>
    <n v="1000"/>
    <s v="City/ County"/>
    <s v="TBD"/>
    <s v="N/A"/>
    <s v="Structural"/>
    <s v="Planned, Funded"/>
    <n v="2016"/>
    <s v="Banana River Lagoon"/>
    <n v="28.379369000000001"/>
    <n v="80.608504999999994"/>
    <n v="2018"/>
  </r>
  <r>
    <n v="2485"/>
    <s v="City of Cape Canaveral"/>
    <s v="N/A"/>
    <s v="CC-23"/>
    <s v="Cherrie Down Park"/>
    <s v="Swale with biosorption activated media (BAM)."/>
    <s v="BMP Treatment Train"/>
    <x v="1"/>
    <x v="1"/>
    <s v="N/A"/>
    <s v="N/A"/>
    <x v="0"/>
    <s v="N/A"/>
    <s v="N/A"/>
    <s v="N/A"/>
    <s v="N/A"/>
    <s v="N/A"/>
    <s v="N/A"/>
    <s v="Structural"/>
    <s v="Planned, Funded"/>
    <n v="2016"/>
    <s v="Banana River Lagoon"/>
    <s v="N/A"/>
    <s v="N/A"/>
    <s v="N/A"/>
  </r>
  <r>
    <n v="2484"/>
    <s v="City of Cape Canaveral"/>
    <s v="Brevard County/ SOIRL"/>
    <s v="CC-24"/>
    <s v="Carver Cove Swale"/>
    <s v="Swale with biosorption activated media (BAM)."/>
    <s v="BMP Treatment Train"/>
    <x v="3"/>
    <x v="17"/>
    <n v="32.11"/>
    <n v="9.18"/>
    <x v="0"/>
    <n v="5.59"/>
    <n v="20340"/>
    <n v="1000"/>
    <s v="City/ County"/>
    <s v="TBD"/>
    <s v="N/A"/>
    <s v="Structural"/>
    <s v="Planned, Funded"/>
    <n v="2016"/>
    <s v="Banana River Lagoon"/>
    <n v="28.385915000000001"/>
    <n v="80.608946000000003"/>
    <n v="2018"/>
  </r>
  <r>
    <n v="2483"/>
    <s v="City of Cape Canaveral"/>
    <s v="Brevard County/ SOIRL"/>
    <s v="CC-25"/>
    <s v="Cape Shores Swales (3 count)"/>
    <s v="Swale with biosorption activated media (BAM)."/>
    <s v="BMP Treatment Train"/>
    <x v="1"/>
    <x v="1"/>
    <s v="N/A"/>
    <s v="N/A"/>
    <x v="0"/>
    <n v="7.71"/>
    <s v="N/A"/>
    <s v="N/A"/>
    <s v="N/A"/>
    <s v="N/A"/>
    <s v="N/A"/>
    <s v="Structural"/>
    <s v="Planned, Funded"/>
    <n v="2016"/>
    <s v="Banana River Lagoon"/>
    <s v="N/A"/>
    <s v="N/A"/>
    <n v="2018"/>
  </r>
  <r>
    <n v="2482"/>
    <s v="City of Cape Canaveral"/>
    <s v="FDOT"/>
    <s v="CC-26"/>
    <s v="International Drive"/>
    <s v="Wet detention pond as part of SR A1A Streetscape Project."/>
    <s v="Wet Detention Pond"/>
    <x v="3"/>
    <x v="15"/>
    <n v="600.79999999999995"/>
    <n v="283.2"/>
    <x v="0"/>
    <n v="168.14"/>
    <n v="708450"/>
    <n v="2500"/>
    <s v="FDOT"/>
    <s v="FDOT - $708,450"/>
    <s v="N/A"/>
    <s v="Structural"/>
    <s v="Planned, Not Funded"/>
    <n v="2016"/>
    <s v="Banana River Lagoon"/>
    <n v="28.387782000000001"/>
    <n v="80.606211999999999"/>
    <n v="2021"/>
  </r>
  <r>
    <n v="2481"/>
    <s v="City of Cape Canaveral"/>
    <s v="Brevard County/ SOIRL"/>
    <s v="CC-27"/>
    <s v="Justamere Road Swale"/>
    <s v="Dry detention swale without blocks or raised culverts and media filter."/>
    <s v="BMP Treatment Train"/>
    <x v="3"/>
    <x v="17"/>
    <n v="5.52"/>
    <n v="3.29"/>
    <x v="0"/>
    <n v="1.21"/>
    <n v="7800"/>
    <n v="1000"/>
    <s v="City/ County"/>
    <s v="TBD"/>
    <s v="N/A"/>
    <s v="Structural"/>
    <s v="Planned, Funded"/>
    <n v="2016"/>
    <s v="Banana River Lagoon"/>
    <n v="28.385698000000001"/>
    <n v="80.608682999999999"/>
    <n v="2018"/>
  </r>
  <r>
    <n v="2480"/>
    <s v="City of Cape Canaveral"/>
    <s v="Brevard County/ SOIRL"/>
    <s v="CC-28"/>
    <s v="Hitching Post Berm"/>
    <s v="Berm and associated grass swale without blocks or raised culverts and media filter."/>
    <s v="BMP Treatment Train"/>
    <x v="3"/>
    <x v="17"/>
    <n v="27.06"/>
    <n v="22.08"/>
    <x v="0"/>
    <n v="9.0500000000000007"/>
    <n v="40300"/>
    <n v="1000"/>
    <s v="City/ County"/>
    <s v="TBD"/>
    <s v="N/A"/>
    <s v="Structural"/>
    <s v="Planned, Funded"/>
    <n v="2016"/>
    <s v="Banana River Lagoon"/>
    <n v="28.384876999999999"/>
    <n v="80.608742000000007"/>
    <n v="2018"/>
  </r>
  <r>
    <n v="2479"/>
    <s v="City of Cape Canaveral"/>
    <s v="Brevard County/ SOIRL"/>
    <s v="CC-29"/>
    <s v="Center Street Pond"/>
    <s v="Wet detention pond."/>
    <s v="Wet Detention Pond"/>
    <x v="3"/>
    <x v="17"/>
    <n v="992"/>
    <n v="337"/>
    <x v="0"/>
    <n v="106.41"/>
    <n v="277850"/>
    <n v="2500"/>
    <s v="City/ County"/>
    <s v="TBD"/>
    <s v="N/A"/>
    <s v="Structural"/>
    <s v="Planned, Funded"/>
    <n v="2016"/>
    <s v="Banana River Lagoon"/>
    <n v="28.380668"/>
    <n v="80.608045000000004"/>
    <n v="2020"/>
  </r>
  <r>
    <n v="2478"/>
    <s v="City of Cape Canaveral"/>
    <s v="Brevard County/ SOIRL"/>
    <s v="CC-30"/>
    <s v="Holman Road Pond"/>
    <s v="Wet detension pond."/>
    <s v="Wet Detention Pond"/>
    <x v="3"/>
    <x v="15"/>
    <n v="36.200000000000003"/>
    <n v="37.200000000000003"/>
    <x v="0"/>
    <n v="29.16"/>
    <n v="235630"/>
    <n v="2500"/>
    <s v="City/ County"/>
    <s v="TBD"/>
    <s v="N/A"/>
    <s v="Structural"/>
    <s v="Planned, Not Funded"/>
    <n v="2016"/>
    <s v="Banana River Lagoon"/>
    <n v="28.373911"/>
    <n v="80.607185999999999"/>
    <n v="2021"/>
  </r>
  <r>
    <n v="2477"/>
    <s v="City of Cape Canaveral"/>
    <s v="Brevard County/ SOIRL"/>
    <s v="CC-31"/>
    <s v="Costa Del Sol Pond"/>
    <s v="Dry detention swale without blocks or raised culverts and media filter."/>
    <s v="Dry Detention Pond"/>
    <x v="3"/>
    <x v="17"/>
    <n v="10.039999999999999"/>
    <n v="2.5099999999999998"/>
    <x v="0"/>
    <n v="2.66"/>
    <n v="58120"/>
    <n v="2500"/>
    <s v="City/ County"/>
    <s v="TBD"/>
    <s v="N/A"/>
    <s v="Structural"/>
    <s v="Planned, Funded"/>
    <n v="2016"/>
    <s v="Banana River Lagoon"/>
    <n v="28.372343999999998"/>
    <n v="80.607792000000003"/>
    <n v="2019"/>
  </r>
  <r>
    <n v="2476"/>
    <s v="City of Cape Canaveral"/>
    <s v="Brevard County/ SOIRL"/>
    <s v="CC-32"/>
    <s v="Costa del Sol Denitrificaiton Wall"/>
    <s v="Exfiltration and BAM wall."/>
    <s v="BMP Treatment Train"/>
    <x v="3"/>
    <x v="17"/>
    <n v="38.72"/>
    <n v="33.67"/>
    <x v="0"/>
    <n v="13.04"/>
    <n v="18800"/>
    <n v="1000"/>
    <s v="City/ County"/>
    <s v="TBD"/>
    <s v="N/A"/>
    <s v="Structural"/>
    <s v="Planned, Funded"/>
    <n v="2016"/>
    <s v="Banana River Lagoon"/>
    <n v="28.370536000000001"/>
    <n v="80.609572999999997"/>
    <n v="2021"/>
  </r>
  <r>
    <n v="4340"/>
    <s v="City of Cape Canaveral"/>
    <s v="N/A"/>
    <s v="CC-33"/>
    <s v="WWTF SHORELINE RESTORATION"/>
    <s v="Armor shoreline at WWTF."/>
    <s v="Shoreline Stabilization"/>
    <x v="0"/>
    <x v="9"/>
    <s v="TBD"/>
    <s v="TBD"/>
    <x v="0"/>
    <n v="1"/>
    <n v="193850"/>
    <n v="1000"/>
    <s v="City"/>
    <s v="City - $193,850"/>
    <s v="N/A"/>
    <s v="Structural"/>
    <s v="Completed"/>
    <n v="2018"/>
    <s v="Banana River Lagoon"/>
    <n v="28.391950999999999"/>
    <n v="80.619000999999997"/>
    <s v="Not provided"/>
  </r>
  <r>
    <n v="4341"/>
    <s v="City of Cape Canaveral"/>
    <s v="N/A"/>
    <s v="CC-34"/>
    <s v="BEEMATS INSTALLATION (4 COUNT)"/>
    <s v="Beemats installation."/>
    <s v="Floating Islands/ Managed Aquatic Plant Systems (MAPS)"/>
    <x v="2"/>
    <x v="1"/>
    <s v="TBD"/>
    <s v="TBD"/>
    <x v="0"/>
    <n v="1"/>
    <n v="15000"/>
    <n v="2500"/>
    <s v="City"/>
    <s v="City - $15,000"/>
    <s v="N/A"/>
    <s v="Structural"/>
    <s v="Completed"/>
    <n v="2018"/>
    <s v="Banana River Lagoon"/>
    <s v="28.392518 28.393851"/>
    <s v="80.618622 80.618504"/>
    <s v="Not provided"/>
  </r>
  <r>
    <n v="4342"/>
    <s v="City of Cape Canaveral"/>
    <s v="N/A"/>
    <s v="CC-35"/>
    <s v="OXIDATION DITCH REFURBISHMENT"/>
    <s v="Oxidation Ditch rehab."/>
    <s v="BMP Cleanout"/>
    <x v="0"/>
    <x v="18"/>
    <s v="N/A"/>
    <s v="N/A"/>
    <x v="0"/>
    <s v="N/A"/>
    <s v="N/A"/>
    <s v="N/A"/>
    <s v="N/A"/>
    <s v="N/A"/>
    <s v="N/A"/>
    <s v="Structural"/>
    <s v="Completed"/>
    <n v="2018"/>
    <s v="Banana River Lagoon"/>
    <s v="N/A"/>
    <s v="N/A"/>
    <s v="Not provided"/>
  </r>
  <r>
    <n v="4343"/>
    <s v="City of Cape Canaveral"/>
    <s v="N/A"/>
    <s v="CC-36"/>
    <s v="LS #2 SEWER LINE REPLACEMENT"/>
    <s v="Replacement of sewer line for LS #2."/>
    <s v="WWTF Upgrade"/>
    <x v="0"/>
    <x v="18"/>
    <s v="N/A"/>
    <s v="N/A"/>
    <x v="0"/>
    <s v="N/A"/>
    <s v="N/A"/>
    <s v="N/A"/>
    <s v="N/A"/>
    <s v="N/A"/>
    <s v="N/A"/>
    <s v="Structural"/>
    <s v="Completed"/>
    <n v="2018"/>
    <s v="Banana River Lagoon"/>
    <s v="N/A"/>
    <s v="N/A"/>
    <s v="Not provided"/>
  </r>
  <r>
    <n v="4344"/>
    <s v="City of Cape Canaveral"/>
    <s v="N/A"/>
    <s v="CC-37"/>
    <s v="FORCE MAIN #3 REPLACEMENT"/>
    <s v="Replacement and relocation of Force Main #3."/>
    <s v="WWTF Upgrade"/>
    <x v="0"/>
    <x v="18"/>
    <s v="N/A"/>
    <s v="N/A"/>
    <x v="0"/>
    <s v="N/A"/>
    <s v="N/A"/>
    <s v="N/A"/>
    <s v="N/A"/>
    <s v="N/A"/>
    <s v="N/A"/>
    <s v="Structural"/>
    <s v="Completed"/>
    <n v="2018"/>
    <s v="Banana River Lagoon"/>
    <s v="N/A"/>
    <s v="N/A"/>
    <s v="Not provided"/>
  </r>
  <r>
    <n v="4345"/>
    <s v="City of Cape Canaveral"/>
    <s v="N/A"/>
    <s v="CC-38"/>
    <s v="CANAVERAL CITY PARK EXFILTRATION SYSTEM EXPANSION"/>
    <s v="Improvements for discharge of reuse water (same as CC-14)."/>
    <s v="WWTF Disposal Site"/>
    <x v="2"/>
    <x v="1"/>
    <s v="N/A"/>
    <s v="N/A"/>
    <x v="0"/>
    <s v="N/A"/>
    <s v="N/A"/>
    <s v="N/A"/>
    <s v="N/A"/>
    <s v="N/A"/>
    <s v="N/A"/>
    <s v="Structural"/>
    <s v="Underway"/>
    <n v="2018"/>
    <s v="Banana River Lagoon"/>
    <s v="N/A"/>
    <s v="N/A"/>
    <s v="Not provided"/>
  </r>
  <r>
    <n v="4346"/>
    <s v="City of Cape Canaveral"/>
    <s v="SJRWMD"/>
    <s v="CC-39"/>
    <s v="ESTUARY PROPERTY RESTORATION"/>
    <s v="Habitat and water quality improvements."/>
    <s v="Exotic Vegetation Removal"/>
    <x v="2"/>
    <x v="17"/>
    <s v="TBD"/>
    <s v="TBD"/>
    <x v="0"/>
    <n v="10"/>
    <s v="TBD"/>
    <s v="TBD"/>
    <s v="SJRWMD/ City"/>
    <s v="TBD"/>
    <s v="N/A"/>
    <s v="Non-structural"/>
    <s v="Underway"/>
    <n v="2018"/>
    <s v="Banana River Lagoon"/>
    <n v="28.389980999999999"/>
    <n v="80.611395999999999"/>
    <s v="Not provided"/>
  </r>
  <r>
    <n v="4347"/>
    <s v="City of Cape Canaveral"/>
    <s v="DEP"/>
    <s v="CC-40"/>
    <s v="PARKS SHORELINE RESTORATION"/>
    <s v="Armor shorelines at two City parks."/>
    <s v="Creating/ Enhancing Living Shoreline"/>
    <x v="0"/>
    <x v="5"/>
    <s v="N/A"/>
    <s v="N/A"/>
    <x v="0"/>
    <n v="1"/>
    <n v="232664"/>
    <n v="1000"/>
    <s v="City/ DEP"/>
    <s v="DEP - $65,600/ City - $167,064"/>
    <s v="NF012"/>
    <s v="Structural"/>
    <s v="Completed"/>
    <n v="2018"/>
    <s v="Banana River Lagoon"/>
    <s v="28.39453 28.397475"/>
    <s v="80.619078 80.619228"/>
    <s v="Not provided"/>
  </r>
  <r>
    <n v="2475"/>
    <s v="City of Cocoa Beach"/>
    <s v="Not provided"/>
    <s v="CB-01"/>
    <s v="Maritime Hammock Preserve Alum Pond"/>
    <s v="Wet detention pond with alum."/>
    <s v="Wet Detention Pond"/>
    <x v="0"/>
    <x v="3"/>
    <n v="746"/>
    <n v="317.5"/>
    <x v="0"/>
    <n v="130.19999999999999"/>
    <n v="960000"/>
    <n v="20000"/>
    <s v="Not provided"/>
    <n v="960000"/>
    <s v="N/A"/>
    <s v="Structural"/>
    <s v="Completed"/>
    <n v="2013"/>
    <s v="Banana River Lagoon"/>
    <s v="Not provided"/>
    <s v="Not provided"/>
    <s v="Not provided"/>
  </r>
  <r>
    <n v="2460"/>
    <s v="City of Cocoa Beach"/>
    <s v="DEP"/>
    <s v="CB-02"/>
    <s v="Ocean Beach Blvd. Bioretention/ Exfiltration"/>
    <s v="Not provided."/>
    <s v="Grass Swales without Swale Blocks or Raised Culverts"/>
    <x v="0"/>
    <x v="3"/>
    <n v="218"/>
    <n v="46.3"/>
    <x v="0"/>
    <n v="50.6"/>
    <n v="1150000"/>
    <n v="18000"/>
    <s v="DEP"/>
    <s v="DEP - $1,150,000"/>
    <s v="G0170"/>
    <s v="Structural"/>
    <s v="Completed"/>
    <n v="2013"/>
    <s v="Banana River Lagoon"/>
    <s v="Not provided"/>
    <s v="Not provided"/>
    <s v="Not provided"/>
  </r>
  <r>
    <n v="2571"/>
    <s v="City of Cocoa Beach"/>
    <s v="Not provided"/>
    <s v="CB-03"/>
    <s v="2nd Street South PCD"/>
    <s v="Not provided."/>
    <s v="Baffle Boxes- Second Generation"/>
    <x v="0"/>
    <x v="3"/>
    <n v="135"/>
    <n v="25"/>
    <x v="0"/>
    <n v="52"/>
    <n v="181974"/>
    <n v="1200"/>
    <s v="Not provided"/>
    <n v="181974"/>
    <s v="N/A"/>
    <s v="Structural"/>
    <s v="Completed"/>
    <n v="2013"/>
    <s v="Banana River Lagoon"/>
    <s v="Not provided"/>
    <s v="Not provided"/>
    <s v="Not provided"/>
  </r>
  <r>
    <n v="2560"/>
    <s v="City of Cocoa Beach"/>
    <s v="Not provided"/>
    <s v="CB-04"/>
    <s v="Cottage Row Parking Facilities Lot"/>
    <s v="Not provided."/>
    <s v="Exfiltration Trench"/>
    <x v="0"/>
    <x v="3"/>
    <n v="37"/>
    <n v="9.1"/>
    <x v="0"/>
    <n v="2.4"/>
    <s v="Not provided"/>
    <n v="500"/>
    <s v="Not provided"/>
    <s v="Not provided"/>
    <s v="N/A"/>
    <s v="Structural"/>
    <s v="Completed"/>
    <n v="2013"/>
    <s v="Banana River Lagoon"/>
    <s v="Not provided"/>
    <s v="Not provided"/>
    <s v="Not provided"/>
  </r>
  <r>
    <n v="2573"/>
    <s v="City of Cocoa Beach"/>
    <s v="Not provided"/>
    <s v="CB-05"/>
    <s v="Shepard Park Improvements"/>
    <s v="Not provided."/>
    <s v="Dry Detention Pond"/>
    <x v="0"/>
    <x v="3"/>
    <n v="0"/>
    <n v="0"/>
    <x v="0"/>
    <n v="0"/>
    <s v="Not provided"/>
    <n v="3000"/>
    <s v="Not provided"/>
    <s v="Not provided"/>
    <s v="N/A"/>
    <s v="Structural"/>
    <s v="Completed"/>
    <n v="2013"/>
    <s v="Banana River Lagoon"/>
    <s v="Not provided"/>
    <s v="Not provided"/>
    <s v="Not provided"/>
  </r>
  <r>
    <n v="2549"/>
    <s v="City of Cocoa Beach"/>
    <s v="Not provided"/>
    <s v="CB-06"/>
    <s v="Burris Way (alley) Exfiltration"/>
    <s v="Not provided."/>
    <s v="Exfiltration Trench"/>
    <x v="0"/>
    <x v="3"/>
    <n v="4"/>
    <n v="1"/>
    <x v="0"/>
    <n v="0.8"/>
    <s v="Not provided"/>
    <n v="1200"/>
    <s v="Not provided"/>
    <s v="Not provided"/>
    <s v="N/A"/>
    <s v="Structural"/>
    <s v="Completed"/>
    <n v="2013"/>
    <s v="Banana River Lagoon"/>
    <s v="Not provided"/>
    <s v="Not provided"/>
    <s v="Not provided"/>
  </r>
  <r>
    <n v="2550"/>
    <s v="City of Cocoa Beach"/>
    <s v="Not provided"/>
    <s v="CB-07"/>
    <s v="Brevard Ave. Exfiltration"/>
    <s v="Not provided."/>
    <s v="Grass Swales without Swale Blocks or Raised Culverts"/>
    <x v="0"/>
    <x v="3"/>
    <n v="5"/>
    <n v="1"/>
    <x v="0"/>
    <n v="0.5"/>
    <s v="Not provided"/>
    <n v="300"/>
    <s v="Not provided"/>
    <s v="Not provided"/>
    <s v="N/A"/>
    <s v="Structural"/>
    <s v="Completed"/>
    <n v="2013"/>
    <s v="Banana River Lagoon"/>
    <s v="Not provided"/>
    <s v="Not provided"/>
    <s v="Not provided"/>
  </r>
  <r>
    <n v="2551"/>
    <s v="City of Cocoa Beach"/>
    <s v="Not provided"/>
    <s v="CB-08"/>
    <s v="50 Danube River Exfiltration"/>
    <s v="Not provided."/>
    <s v="Grass Swales without Swale Blocks or Raised Culverts"/>
    <x v="0"/>
    <x v="3"/>
    <n v="1"/>
    <n v="0.1"/>
    <x v="0"/>
    <n v="1.5"/>
    <s v="Not provided"/>
    <n v="300"/>
    <s v="Not provided"/>
    <s v="Not provided"/>
    <s v="N/A"/>
    <s v="Structural"/>
    <s v="Completed"/>
    <n v="2013"/>
    <s v="Banana River Lagoon"/>
    <s v="Not provided"/>
    <s v="Not provided"/>
    <s v="Not provided"/>
  </r>
  <r>
    <n v="2552"/>
    <s v="City of Cocoa Beach"/>
    <s v="Not provided"/>
    <s v="CB-09"/>
    <s v="12 Bougainvillea Dr. Exfiltration"/>
    <s v="Not provided."/>
    <s v="Grass Swales without Swale Blocks or Raised Culverts"/>
    <x v="0"/>
    <x v="3"/>
    <n v="1"/>
    <n v="0.1"/>
    <x v="0"/>
    <n v="1"/>
    <s v="Not provided"/>
    <n v="300"/>
    <s v="Not provided"/>
    <s v="Not provided"/>
    <s v="N/A"/>
    <s v="Structural"/>
    <s v="Completed"/>
    <n v="2013"/>
    <s v="Banana River Lagoon"/>
    <s v="Not provided"/>
    <s v="Not provided"/>
    <s v="Not provided"/>
  </r>
  <r>
    <n v="2557"/>
    <s v="City of Cocoa Beach"/>
    <s v="Not provided"/>
    <s v="CB-10"/>
    <s v="9th St S &amp; Brevard Ave. Exfiltration"/>
    <s v="Not provided."/>
    <s v="Grass Swales without Swale Blocks or Raised Culverts"/>
    <x v="0"/>
    <x v="3"/>
    <n v="0.1"/>
    <n v="0.02"/>
    <x v="0"/>
    <n v="0.1"/>
    <s v="Not provided"/>
    <n v="300"/>
    <s v="Not provided"/>
    <s v="Not provided"/>
    <s v="N/A"/>
    <s v="Structural"/>
    <s v="Completed"/>
    <n v="2013"/>
    <s v="Banana River Lagoon"/>
    <s v="Not provided"/>
    <s v="Not provided"/>
    <s v="Not provided"/>
  </r>
  <r>
    <n v="2592"/>
    <s v="City of Cocoa Beach"/>
    <s v="Not provided"/>
    <s v="CB-11"/>
    <s v="321 Jack Dr. Exfiltration"/>
    <s v="Not provided."/>
    <s v="Grass Swales without Swale Blocks or Raised Culverts"/>
    <x v="0"/>
    <x v="3"/>
    <n v="0.42"/>
    <n v="0.06"/>
    <x v="0"/>
    <n v="0.7"/>
    <s v="Not provided"/>
    <n v="120"/>
    <s v="Not provided"/>
    <s v="Not provided"/>
    <s v="N/A"/>
    <s v="Structural"/>
    <s v="Completed"/>
    <n v="2013"/>
    <s v="Banana River Lagoon"/>
    <s v="Not provided"/>
    <s v="Not provided"/>
    <s v="Not provided"/>
  </r>
  <r>
    <n v="2558"/>
    <s v="City of Cocoa Beach"/>
    <s v="Not provided"/>
    <s v="CB-12"/>
    <s v="125 Cedar Ave. Exfiltration"/>
    <s v="Not provided."/>
    <s v="Grass Swales without Swale Blocks or Raised Culverts"/>
    <x v="0"/>
    <x v="3"/>
    <n v="1"/>
    <n v="0.2"/>
    <x v="0"/>
    <n v="0.9"/>
    <s v="Not provided"/>
    <n v="120"/>
    <s v="Not provided"/>
    <s v="Not provided"/>
    <s v="N/A"/>
    <s v="Structural"/>
    <s v="Completed"/>
    <n v="2013"/>
    <s v="Banana River Lagoon"/>
    <s v="Not provided"/>
    <s v="Not provided"/>
    <s v="Not provided"/>
  </r>
  <r>
    <n v="2556"/>
    <s v="City of Cocoa Beach"/>
    <s v="Not provided"/>
    <s v="CB-13"/>
    <s v="Meade Bioretention"/>
    <s v="Not provided."/>
    <s v="Grass Swales without Swale Blocks or Raised Culverts"/>
    <x v="0"/>
    <x v="3"/>
    <n v="0.01"/>
    <n v="0"/>
    <x v="0"/>
    <n v="0.01"/>
    <s v="Not provided"/>
    <n v="300"/>
    <s v="Not provided"/>
    <s v="Not provided"/>
    <s v="N/A"/>
    <s v="Structural"/>
    <s v="Completed"/>
    <n v="2013"/>
    <s v="Banana River Lagoon"/>
    <s v="Not provided"/>
    <s v="Not provided"/>
    <s v="Not provided"/>
  </r>
  <r>
    <n v="2555"/>
    <s v="City of Cocoa Beach"/>
    <s v="Not provided"/>
    <s v="CB-14"/>
    <s v="Osceola E Bioretention"/>
    <s v="Not provided."/>
    <s v="Grass Swales without Swale Blocks or Raised Culverts"/>
    <x v="0"/>
    <x v="3"/>
    <s v="Not provided"/>
    <s v="Not provided"/>
    <x v="3"/>
    <s v="Not provided"/>
    <s v="Not provided"/>
    <s v="Not provided"/>
    <s v="Not provided"/>
    <s v="Not provided"/>
    <s v="N/A"/>
    <s v="Structural"/>
    <s v="Completed"/>
    <n v="2013"/>
    <s v="Banana River Lagoon"/>
    <s v="Not provided"/>
    <s v="Not provided"/>
    <s v="Not provided"/>
  </r>
  <r>
    <n v="2554"/>
    <s v="City of Cocoa Beach"/>
    <s v="Not provided"/>
    <s v="CB-15"/>
    <s v="4th St. N Bioretention"/>
    <s v="Not provided."/>
    <s v="Grass Swales without Swale Blocks or Raised Culverts"/>
    <x v="0"/>
    <x v="3"/>
    <n v="1"/>
    <n v="0.3"/>
    <x v="0"/>
    <n v="0.1"/>
    <s v="Not provided"/>
    <n v="120"/>
    <s v="Not provided"/>
    <s v="Not provided"/>
    <s v="N/A"/>
    <s v="Structural"/>
    <s v="Completed"/>
    <n v="2013"/>
    <s v="Banana River Lagoon"/>
    <s v="Not provided"/>
    <s v="Not provided"/>
    <s v="Not provided"/>
  </r>
  <r>
    <n v="2553"/>
    <s v="City of Cocoa Beach"/>
    <s v="Not provided"/>
    <s v="CB-16"/>
    <s v="4th St. S Bioretention"/>
    <s v="Not provided."/>
    <s v="Grass Swales without Swale Blocks or Raised Culverts"/>
    <x v="0"/>
    <x v="3"/>
    <n v="2"/>
    <n v="0.5"/>
    <x v="0"/>
    <n v="0.5"/>
    <s v="Not provided"/>
    <n v="120"/>
    <s v="Not provided"/>
    <s v="Not provided"/>
    <s v="N/A"/>
    <s v="Structural"/>
    <s v="Completed"/>
    <n v="2013"/>
    <s v="Banana River Lagoon"/>
    <s v="Not provided"/>
    <s v="Not provided"/>
    <s v="Not provided"/>
  </r>
  <r>
    <n v="2568"/>
    <s v="City of Cocoa Beach"/>
    <s v="Not provided"/>
    <s v="CB-17"/>
    <s v="3rd St. South N Bioretention"/>
    <s v="Not provided."/>
    <s v="Grass Swales without Swale Blocks or Raised Culverts"/>
    <x v="0"/>
    <x v="3"/>
    <s v="Not provided"/>
    <s v="Not provided"/>
    <x v="3"/>
    <s v="Not provided"/>
    <s v="Not provided"/>
    <s v="Not provided"/>
    <s v="Not provided"/>
    <s v="Not provided"/>
    <s v="N/A"/>
    <s v="Structural"/>
    <s v="Completed"/>
    <n v="2013"/>
    <s v="Banana River Lagoon"/>
    <s v="Not provided"/>
    <s v="Not provided"/>
    <s v="Not provided"/>
  </r>
  <r>
    <n v="2567"/>
    <s v="City of Cocoa Beach"/>
    <s v="Not provided"/>
    <s v="CB-18"/>
    <s v="3rd St. South S Bioretention"/>
    <s v="Not provided."/>
    <s v="Grass Swales without Swale Blocks or Raised Culverts"/>
    <x v="0"/>
    <x v="3"/>
    <s v="Not provided"/>
    <s v="Not provided"/>
    <x v="3"/>
    <s v="Not provided"/>
    <s v="Not provided"/>
    <s v="Not provided"/>
    <s v="Not provided"/>
    <s v="Not provided"/>
    <s v="N/A"/>
    <s v="Structural"/>
    <s v="Completed"/>
    <n v="2013"/>
    <s v="Banana River Lagoon"/>
    <s v="Not provided"/>
    <s v="Not provided"/>
    <s v="Not provided"/>
  </r>
  <r>
    <n v="2566"/>
    <s v="City of Cocoa Beach"/>
    <s v="Not provided"/>
    <s v="CB-19"/>
    <s v="Holiday Lane Bioretention"/>
    <s v="Not provided."/>
    <s v="Grass Swales without Swale Blocks or Raised Culverts"/>
    <x v="0"/>
    <x v="3"/>
    <n v="34"/>
    <n v="7.3"/>
    <x v="0"/>
    <n v="5.2"/>
    <s v="Not provided"/>
    <n v="1200"/>
    <s v="Not provided"/>
    <s v="Not provided"/>
    <s v="N/A"/>
    <s v="Structural"/>
    <s v="Completed"/>
    <n v="2013"/>
    <s v="Banana River Lagoon"/>
    <s v="Not provided"/>
    <s v="Not provided"/>
    <s v="Not provided"/>
  </r>
  <r>
    <n v="2565"/>
    <s v="City of Cocoa Beach"/>
    <s v="Not provided"/>
    <s v="CB-20"/>
    <s v="S Banana/St. Lucie Swale"/>
    <s v="Not provided."/>
    <s v="Grass Swales without Swale Blocks or Raised Culverts"/>
    <x v="0"/>
    <x v="3"/>
    <n v="13"/>
    <n v="2.8"/>
    <x v="0"/>
    <n v="3.8"/>
    <s v="Not provided"/>
    <n v="120"/>
    <s v="Not provided"/>
    <s v="Not provided"/>
    <s v="N/A"/>
    <s v="Structural"/>
    <s v="Completed"/>
    <n v="2013"/>
    <s v="Banana River Lagoon"/>
    <s v="Not provided"/>
    <s v="Not provided"/>
    <s v="Not provided"/>
  </r>
  <r>
    <n v="2564"/>
    <s v="City of Cocoa Beach"/>
    <s v="Not provided"/>
    <s v="CB-21"/>
    <s v="S Banana/St. Lucie Swale"/>
    <s v="Not provided."/>
    <s v="Grass Swales without Swale Blocks or Raised Culverts"/>
    <x v="0"/>
    <x v="3"/>
    <n v="2"/>
    <n v="0.2"/>
    <x v="0"/>
    <n v="0.8"/>
    <s v="Not provided"/>
    <n v="120"/>
    <s v="Not provided"/>
    <s v="Not provided"/>
    <s v="N/A"/>
    <s v="Structural"/>
    <s v="Completed"/>
    <n v="2013"/>
    <s v="Banana River Lagoon"/>
    <s v="Not provided"/>
    <s v="Not provided"/>
    <s v="Not provided"/>
  </r>
  <r>
    <n v="2563"/>
    <s v="City of Cocoa Beach"/>
    <s v="Not provided"/>
    <s v="CB-22"/>
    <s v="Banana River Retention"/>
    <s v="Not provided."/>
    <s v="Dry Detention Pond"/>
    <x v="0"/>
    <x v="3"/>
    <n v="2"/>
    <n v="0.4"/>
    <x v="0"/>
    <n v="1.1000000000000001"/>
    <s v="Not provided"/>
    <n v="1500"/>
    <s v="Not provided"/>
    <s v="Not provided"/>
    <s v="N/A"/>
    <s v="Structural"/>
    <s v="Completed"/>
    <n v="2013"/>
    <s v="Banana River Lagoon"/>
    <s v="Not provided"/>
    <s v="Not provided"/>
    <s v="Not provided"/>
  </r>
  <r>
    <n v="2562"/>
    <s v="City of Cocoa Beach"/>
    <s v="Not provided"/>
    <s v="CB-23"/>
    <s v="Banana River Retention"/>
    <s v="Not provided."/>
    <s v="Dry Detention Pond"/>
    <x v="0"/>
    <x v="3"/>
    <n v="2"/>
    <n v="0.5"/>
    <x v="0"/>
    <n v="1.4"/>
    <s v="Not provided"/>
    <n v="1500"/>
    <s v="Not provided"/>
    <s v="Not provided"/>
    <s v="N/A"/>
    <s v="Structural"/>
    <s v="Completed"/>
    <n v="2013"/>
    <s v="Banana River Lagoon"/>
    <s v="Not provided"/>
    <s v="Not provided"/>
    <s v="Not provided"/>
  </r>
  <r>
    <n v="2561"/>
    <s v="City of Cocoa Beach"/>
    <s v="Not provided"/>
    <s v="CB-24"/>
    <s v="Minutemen/ Country Club Swale"/>
    <s v="Not provided."/>
    <s v="Grass Swales without Swale Blocks or Raised Culverts"/>
    <x v="0"/>
    <x v="3"/>
    <n v="7"/>
    <n v="1.6"/>
    <x v="0"/>
    <n v="1.9"/>
    <s v="Not provided"/>
    <n v="120"/>
    <s v="Not provided"/>
    <s v="Not provided"/>
    <s v="N/A"/>
    <s v="Structural"/>
    <s v="Completed"/>
    <n v="2013"/>
    <s v="Banana River Lagoon"/>
    <s v="Not provided"/>
    <s v="Not provided"/>
    <s v="Not provided"/>
  </r>
  <r>
    <n v="2524"/>
    <s v="City of Cocoa Beach"/>
    <s v="Not provided"/>
    <s v="CB-25"/>
    <s v="Palm Ave. Swale"/>
    <s v="Not provided."/>
    <s v="Grass Swales without Swale Blocks or Raised Culverts"/>
    <x v="0"/>
    <x v="3"/>
    <n v="0"/>
    <n v="0"/>
    <x v="0"/>
    <n v="0.2"/>
    <s v="Not provided"/>
    <n v="120"/>
    <s v="Not provided"/>
    <s v="Not provided"/>
    <s v="N/A"/>
    <s v="Structural"/>
    <s v="Completed"/>
    <n v="2013"/>
    <s v="Banana River Lagoon"/>
    <s v="Not provided"/>
    <s v="Not provided"/>
    <s v="Not provided"/>
  </r>
  <r>
    <n v="2489"/>
    <s v="City of Cocoa Beach"/>
    <s v="Not provided"/>
    <s v="CB-26"/>
    <s v="Minutemen/ CBHS"/>
    <s v="Not provided."/>
    <s v="Grass Swales without Swale Blocks or Raised Culverts"/>
    <x v="0"/>
    <x v="3"/>
    <n v="20"/>
    <n v="4.8"/>
    <x v="0"/>
    <n v="1.3"/>
    <s v="Not provided"/>
    <n v="500"/>
    <s v="Not provided"/>
    <s v="Not provided"/>
    <s v="N/A"/>
    <s v="Structural"/>
    <s v="Completed"/>
    <n v="2013"/>
    <s v="Banana River Lagoon"/>
    <s v="Not provided"/>
    <s v="Not provided"/>
    <s v="Not provided"/>
  </r>
  <r>
    <n v="2537"/>
    <s v="City of Cocoa Beach"/>
    <s v="Not provided"/>
    <s v="CB-27"/>
    <s v="Minutemen/ PW Complex Swale"/>
    <s v="Not provided."/>
    <s v="Grass Swales without Swale Blocks or Raised Culverts"/>
    <x v="0"/>
    <x v="3"/>
    <n v="4"/>
    <n v="0.8"/>
    <x v="0"/>
    <n v="1.9"/>
    <s v="Not provided"/>
    <n v="3000"/>
    <s v="Not provided"/>
    <s v="Not provided"/>
    <s v="N/A"/>
    <s v="Structural"/>
    <s v="Completed"/>
    <n v="2013"/>
    <s v="Banana River Lagoon"/>
    <s v="Not provided"/>
    <s v="Not provided"/>
    <s v="Not provided"/>
  </r>
  <r>
    <n v="2509"/>
    <s v="City of Cocoa Beach"/>
    <s v="Not provided"/>
    <s v="CB-28"/>
    <s v="Tom Warriner/ PW Complex Swale"/>
    <s v="Not provided."/>
    <s v="Grass Swales without Swale Blocks or Raised Culverts"/>
    <x v="0"/>
    <x v="3"/>
    <n v="3"/>
    <n v="0.4"/>
    <x v="0"/>
    <n v="0.9"/>
    <s v="Not provided"/>
    <n v="3000"/>
    <s v="Not provided"/>
    <s v="Not provided"/>
    <s v="N/A"/>
    <s v="Structural"/>
    <s v="Completed"/>
    <n v="2013"/>
    <s v="Banana River Lagoon"/>
    <s v="Not provided"/>
    <s v="Not provided"/>
    <s v="Not provided"/>
  </r>
  <r>
    <n v="2508"/>
    <s v="City of Cocoa Beach"/>
    <s v="Not provided"/>
    <s v="CB-29"/>
    <s v="Shepard Drive Swale"/>
    <s v="Not provided."/>
    <s v="Grass Swales without Swale Blocks or Raised Culverts"/>
    <x v="0"/>
    <x v="3"/>
    <n v="3"/>
    <n v="0.5"/>
    <x v="0"/>
    <n v="0.6"/>
    <s v="Not provided"/>
    <n v="120"/>
    <s v="Not provided"/>
    <s v="Not provided"/>
    <s v="N/A"/>
    <s v="Structural"/>
    <s v="Completed"/>
    <n v="2013"/>
    <s v="Banana River Lagoon"/>
    <s v="Not provided"/>
    <s v="Not provided"/>
    <s v="Not provided"/>
  </r>
  <r>
    <n v="2507"/>
    <s v="City of Cocoa Beach"/>
    <s v="Not provided"/>
    <s v="CB-30"/>
    <s v="Shepard Drive Swale"/>
    <s v="Not provided."/>
    <s v="Grass Swales without Swale Blocks or Raised Culverts"/>
    <x v="0"/>
    <x v="3"/>
    <n v="5"/>
    <n v="0.4"/>
    <x v="0"/>
    <n v="1.3"/>
    <s v="Not provided"/>
    <n v="120"/>
    <s v="Not provided"/>
    <s v="Not provided"/>
    <s v="N/A"/>
    <s v="Structural"/>
    <s v="Completed"/>
    <n v="2013"/>
    <s v="Banana River Lagoon"/>
    <s v="Not provided"/>
    <s v="Not provided"/>
    <s v="Not provided"/>
  </r>
  <r>
    <n v="2506"/>
    <s v="City of Cocoa Beach"/>
    <s v="Not provided"/>
    <s v="CB-31"/>
    <s v="W Gadsden/ Banana Swale"/>
    <s v="Not provided."/>
    <s v="Grass Swales without Swale Blocks or Raised Culverts"/>
    <x v="1"/>
    <x v="1"/>
    <s v="N/A"/>
    <s v="N/A"/>
    <x v="1"/>
    <s v="N/A"/>
    <s v="N/A"/>
    <s v="N/A"/>
    <s v="N/A"/>
    <s v="N/A"/>
    <s v="N/A"/>
    <s v="Structural"/>
    <s v="Cancelled"/>
    <n v="2013"/>
    <s v="Banana River Lagoon"/>
    <s v="N/A"/>
    <s v="N/A"/>
    <s v="N/A"/>
  </r>
  <r>
    <n v="2505"/>
    <s v="City of Cocoa Beach"/>
    <s v="Not provided"/>
    <s v="CB-32"/>
    <s v="W Pasco/ Banana Swale"/>
    <s v="Not provided."/>
    <s v="Grass Swales without Swale Blocks or Raised Culverts"/>
    <x v="0"/>
    <x v="3"/>
    <n v="2"/>
    <n v="0.2"/>
    <x v="0"/>
    <n v="1"/>
    <s v="Not provided"/>
    <n v="120"/>
    <s v="Not provided"/>
    <s v="Not provided"/>
    <s v="N/A"/>
    <s v="Structural"/>
    <s v="Completed"/>
    <n v="2013"/>
    <s v="Banana River Lagoon"/>
    <s v="Not provided"/>
    <s v="Not provided"/>
    <s v="Not provided"/>
  </r>
  <r>
    <n v="2504"/>
    <s v="City of Cocoa Beach"/>
    <s v="Not provided"/>
    <s v="CB-33"/>
    <s v="W Pasco/ Banana Swale"/>
    <s v="Not provided."/>
    <s v="Grass Swales without Swale Blocks or Raised Culverts"/>
    <x v="0"/>
    <x v="3"/>
    <n v="3"/>
    <n v="0.4"/>
    <x v="0"/>
    <n v="2.2999999999999998"/>
    <s v="Not provided"/>
    <n v="120"/>
    <s v="Not provided"/>
    <s v="Not provided"/>
    <s v="N/A"/>
    <s v="Structural"/>
    <s v="Completed"/>
    <n v="2013"/>
    <s v="Banana River Lagoon"/>
    <s v="Not provided"/>
    <s v="Not provided"/>
    <s v="Not provided"/>
  </r>
  <r>
    <n v="2503"/>
    <s v="City of Cocoa Beach"/>
    <s v="Not provided"/>
    <s v="CB-34"/>
    <s v="32 Inlet Baskets"/>
    <s v="Not provided."/>
    <s v="BMP Cleanout"/>
    <x v="0"/>
    <x v="3"/>
    <n v="32"/>
    <n v="10.3"/>
    <x v="0"/>
    <s v="Not provided"/>
    <s v="Not provided"/>
    <n v="1200"/>
    <s v="Not provided"/>
    <s v="Not provided"/>
    <s v="N/A"/>
    <s v="Non-structural"/>
    <s v="Completed"/>
    <n v="2013"/>
    <s v="Banana River Lagoon"/>
    <s v="N/A"/>
    <s v="N/A"/>
    <s v="Not provided"/>
  </r>
  <r>
    <n v="2502"/>
    <s v="City of Cocoa Beach"/>
    <s v="Not provided"/>
    <s v="CB-35"/>
    <s v="Dino Museum/ Store,  250 W CB Causeway"/>
    <s v="Not provided."/>
    <s v="Dry Detention Pond"/>
    <x v="0"/>
    <x v="3"/>
    <n v="4"/>
    <n v="0.9"/>
    <x v="0"/>
    <n v="2.1"/>
    <s v="Not provided"/>
    <n v="120"/>
    <s v="Not provided"/>
    <s v="Not provided"/>
    <s v="N/A"/>
    <s v="Structural"/>
    <s v="Completed"/>
    <n v="2013"/>
    <s v="Banana River Lagoon"/>
    <s v="Not provided"/>
    <s v="Not provided"/>
    <s v="Not provided"/>
  </r>
  <r>
    <n v="2501"/>
    <s v="City of Cocoa Beach"/>
    <s v="Not provided"/>
    <s v="CB-36"/>
    <s v="332-334 N Orlando"/>
    <s v="Not provided."/>
    <s v="Dry Detention Pond"/>
    <x v="0"/>
    <x v="3"/>
    <n v="1"/>
    <n v="0.2"/>
    <x v="0"/>
    <n v="0.5"/>
    <s v="Not provided"/>
    <n v="120"/>
    <s v="Not provided"/>
    <s v="Not provided"/>
    <s v="N/A"/>
    <s v="Structural"/>
    <s v="Completed"/>
    <n v="2013"/>
    <s v="Banana River Lagoon"/>
    <s v="Not provided"/>
    <s v="Not provided"/>
    <s v="Not provided"/>
  </r>
  <r>
    <n v="2488"/>
    <s v="City of Cocoa Beach"/>
    <s v="Not provided"/>
    <s v="CB-37"/>
    <s v="Street Sweeping"/>
    <s v="Not provided."/>
    <s v="Street Sweeping"/>
    <x v="0"/>
    <x v="1"/>
    <n v="84"/>
    <n v="54"/>
    <x v="0"/>
    <s v="N/A"/>
    <n v="38405"/>
    <n v="38405"/>
    <s v="Not provided"/>
    <n v="38405"/>
    <s v="N/A"/>
    <s v="Non-structural"/>
    <s v="Ongoing"/>
    <n v="2013"/>
    <s v="Banana River Lagoon"/>
    <s v="N/A"/>
    <s v="N/A"/>
    <s v="Not provided"/>
  </r>
  <r>
    <n v="2499"/>
    <s v="City of Cocoa Beach"/>
    <s v="N/A"/>
    <s v="CB-38"/>
    <s v="Education Efforts"/>
    <s v="FYN; landscape, irrigation, fertilizer, and pet waste ordinances; public service announcements (PSAs); pamphlets; website; Illicit Discharge Program."/>
    <s v="Education Efforts"/>
    <x v="0"/>
    <x v="1"/>
    <n v="1098"/>
    <n v="228"/>
    <x v="0"/>
    <s v="N/A"/>
    <n v="5000"/>
    <n v="5000"/>
    <s v="Not provided"/>
    <n v="5000"/>
    <s v="N/A"/>
    <s v="Non-structural"/>
    <s v="Ongoing"/>
    <n v="2013"/>
    <s v="Banana River Lagoon"/>
    <s v="N/A"/>
    <s v="N/A"/>
    <s v="Not provided"/>
  </r>
  <r>
    <n v="2511"/>
    <s v="City of Cocoa Beach"/>
    <s v="EPA/ DEP/ SJRWMD"/>
    <s v="CB-39"/>
    <s v="Minutemen Corridor Stormwater Improvement/ LID"/>
    <s v="Tree canopy, rain gardens/ rain tanks/ previous pavers/ BAM."/>
    <s v="BMP Treatment Train"/>
    <x v="0"/>
    <x v="5"/>
    <s v="TBD"/>
    <s v="TBD"/>
    <x v="0"/>
    <n v="20.3"/>
    <n v="2975671"/>
    <n v="12000"/>
    <s v="TMDL/ EPA/ Legislative/ SJRWMD"/>
    <n v="779464"/>
    <s v="G0412"/>
    <s v="Structural"/>
    <s v="Design"/>
    <n v="2013"/>
    <s v="Banana River Lagoon"/>
    <s v="Not provided"/>
    <s v="Not provided"/>
    <s v="Not provided"/>
  </r>
  <r>
    <n v="2497"/>
    <s v="City of Cocoa Beach"/>
    <s v="Not provided"/>
    <s v="CB-40"/>
    <s v="Convair Cove SW LID"/>
    <s v="Tree canopy, rain gardens/ rain tanks/ previous pavers/ BAM."/>
    <s v="BMP Treatment Train"/>
    <x v="3"/>
    <x v="8"/>
    <s v="TBD"/>
    <s v="TBD"/>
    <x v="0"/>
    <n v="11"/>
    <n v="276000"/>
    <n v="3000"/>
    <s v="TBD"/>
    <s v="TBD"/>
    <s v="TBD"/>
    <s v="Structural"/>
    <s v="Envisioned, but Not Funded"/>
    <n v="2016"/>
    <s v="Banana River Lagoon"/>
    <n v="28.320034"/>
    <n v="-80.611035000000001"/>
    <s v="2017"/>
  </r>
  <r>
    <n v="4339"/>
    <s v="City of Cocoa Beach"/>
    <s v="Not provided"/>
    <s v="CB-41"/>
    <s v="1st Street N./ Brevard SW LID"/>
    <s v="Tree canopy, rain gardens/ rain tanks/ previous pavers/ BAM."/>
    <s v="BMP Treatment Train"/>
    <x v="3"/>
    <x v="8"/>
    <s v="TBD"/>
    <s v="TBD"/>
    <x v="0"/>
    <n v="12.6"/>
    <n v="250000"/>
    <n v="3000"/>
    <s v="TBD"/>
    <s v="TBD"/>
    <s v="TBD"/>
    <s v="Structural"/>
    <m/>
    <n v="2018"/>
    <s v="Banana River Lagoon"/>
    <s v="Not provided"/>
    <s v="Not provided"/>
    <d v="1905-07-12T00:00:00"/>
  </r>
  <r>
    <n v="2496"/>
    <s v="City of Indian Harbour Beach"/>
    <s v="Not provided"/>
    <s v="IHB-01"/>
    <s v="N. Osceola Drive"/>
    <s v="Not provided."/>
    <s v="Exfiltration Trench"/>
    <x v="0"/>
    <x v="3"/>
    <n v="41.79"/>
    <n v="5.92"/>
    <x v="0"/>
    <n v="8.6161747651000002"/>
    <n v="60000"/>
    <n v="500"/>
    <s v="Not provided"/>
    <n v="60000"/>
    <s v="N/A"/>
    <s v="Structural"/>
    <s v="Completed"/>
    <n v="2013"/>
    <s v="Banana River Lagoon"/>
    <s v="Not provided"/>
    <s v="Not provided"/>
    <s v="Not provided"/>
  </r>
  <r>
    <n v="2495"/>
    <s v="City of Indian Harbour Beach"/>
    <s v="Not provided"/>
    <s v="IHB-02"/>
    <s v="Datura Drive"/>
    <s v="Not provided."/>
    <s v="Exfiltration Trench"/>
    <x v="0"/>
    <x v="3"/>
    <n v="3.53"/>
    <n v="0.53"/>
    <x v="0"/>
    <n v="0.72658181820000001"/>
    <n v="50000"/>
    <n v="300"/>
    <s v="Not provided"/>
    <n v="50000"/>
    <s v="N/A"/>
    <s v="Structural"/>
    <s v="Completed"/>
    <n v="2013"/>
    <s v="Banana River Lagoon"/>
    <s v="Not provided"/>
    <s v="Not provided"/>
    <s v="Not provided"/>
  </r>
  <r>
    <n v="2494"/>
    <s v="City of Indian Harbour Beach"/>
    <s v="Not provided"/>
    <s v="IHB-03"/>
    <s v="Coquina Palms Subdivision"/>
    <s v="Not provided."/>
    <s v="100% On-site Retention"/>
    <x v="0"/>
    <x v="3"/>
    <n v="61"/>
    <n v="10.9"/>
    <x v="0"/>
    <n v="6.3"/>
    <s v="N/A"/>
    <s v="Not provided"/>
    <s v="Not provided"/>
    <s v="Not provided"/>
    <s v="N/A"/>
    <s v="Structural"/>
    <s v="Completed"/>
    <n v="2013"/>
    <s v="Banana River Lagoon"/>
    <s v="Not provided"/>
    <s v="Not provided"/>
    <s v="Not provided"/>
  </r>
  <r>
    <n v="2493"/>
    <s v="City of Indian Harbour Beach"/>
    <s v="Not provided"/>
    <s v="IHB-04"/>
    <s v="Education Efforts"/>
    <s v="Landscape, irrigation, fertilizer, and pet waste ordinances; pamphlets, illicit discharge program."/>
    <s v="Education Efforts"/>
    <x v="0"/>
    <x v="1"/>
    <n v="647.79500000000007"/>
    <n v="120.81899999999999"/>
    <x v="0"/>
    <s v="N/A"/>
    <s v="Not provided"/>
    <s v="Not provided"/>
    <s v="Not provided"/>
    <s v="Not provided"/>
    <s v="N/A"/>
    <s v="Non-structural"/>
    <s v="Ongoing"/>
    <n v="2013"/>
    <s v="Banana River Lagoon"/>
    <s v="N/A"/>
    <s v="N/A"/>
    <s v="Not provided"/>
  </r>
  <r>
    <n v="2492"/>
    <s v="City of Indian Harbour Beach"/>
    <s v="Not provided"/>
    <s v="IHB-05"/>
    <s v="Inlet Cleaning"/>
    <s v="Not provided."/>
    <s v="BMP Cleanout"/>
    <x v="0"/>
    <x v="1"/>
    <n v="7.12"/>
    <n v="4.37"/>
    <x v="0"/>
    <s v="Not provided"/>
    <s v="N/A"/>
    <s v="N/A"/>
    <s v="Not provided"/>
    <s v="Not provided"/>
    <s v="N/A"/>
    <s v="Non-structural"/>
    <s v="Ongoing"/>
    <n v="2013"/>
    <s v="Banana River Lagoon"/>
    <s v="N/A"/>
    <s v="N/A"/>
    <s v="Not provided"/>
  </r>
  <r>
    <n v="2491"/>
    <s v="City of Indian Harbour Beach"/>
    <s v="N/A"/>
    <s v="IHB-06"/>
    <s v="Street Sweeping"/>
    <s v="Not provided."/>
    <s v="Street Sweeping"/>
    <x v="0"/>
    <x v="1"/>
    <n v="149.71"/>
    <n v="95.99"/>
    <x v="0"/>
    <s v="N/A"/>
    <n v="9800"/>
    <s v="Not provided"/>
    <s v="Not provided"/>
    <n v="9800"/>
    <s v="N/A"/>
    <s v="Non-structural"/>
    <s v="Ongoing"/>
    <n v="2013"/>
    <s v="Banana River Lagoon"/>
    <s v="N/A"/>
    <s v="N/A"/>
    <s v="Not provided"/>
  </r>
  <r>
    <n v="2490"/>
    <s v="City of Indian Harbour Beach"/>
    <s v="Not provided"/>
    <s v="IHB-07"/>
    <s v="Gleason Park Phase 1"/>
    <s v="Not provided."/>
    <s v="Wet Detention Pond"/>
    <x v="0"/>
    <x v="3"/>
    <n v="382.2"/>
    <n v="118.56"/>
    <x v="0"/>
    <n v="128.88"/>
    <n v="135000"/>
    <n v="200"/>
    <s v="Not provided"/>
    <n v="135000"/>
    <s v="N/A"/>
    <s v="Structural"/>
    <s v="Completed"/>
    <n v="2013"/>
    <s v="Banana River Lagoon"/>
    <s v="Not provided"/>
    <s v="Not provided"/>
    <s v="Not provided"/>
  </r>
  <r>
    <n v="2522"/>
    <s v="City of Indian Harbour Beach"/>
    <s v="Not provided"/>
    <s v="IHB-08"/>
    <s v="Atlantic Ave. Swale"/>
    <s v="Not provided."/>
    <s v="Grass Swales without Swale Blocks or Raised Culverts"/>
    <x v="0"/>
    <x v="3"/>
    <n v="8"/>
    <n v="1.2"/>
    <x v="0"/>
    <n v="0.96"/>
    <s v="N/A"/>
    <s v="N/A"/>
    <s v="Not provided"/>
    <s v="Not provided"/>
    <s v="N/A"/>
    <s v="Structural"/>
    <s v="Completed"/>
    <n v="2013"/>
    <s v="Banana River Lagoon"/>
    <s v="Not provided"/>
    <s v="Not provided"/>
    <s v="Not provided"/>
  </r>
  <r>
    <n v="2498"/>
    <s v="City of Indian Harbour Beach"/>
    <s v="Not provided"/>
    <s v="IHB-09"/>
    <s v="Gleason Park Irrigation"/>
    <s v="Not provided."/>
    <s v="Reclaimed Water"/>
    <x v="0"/>
    <x v="2"/>
    <n v="47.78"/>
    <n v="8.3800000000000008"/>
    <x v="0"/>
    <n v="128.88"/>
    <s v="N/A"/>
    <s v="N/A"/>
    <s v="Not provided"/>
    <s v="Not provided"/>
    <s v="N/A"/>
    <s v="Structural"/>
    <s v="Ongoing"/>
    <n v="2013"/>
    <s v="Banana River Lagoon"/>
    <s v="Not provided"/>
    <s v="Not provided"/>
    <s v="Not provided"/>
  </r>
  <r>
    <n v="2500"/>
    <s v="City of Indian Harbour Beach"/>
    <s v="Not provided"/>
    <s v="IHB-10"/>
    <s v="Indian Harbour Beach Condo Pond"/>
    <s v="(Previously named Lift Station Pond)"/>
    <s v="Dry Detention Pond"/>
    <x v="0"/>
    <x v="5"/>
    <n v="47.66"/>
    <n v="8.3699999999999992"/>
    <x v="0"/>
    <n v="2.35"/>
    <n v="13277"/>
    <s v="N/A"/>
    <s v="Not provided"/>
    <n v="13277"/>
    <s v="N/A"/>
    <s v="Structural"/>
    <s v="Completed"/>
    <n v="2013"/>
    <s v="Banana River Lagoon"/>
    <s v="Not provided"/>
    <s v="Not provided"/>
    <s v="Not provided"/>
  </r>
  <r>
    <n v="2534"/>
    <s v="City of Indian Harbour Beach"/>
    <s v="Not provided"/>
    <s v="IHB-11"/>
    <s v="Fire Station Exfiltration"/>
    <s v="Not provided."/>
    <s v="Exfiltration Trench"/>
    <x v="0"/>
    <x v="3"/>
    <n v="9"/>
    <n v="1"/>
    <x v="0"/>
    <n v="2.8"/>
    <n v="11481"/>
    <s v="N/A"/>
    <s v="Not provided"/>
    <n v="11481"/>
    <s v="N/A"/>
    <s v="Structural"/>
    <s v="Completed"/>
    <n v="2013"/>
    <s v="Banana River Lagoon"/>
    <s v="Not provided"/>
    <s v="Not provided"/>
    <s v="Not provided"/>
  </r>
  <r>
    <n v="2533"/>
    <s v="City of Indian Harbour Beach"/>
    <s v="Not provided"/>
    <s v="IHB-12"/>
    <s v="School Road at Park Drive"/>
    <s v="Not provided."/>
    <s v="Exfiltration Trench"/>
    <x v="0"/>
    <x v="3"/>
    <n v="15"/>
    <n v="3.1"/>
    <x v="0"/>
    <n v="15.8"/>
    <s v="Not provided"/>
    <s v="N/A"/>
    <s v="Not provided"/>
    <s v="Not provided"/>
    <s v="N/A"/>
    <s v="Structural"/>
    <s v="Completed"/>
    <n v="2013"/>
    <s v="Banana River Lagoon"/>
    <s v="Not provided"/>
    <s v="Not provided"/>
    <s v="Not provided"/>
  </r>
  <r>
    <n v="2532"/>
    <s v="City of Indian Harbour Beach"/>
    <s v="Not provided"/>
    <s v="IHB-13"/>
    <s v="Yuma Drive Exfiltration"/>
    <s v="Not provided."/>
    <s v="Exfiltration Trench"/>
    <x v="0"/>
    <x v="16"/>
    <n v="26"/>
    <n v="5.8"/>
    <x v="0"/>
    <n v="11.15"/>
    <s v="Not provided"/>
    <s v="N/A"/>
    <s v="Not provided"/>
    <s v="Not provided"/>
    <s v="N/A"/>
    <s v="Structural"/>
    <s v="Completed"/>
    <n v="2014"/>
    <s v="Banana River Lagoon"/>
    <s v="Not provided"/>
    <s v="Not provided"/>
    <s v="Not provided"/>
  </r>
  <r>
    <n v="2531"/>
    <s v="City of Indian Harbour Beach"/>
    <s v="Not provided"/>
    <s v="IHB-14"/>
    <s v="Lime Bay Exfiltration"/>
    <s v="Not provided."/>
    <s v="Exfiltration Trench"/>
    <x v="0"/>
    <x v="16"/>
    <n v="27.75"/>
    <n v="6.17"/>
    <x v="0"/>
    <n v="31.22"/>
    <s v="Not provided"/>
    <s v="N/A"/>
    <s v="Not provided"/>
    <s v="Not provided"/>
    <s v="N/A"/>
    <s v="Structural"/>
    <s v="Completed"/>
    <n v="2014"/>
    <s v="Banana River Lagoon"/>
    <s v="Not provided"/>
    <s v="Not provided"/>
    <s v="Not provided"/>
  </r>
  <r>
    <n v="2530"/>
    <s v="City of Indian Harbour Beach"/>
    <s v="Not provided"/>
    <s v="IHB-15"/>
    <s v="Andros Lane Exfiltration"/>
    <s v="Not provided."/>
    <s v="Exfiltration Trench"/>
    <x v="0"/>
    <x v="16"/>
    <n v="4"/>
    <n v="0.5"/>
    <x v="0"/>
    <n v="8.73"/>
    <s v="Not provided"/>
    <s v="N/A"/>
    <s v="Not provided"/>
    <s v="Not provided"/>
    <s v="N/A"/>
    <s v="Structural"/>
    <s v="Completed"/>
    <n v="2014"/>
    <s v="Banana River Lagoon"/>
    <s v="Not provided"/>
    <s v="Not provided"/>
    <s v="Not provided"/>
  </r>
  <r>
    <n v="2529"/>
    <s v="City of Indian Harbour Beach"/>
    <s v="Not provided"/>
    <s v="IHB-16"/>
    <s v="Indian Harbour Beach Condo Pond"/>
    <s v="Not provided."/>
    <s v="Dry Detention Pond"/>
    <x v="1"/>
    <x v="1"/>
    <s v="N/A"/>
    <s v="N/A"/>
    <x v="1"/>
    <s v="N/A"/>
    <s v="N/A"/>
    <s v="N/A"/>
    <s v="N/A"/>
    <s v="N/A"/>
    <s v="N/A"/>
    <s v="Structural"/>
    <s v="Cancelled"/>
    <n v="2015"/>
    <s v="Banana River Lagoon"/>
    <s v="N/A"/>
    <s v="N/A"/>
    <s v="N/A"/>
  </r>
  <r>
    <n v="2528"/>
    <s v="City of Indian Harbour Beach"/>
    <s v="Not provided"/>
    <s v="IHB-17"/>
    <s v="Fire Station Exfiltration"/>
    <s v="Not provided."/>
    <s v="Exfiltration Trench"/>
    <x v="0"/>
    <x v="5"/>
    <n v="3.3"/>
    <n v="0.35"/>
    <x v="0"/>
    <n v="2.7947804252770001"/>
    <s v="Not provided"/>
    <s v="N/A"/>
    <s v="Not provided"/>
    <s v="Not provided"/>
    <s v="N/A"/>
    <s v="Structural"/>
    <s v="Completed"/>
    <n v="2016"/>
    <s v="Banana River Lagoon"/>
    <s v="Not provided"/>
    <s v="Not provided"/>
    <s v="Not provided"/>
  </r>
  <r>
    <n v="2527"/>
    <s v="City of Indian Harbour Beach"/>
    <s v="Not provided"/>
    <s v="IHB-18"/>
    <s v="Inwood Lane Exfiltration"/>
    <s v="Not provided."/>
    <s v="Exfiltration Trench"/>
    <x v="0"/>
    <x v="5"/>
    <n v="8"/>
    <n v="1.1000000000000001"/>
    <x v="0"/>
    <n v="7.723622658891129"/>
    <s v="Not provided"/>
    <s v="N/A"/>
    <s v="Not provided"/>
    <s v="Not provided"/>
    <s v="N/A"/>
    <s v="Structural"/>
    <s v="Completed"/>
    <n v="2016"/>
    <s v="Banana River Lagoon"/>
    <s v="Not provided"/>
    <s v="Not provided"/>
    <s v="Not provided"/>
  </r>
  <r>
    <n v="2526"/>
    <s v="City of Indian Harbour Beach"/>
    <s v="SOIRL"/>
    <s v="IHB-19"/>
    <s v="Gleason Park Irrigation Expansion"/>
    <s v="Expansion of irrigation in Gleason Park."/>
    <s v="Reclaimed Water"/>
    <x v="0"/>
    <x v="4"/>
    <n v="47.66"/>
    <n v="8.3699999999999992"/>
    <x v="0"/>
    <n v="128.87665205312118"/>
    <n v="11000"/>
    <s v="N/A"/>
    <s v="SOIRL"/>
    <s v="SOIRL - $4,224"/>
    <s v="N/A"/>
    <s v="Structural"/>
    <s v="Envisioned, but Not Funded"/>
    <n v="2016"/>
    <s v="Banana River Lagoon"/>
    <s v="Not provided"/>
    <s v="Not provided"/>
    <s v="2017"/>
  </r>
  <r>
    <n v="2525"/>
    <s v="City of Indian Harbour Beach"/>
    <s v="Not provided"/>
    <s v="IHB-20"/>
    <s v="Oars and Paddles Dry Pond"/>
    <s v="Dry detention with BAM."/>
    <s v="Dry Detention Pond"/>
    <x v="3"/>
    <x v="10"/>
    <s v="TBD"/>
    <s v="TBD"/>
    <x v="0"/>
    <n v="35.202762708700718"/>
    <s v="TBD"/>
    <s v="TBD"/>
    <s v="TBD"/>
    <s v="TBD"/>
    <s v="N/A"/>
    <s v="Structural"/>
    <s v="Envisioned, but Not Funded"/>
    <n v="2016"/>
    <s v="Banana River Lagoon"/>
    <s v="Not provided"/>
    <s v="Not provided"/>
    <s v="TDB"/>
  </r>
  <r>
    <n v="2512"/>
    <s v="City of Indian Harbour Beach"/>
    <s v="Not provided"/>
    <s v="IHB-21"/>
    <s v="FDOT Pond #3 Beemats"/>
    <s v="Beemats (6,700 sq. feet)."/>
    <s v="Floating Islands/ Managed Aquatic Plant Systems (MAPS)"/>
    <x v="3"/>
    <x v="10"/>
    <s v="TBD"/>
    <s v="TBD"/>
    <x v="0"/>
    <n v="137.89216378656192"/>
    <n v="10000"/>
    <s v="TBD"/>
    <s v="TBD"/>
    <s v="TBD"/>
    <s v="N/A"/>
    <s v="Structural"/>
    <s v="Envisioned, but Not Funded"/>
    <n v="2016"/>
    <s v="Banana River Lagoon"/>
    <s v="Not provided"/>
    <s v="Not provided"/>
    <s v="TBD"/>
  </r>
  <r>
    <n v="2523"/>
    <s v="City of Indian Harbour Beach"/>
    <s v="TBD"/>
    <s v="IHB-22"/>
    <s v="Kristi &amp; Pinetree Dr. Swale"/>
    <s v="1000' long swale along Pinetree Dr.; swales with blocks or raised culverts."/>
    <s v="Grass swales with swale blocks or raised culverts"/>
    <x v="3"/>
    <x v="10"/>
    <n v="54"/>
    <n v="12.2"/>
    <x v="0"/>
    <n v="3.6229922974460003"/>
    <n v="12000"/>
    <s v="TBD"/>
    <s v="TBD"/>
    <s v="TBD"/>
    <s v="N/A"/>
    <s v="Structural"/>
    <s v="Envisioned, but Not Funded"/>
    <n v="2016"/>
    <s v="Banana River Lagoon"/>
    <s v="Not provided"/>
    <s v="Not provided"/>
    <s v="TBD"/>
  </r>
  <r>
    <n v="2535"/>
    <s v="City of Indian Harbour Beach"/>
    <s v="TBD"/>
    <s v="IHB-23"/>
    <s v="Wimico Drive Swale"/>
    <s v="Retention swale, perhaps with BAM, along Wimico Dr.; swales with blocks or raised culverts."/>
    <s v="Grass swales with swale blocks or raised culverts"/>
    <x v="3"/>
    <x v="10"/>
    <n v="23"/>
    <n v="3.3"/>
    <x v="0"/>
    <n v="2.5126751075699998"/>
    <n v="10000"/>
    <s v="TBD"/>
    <s v="TBD"/>
    <s v="TBD"/>
    <s v="N/A"/>
    <s v="Structural"/>
    <s v="Envisioned, but Not Funded"/>
    <n v="2016"/>
    <s v="Banana River Lagoon"/>
    <s v="Not provided"/>
    <s v="Not provided"/>
    <s v="TBD"/>
  </r>
  <r>
    <n v="2521"/>
    <s v="City of Indian Harbour Beach"/>
    <s v="TBD"/>
    <s v="IHB-24"/>
    <s v="Crispino Wet Pond"/>
    <s v="Construction of 2.9 acre wet pond in Crispino Park (city-owned)."/>
    <s v="Wet Detention Pond"/>
    <x v="3"/>
    <x v="10"/>
    <n v="99.25"/>
    <n v="32.090000000000003"/>
    <x v="0"/>
    <n v="34.238829454483813"/>
    <n v="600000"/>
    <s v="TBD"/>
    <s v="TBD"/>
    <s v="TBD"/>
    <s v="N/A"/>
    <s v="Structural"/>
    <s v="Envisioned, but Not Funded"/>
    <n v="2016"/>
    <s v="Banana River Lagoon"/>
    <s v="Not provided"/>
    <s v="Not provided"/>
    <s v="TBD"/>
  </r>
  <r>
    <n v="2520"/>
    <s v="City of Indian Harbour Beach"/>
    <s v="SOIRL"/>
    <s v="IHB-25"/>
    <s v="Big Muddy Canal Baffle Box at Cynthia"/>
    <s v="Baffle box installed at major outfall to Big Muddy Canal."/>
    <s v="Baffle Boxes- Second Generation"/>
    <x v="2"/>
    <x v="10"/>
    <s v="TBD"/>
    <s v="TBD"/>
    <x v="0"/>
    <n v="63.8"/>
    <n v="283975"/>
    <s v="TBD"/>
    <s v="SOIRL"/>
    <s v="SOIRL - $26,637"/>
    <s v="N/A"/>
    <s v="Structural"/>
    <s v="Envisioned, but Not Funded"/>
    <n v="2016"/>
    <s v="Banana River Lagoon"/>
    <s v="Not provided"/>
    <s v="Not provided"/>
    <s v="2017"/>
  </r>
  <r>
    <n v="2519"/>
    <s v="City of Indian Harbour Beach"/>
    <s v="Not provided"/>
    <s v="IHB-26"/>
    <s v="Cheyenne Dr./ Marion Baffle"/>
    <s v="Baffle Box installed at a major outfall to Big Muddy Canal."/>
    <s v="Baffle Boxes- Second Generation"/>
    <x v="2"/>
    <x v="10"/>
    <s v="TBD"/>
    <s v="TBD"/>
    <x v="0"/>
    <s v="TBD"/>
    <s v="Not provided"/>
    <s v="Not provided"/>
    <s v="Not provided"/>
    <s v="Not provided"/>
    <s v="N/A"/>
    <s v="Structural"/>
    <s v="Envisioned, but Not Funded"/>
    <n v="2016"/>
    <s v="Banana River Lagoon"/>
    <s v="Not provided"/>
    <s v="Not provided"/>
    <s v="Not provided"/>
  </r>
  <r>
    <n v="2518"/>
    <s v="City of Indian Harbour Beach"/>
    <s v="Not provided"/>
    <s v="IHB-27"/>
    <s v="Beach Funeral Home Pervious Parking"/>
    <s v="Provide retention using pervious parking."/>
    <s v="Pervious Pavement"/>
    <x v="2"/>
    <x v="10"/>
    <s v="TBD"/>
    <s v="TBD"/>
    <x v="0"/>
    <s v="TBD"/>
    <s v="Not provided"/>
    <s v="Not provided"/>
    <s v="Not provided"/>
    <s v="Not provided"/>
    <s v="N/A"/>
    <s v="Structural"/>
    <s v="Envisioned, but Not Funded"/>
    <n v="2016"/>
    <s v="Banana River Lagoon"/>
    <s v="Not provided"/>
    <s v="Not provided"/>
    <s v="Not provided"/>
  </r>
  <r>
    <n v="2517"/>
    <s v="City of Indian Harbour Beach"/>
    <s v="Not provided"/>
    <s v="IHB-28"/>
    <s v="Townhouse Estates Exfiltration"/>
    <s v="Exfiltration or dry pond in residential neighborhood."/>
    <s v="Exfiltration Trench"/>
    <x v="2"/>
    <x v="10"/>
    <s v="TBD"/>
    <s v="TBD"/>
    <x v="0"/>
    <n v="4.9432690368478998"/>
    <n v="15000"/>
    <s v="Not provided"/>
    <s v="Not provided"/>
    <s v="Not provided"/>
    <s v="N/A"/>
    <s v="Structural"/>
    <s v="Envisioned, but Not Funded"/>
    <n v="2016"/>
    <s v="Banana River Lagoon"/>
    <s v="Not provided"/>
    <s v="Not provided"/>
    <s v="Not provided"/>
  </r>
  <r>
    <n v="2516"/>
    <s v="City of Indian Harbour Beach"/>
    <s v="Not provided"/>
    <s v="IHB-29"/>
    <s v="Palm Springs Swale"/>
    <s v="Swale in entire median (2,200 feet) of Palm Springs Blvd.; swales with blocks or raised culverts."/>
    <s v="Grass swales with swale blocks or raised culverts"/>
    <x v="2"/>
    <x v="10"/>
    <n v="83.1"/>
    <n v="21.3"/>
    <x v="0"/>
    <n v="4.8116448426202005"/>
    <n v="10000"/>
    <s v="Not provided"/>
    <s v="Not provided"/>
    <s v="Not provided"/>
    <s v="N/A"/>
    <s v="Structural"/>
    <s v="Envisioned, but Not Funded"/>
    <n v="2016"/>
    <s v="Banana River Lagoon"/>
    <s v="Not provided"/>
    <s v="Not provided"/>
    <s v="Not provided"/>
  </r>
  <r>
    <n v="2515"/>
    <s v="City of Indian Harbour Beach"/>
    <s v="Not provided"/>
    <s v="IHB-30"/>
    <s v="Alhambra Exfiltration"/>
    <s v="Indian Head (master plan) exfiltration with 1,330 ft. exfiltration pipe."/>
    <s v="Exfiltration Trench"/>
    <x v="2"/>
    <x v="10"/>
    <n v="62.62"/>
    <n v="9.99"/>
    <x v="0"/>
    <n v="15.57661965109439"/>
    <n v="500000"/>
    <s v="Not provided"/>
    <s v="Not provided"/>
    <s v="Not provided"/>
    <s v="N/A"/>
    <s v="Structural"/>
    <s v="Envisioned, but Not Funded"/>
    <n v="2016"/>
    <s v="Banana River Lagoon"/>
    <s v="Not provided"/>
    <s v="Not provided"/>
    <s v="Not provided"/>
  </r>
  <r>
    <n v="2514"/>
    <s v="City of Indian Harbour Beach"/>
    <s v="Not provided"/>
    <s v="IHB-31"/>
    <s v="Ronnie Exfiltration Extension"/>
    <s v="Extension of Project IHB-29; additional 500 ft. exfiltration pipe."/>
    <s v="Exfiltration Trench"/>
    <x v="2"/>
    <x v="10"/>
    <n v="15.35"/>
    <n v="2.15"/>
    <x v="0"/>
    <n v="2.1745147619899998"/>
    <n v="200000"/>
    <s v="Not provided"/>
    <s v="Not provided"/>
    <s v="Not provided"/>
    <s v="N/A"/>
    <s v="Structural"/>
    <s v="Envisioned, but Not Funded"/>
    <n v="2016"/>
    <s v="Banana River Lagoon"/>
    <s v="Not provided"/>
    <s v="Not provided"/>
    <s v="Not provided"/>
  </r>
  <r>
    <n v="2606"/>
    <s v="City of Indian Harbour Beach"/>
    <s v="Not provided"/>
    <s v="IHB-32"/>
    <s v="Atlantic Exfiltration East"/>
    <s v="Jamestown Phase 1 (master plan)with 4,600 ft exfiltration."/>
    <s v="Exfiltration Trench"/>
    <x v="2"/>
    <x v="10"/>
    <n v="187.86"/>
    <n v="26.81"/>
    <x v="0"/>
    <n v="37.623180265842954"/>
    <n v="1400000"/>
    <s v="Not provided"/>
    <s v="Not provided"/>
    <s v="Not provided"/>
    <s v="N/A"/>
    <s v="Structural"/>
    <s v="Envisioned, but Not Funded"/>
    <n v="2016"/>
    <s v="Banana River Lagoon"/>
    <s v="Not provided"/>
    <s v="Not provided"/>
    <s v="Not provided"/>
  </r>
  <r>
    <n v="2510"/>
    <s v="City of Indian Harbour Beach"/>
    <s v="Not provided"/>
    <s v="IHB-33"/>
    <s v="Atlantic Exfiltration West"/>
    <s v="Jamestown Phase 2 (master plan) exfiltration with weirs, etc."/>
    <s v="Exfiltration Trench"/>
    <x v="2"/>
    <x v="10"/>
    <n v="106.66"/>
    <n v="15.09"/>
    <x v="0"/>
    <n v="31.995056935000001"/>
    <n v="1200000"/>
    <s v="Not provided"/>
    <s v="Not provided"/>
    <s v="Not provided"/>
    <s v="N/A"/>
    <s v="Structural"/>
    <s v="Envisioned, but Not Funded"/>
    <n v="2016"/>
    <s v="Banana River Lagoon"/>
    <s v="Not provided"/>
    <s v="Not provided"/>
    <s v="Not provided"/>
  </r>
  <r>
    <n v="2572"/>
    <s v="City of Indian Harbour Beach"/>
    <s v="Not provided"/>
    <s v="IHB-34"/>
    <s v="Pinetree Streetscaping"/>
    <s v="LID features including planters, rain garden, porous pavement, and BAM."/>
    <s v="BMP Treatment Train"/>
    <x v="2"/>
    <x v="10"/>
    <s v="TBD"/>
    <s v="TBD"/>
    <x v="0"/>
    <n v="90.973436222642306"/>
    <s v="Not provided"/>
    <s v="Not provided"/>
    <s v="Not provided"/>
    <s v="Not provided"/>
    <s v="N/A"/>
    <s v="Structural"/>
    <s v="Envisioned, but Not Funded"/>
    <n v="2016"/>
    <s v="Banana River Lagoon"/>
    <s v="Not provided"/>
    <s v="Not provided"/>
    <s v="Not provided"/>
  </r>
  <r>
    <n v="2654"/>
    <s v="City of Indian Harbour Beach"/>
    <s v="Not provided"/>
    <s v="IHB-35"/>
    <s v="Muck Dregding"/>
    <s v="Muck dredging along major canals, including Grand Canal."/>
    <s v="Muck Removal/Restoration Dredging"/>
    <x v="2"/>
    <x v="10"/>
    <n v="29554"/>
    <n v="3069"/>
    <x v="0"/>
    <s v="N/A"/>
    <n v="9625000"/>
    <s v="Not provided"/>
    <s v="Not provided"/>
    <s v="Not provided"/>
    <s v="N/A"/>
    <s v="Non-structural"/>
    <s v="Envisioned, but Not Funded"/>
    <n v="2016"/>
    <s v="Banana River Lagoon"/>
    <s v="Not provided"/>
    <s v="Not provided"/>
    <s v="2017"/>
  </r>
  <r>
    <n v="2653"/>
    <s v="City of Indian Harbour Beach"/>
    <s v="TBD"/>
    <s v="IHB-36"/>
    <s v="Save Our Lagoon Park"/>
    <s v="Wet detention pond, perhaps other LID features."/>
    <s v="Wet Detention Pond"/>
    <x v="3"/>
    <x v="10"/>
    <s v="TBD"/>
    <s v="TBD"/>
    <x v="0"/>
    <n v="43.3"/>
    <s v="TBD"/>
    <s v="TBD"/>
    <s v="TBD"/>
    <s v="TBD"/>
    <s v="N/A"/>
    <s v="Structural"/>
    <s v="Design"/>
    <n v="2017"/>
    <s v="Banana River Lagoon"/>
    <s v="Not provided"/>
    <s v="Not provided"/>
    <s v="2021"/>
  </r>
  <r>
    <n v="2652"/>
    <s v="City of Satellite Beach"/>
    <s v="Not provided"/>
    <s v="SB-01"/>
    <s v="Jackson Exfiltration"/>
    <s v="Not provided."/>
    <s v="Exfiltration Trench"/>
    <x v="0"/>
    <x v="3"/>
    <n v="9"/>
    <n v="2.2000000000000002"/>
    <x v="0"/>
    <n v="24.7"/>
    <s v="Not provided"/>
    <s v="Not provided"/>
    <s v="Not provided"/>
    <s v="Not provided"/>
    <s v="N/A"/>
    <s v="Structural"/>
    <s v="Completed"/>
    <n v="2013"/>
    <s v="Banana River Lagoon"/>
    <s v="Not provided"/>
    <s v="Not provided"/>
    <s v="Not provided"/>
  </r>
  <r>
    <n v="2651"/>
    <s v="City of Satellite Beach"/>
    <s v="Not provided"/>
    <s v="SB-02"/>
    <s v="Jackson Exfiltration"/>
    <s v="Not provided."/>
    <s v="Exfiltration Trench"/>
    <x v="0"/>
    <x v="3"/>
    <n v="6"/>
    <n v="0.8"/>
    <x v="0"/>
    <n v="8.1999999999999993"/>
    <s v="Not provided"/>
    <s v="Not provided"/>
    <s v="Not provided"/>
    <s v="Not provided"/>
    <s v="N/A"/>
    <s v="Structural"/>
    <s v="Completed"/>
    <n v="2013"/>
    <s v="Banana River Lagoon"/>
    <s v="Not provided"/>
    <s v="Not provided"/>
    <s v="Not provided"/>
  </r>
  <r>
    <n v="2637"/>
    <s v="City of Satellite Beach"/>
    <s v="Not provided"/>
    <s v="SB-03"/>
    <s v="Jackson Exfiltration"/>
    <s v="Not provided."/>
    <s v="Exfiltration Trench"/>
    <x v="0"/>
    <x v="3"/>
    <n v="6"/>
    <n v="1.7"/>
    <x v="0"/>
    <n v="8.6"/>
    <s v="Not provided"/>
    <s v="Not provided"/>
    <s v="Not provided"/>
    <s v="Not provided"/>
    <s v="N/A"/>
    <s v="Structural"/>
    <s v="Completed"/>
    <n v="2013"/>
    <s v="Banana River Lagoon"/>
    <s v="Not provided"/>
    <s v="Not provided"/>
    <s v="Not provided"/>
  </r>
  <r>
    <n v="2636"/>
    <s v="City of Satellite Beach"/>
    <s v="Not provided"/>
    <s v="SB-04"/>
    <s v="Avocado Continuous Deflective Separation (CDS) Unit"/>
    <s v="Not provided."/>
    <s v="Hydrodynamic Separators"/>
    <x v="0"/>
    <x v="3"/>
    <n v="0"/>
    <n v="3.2"/>
    <x v="0"/>
    <n v="8.6"/>
    <s v="Not provided"/>
    <s v="Not provided"/>
    <s v="Not provided"/>
    <s v="Not provided"/>
    <s v="N/A"/>
    <s v="Structural"/>
    <s v="Completed"/>
    <n v="2013"/>
    <s v="Banana River Lagoon"/>
    <s v="Not provided"/>
    <s v="Not provided"/>
    <s v="Not provided"/>
  </r>
  <r>
    <n v="2635"/>
    <s v="City of Satellite Beach"/>
    <s v="Not provided"/>
    <s v="SB-05"/>
    <s v="Jackson Exfiltration"/>
    <s v="Not provided."/>
    <s v="Exfiltration Trench"/>
    <x v="0"/>
    <x v="3"/>
    <n v="3"/>
    <n v="0.4"/>
    <x v="0"/>
    <n v="11.7"/>
    <s v="Not provided"/>
    <s v="Not provided"/>
    <s v="Not provided"/>
    <s v="Not provided"/>
    <s v="N/A"/>
    <s v="Structural"/>
    <s v="Completed"/>
    <n v="2013"/>
    <s v="Banana River Lagoon"/>
    <s v="Not provided"/>
    <s v="Not provided"/>
    <s v="Not provided"/>
  </r>
  <r>
    <n v="2634"/>
    <s v="City of Satellite Beach"/>
    <s v="DEP"/>
    <s v="SB-06"/>
    <s v="Coconut Exfiltration"/>
    <s v="Not provided."/>
    <s v="Exfiltration Trench"/>
    <x v="0"/>
    <x v="3"/>
    <n v="27"/>
    <n v="4.5999999999999996"/>
    <x v="0"/>
    <n v="39.700000000000003"/>
    <s v="Not provided"/>
    <s v="Not provided"/>
    <s v="DEP"/>
    <s v="Not provided"/>
    <s v="G0082"/>
    <s v="Structural"/>
    <s v="Completed"/>
    <n v="2013"/>
    <s v="Banana River Lagoon"/>
    <s v="Not provided"/>
    <s v="Not provided"/>
    <s v="Not provided"/>
  </r>
  <r>
    <n v="2666"/>
    <s v="City of Satellite Beach"/>
    <s v="DEP"/>
    <s v="SB-07"/>
    <s v="Desoto Exfiltration"/>
    <s v="Not provided."/>
    <s v="Exfiltration Trench"/>
    <x v="0"/>
    <x v="3"/>
    <n v="97"/>
    <n v="13.7"/>
    <x v="0"/>
    <n v="108.2"/>
    <s v="Not provided"/>
    <s v="Not provided"/>
    <s v="DEP"/>
    <s v="Not provided"/>
    <s v="G0082"/>
    <s v="Structural"/>
    <s v="Completed"/>
    <n v="2013"/>
    <s v="Banana River Lagoon"/>
    <s v="Not provided"/>
    <s v="Not provided"/>
    <s v="Not provided"/>
  </r>
  <r>
    <n v="2642"/>
    <s v="City of Satellite Beach"/>
    <s v="DEP"/>
    <s v="SB-08"/>
    <s v="Desoto Exfiltration"/>
    <s v="Not provided."/>
    <s v="Exfiltration Trench"/>
    <x v="0"/>
    <x v="3"/>
    <n v="25"/>
    <n v="3.5"/>
    <x v="0"/>
    <n v="7.8"/>
    <s v="Not provided"/>
    <s v="Not provided"/>
    <s v="DEP"/>
    <s v="Not provided"/>
    <s v="G0082"/>
    <s v="Structural"/>
    <s v="Completed"/>
    <n v="2013"/>
    <s v="Banana River Lagoon"/>
    <s v="Not provided"/>
    <s v="Not provided"/>
    <s v="Not provided"/>
  </r>
  <r>
    <n v="2644"/>
    <s v="City of Satellite Beach"/>
    <s v="DEP"/>
    <s v="SB-09"/>
    <s v="Jamaica Blvd. Ponds"/>
    <s v="Not provided."/>
    <s v="Wet Detention Pond"/>
    <x v="0"/>
    <x v="3"/>
    <n v="600"/>
    <n v="160.19999999999999"/>
    <x v="0"/>
    <n v="216.2"/>
    <s v="Not provided"/>
    <s v="Not provided"/>
    <s v="DEP"/>
    <s v="Not provided"/>
    <s v="WM840"/>
    <s v="Structural"/>
    <s v="Completed"/>
    <n v="2013"/>
    <s v="Banana River Lagoon"/>
    <s v="Not provided"/>
    <s v="Not provided"/>
    <s v="Not provided"/>
  </r>
  <r>
    <n v="2678"/>
    <s v="City of Satellite Beach"/>
    <s v="DEP"/>
    <s v="SB-10"/>
    <s v="Jamaica Pond Reuse"/>
    <s v="Not provided."/>
    <s v="Stormwater Reuse"/>
    <x v="0"/>
    <x v="3"/>
    <n v="277"/>
    <n v="25"/>
    <x v="0"/>
    <n v="216.2"/>
    <s v="Not provided"/>
    <s v="Not provided"/>
    <s v="DEP"/>
    <s v="Not provided"/>
    <s v="WM840"/>
    <s v="Structural"/>
    <s v="Completed"/>
    <n v="2013"/>
    <s v="Banana River Lagoon"/>
    <s v="Not provided"/>
    <s v="Not provided"/>
    <s v="Not provided"/>
  </r>
  <r>
    <n v="2677"/>
    <s v="City of Satellite Beach"/>
    <s v="DEP"/>
    <s v="SB-11"/>
    <s v="Desoto Exfiltration"/>
    <s v="Not provided."/>
    <s v="Exfiltration Trench"/>
    <x v="0"/>
    <x v="3"/>
    <n v="17"/>
    <n v="2.4"/>
    <x v="0"/>
    <n v="3.5"/>
    <s v="Not provided"/>
    <s v="Not provided"/>
    <s v="DEP"/>
    <s v="Not provided"/>
    <s v="G0082"/>
    <s v="Structural"/>
    <s v="Completed"/>
    <n v="2013"/>
    <s v="Banana River Lagoon"/>
    <s v="Not provided"/>
    <s v="Not provided"/>
    <s v="Not provided"/>
  </r>
  <r>
    <n v="2676"/>
    <s v="City of Satellite Beach"/>
    <s v="DEP"/>
    <s v="SB-12"/>
    <s v="Desoto Baffle Boxes"/>
    <s v="Not provided."/>
    <s v="Baffle Boxes- Second Generation"/>
    <x v="0"/>
    <x v="3"/>
    <n v="82"/>
    <n v="9.5"/>
    <x v="0"/>
    <n v="57.8"/>
    <s v="Not provided"/>
    <s v="Not provided"/>
    <s v="DEP"/>
    <s v="Not provided"/>
    <s v="G0081"/>
    <s v="Structural"/>
    <s v="Completed"/>
    <n v="2013"/>
    <s v="Banana River Lagoon"/>
    <s v="Not provided"/>
    <s v="Not provided"/>
    <s v="Not provided"/>
  </r>
  <r>
    <n v="2675"/>
    <s v="City of Satellite Beach"/>
    <s v="DEP"/>
    <s v="SB-13"/>
    <s v="Cassia Phase 1-22"/>
    <s v="Not provided."/>
    <s v="Baffle Boxes- Second Generation"/>
    <x v="0"/>
    <x v="3"/>
    <n v="61"/>
    <n v="8.1999999999999993"/>
    <x v="0"/>
    <n v="32.5"/>
    <n v="1796800"/>
    <s v="Not provided"/>
    <s v="DEP"/>
    <s v="DEP - $1,796,800"/>
    <s v="G0162"/>
    <s v="Structural"/>
    <s v="Completed"/>
    <n v="2013"/>
    <s v="Banana River Lagoon"/>
    <s v="Not provided"/>
    <s v="Not provided"/>
    <s v="Not provided"/>
  </r>
  <r>
    <n v="2674"/>
    <s v="City of Satellite Beach"/>
    <s v="DEP"/>
    <s v="SB-14"/>
    <s v="Cassia Phase 1-23"/>
    <s v="Not provided."/>
    <s v="Baffle Boxes- Second Generation"/>
    <x v="0"/>
    <x v="3"/>
    <n v="30"/>
    <n v="5.6"/>
    <x v="0"/>
    <n v="12.9"/>
    <s v="Not provided"/>
    <s v="Not provided"/>
    <s v="DEP"/>
    <s v="Not provided"/>
    <s v="G0162"/>
    <s v="Structural"/>
    <s v="Completed"/>
    <n v="2013"/>
    <s v="Banana River Lagoon"/>
    <s v="Not provided"/>
    <s v="Not provided"/>
    <s v="Not provided"/>
  </r>
  <r>
    <n v="2673"/>
    <s v="City of Satellite Beach"/>
    <s v="DEP"/>
    <s v="SB-15"/>
    <s v="Cassia Phase 1-24"/>
    <s v="Part of SB-13."/>
    <s v="On-line Retention BMPs"/>
    <x v="0"/>
    <x v="3"/>
    <n v="18"/>
    <n v="3.5"/>
    <x v="0"/>
    <n v="12.8"/>
    <s v="Not provided"/>
    <s v="Not provided"/>
    <s v="DEP"/>
    <s v="Not provided"/>
    <s v="G0162"/>
    <s v="Structural"/>
    <s v="Completed"/>
    <n v="2013"/>
    <s v="Banana River Lagoon"/>
    <s v="Not provided"/>
    <s v="Not provided"/>
    <s v="Not provided"/>
  </r>
  <r>
    <n v="2672"/>
    <s v="City of Satellite Beach"/>
    <s v="DEP"/>
    <s v="SB-16"/>
    <s v="Cassia Phase 1-25"/>
    <s v="Part of SB-13."/>
    <s v="On-line Retention BMPs"/>
    <x v="0"/>
    <x v="3"/>
    <n v="13"/>
    <n v="1.8"/>
    <x v="0"/>
    <n v="19.7"/>
    <s v="Not provided"/>
    <s v="Not provided"/>
    <s v="DEP"/>
    <s v="Not provided"/>
    <s v="G0162"/>
    <s v="Structural"/>
    <s v="Completed"/>
    <n v="2013"/>
    <s v="Banana River Lagoon"/>
    <s v="Not provided"/>
    <s v="Not provided"/>
    <s v="Not provided"/>
  </r>
  <r>
    <n v="2671"/>
    <s v="City of Satellite Beach"/>
    <s v="DEP"/>
    <s v="SB-17"/>
    <s v="Cassia Phase 1-26"/>
    <s v="Part of SB-13."/>
    <s v="On-line Retention BMPs"/>
    <x v="0"/>
    <x v="3"/>
    <n v="12"/>
    <n v="2.6"/>
    <x v="0"/>
    <n v="14.1"/>
    <s v="Not provided"/>
    <s v="Not provided"/>
    <s v="DEP"/>
    <s v="Not provided"/>
    <s v="G0162"/>
    <s v="Structural"/>
    <s v="Completed"/>
    <n v="2013"/>
    <s v="Banana River Lagoon"/>
    <s v="Not provided"/>
    <s v="Not provided"/>
    <s v="Not provided"/>
  </r>
  <r>
    <n v="2670"/>
    <s v="City of Satellite Beach"/>
    <s v="Not provided"/>
    <s v="SB-18"/>
    <s v="North Basin Stormwater Retrofit"/>
    <s v="Not provided."/>
    <s v="On-line Retention BMPs"/>
    <x v="0"/>
    <x v="3"/>
    <n v="318"/>
    <n v="80.5"/>
    <x v="0"/>
    <n v="97.9"/>
    <s v="Not provided"/>
    <s v="Not provided"/>
    <s v="Not provided"/>
    <s v="Not provided"/>
    <s v="N/A"/>
    <s v="Structural"/>
    <s v="Completed"/>
    <n v="2013"/>
    <s v="Banana River Lagoon"/>
    <s v="Not provided"/>
    <s v="Not provided"/>
    <s v="Not provided"/>
  </r>
  <r>
    <n v="2669"/>
    <s v="City of Satellite Beach"/>
    <s v="Not provided"/>
    <s v="SB-19"/>
    <s v="Street Sweeping"/>
    <s v="Not provided."/>
    <s v="Street Sweeping"/>
    <x v="0"/>
    <x v="1"/>
    <n v="47"/>
    <n v="30"/>
    <x v="0"/>
    <s v="N/A"/>
    <s v="Not provided"/>
    <s v="Not provided"/>
    <s v="Not provided"/>
    <s v="Not provided"/>
    <s v="N/A"/>
    <s v="Non-structural"/>
    <s v="Ongoing"/>
    <n v="2013"/>
    <s v="Banana River Lagoon"/>
    <s v="Not provided"/>
    <s v="Not provided"/>
    <s v="Not provided"/>
  </r>
  <r>
    <n v="2656"/>
    <s v="City of Satellite Beach"/>
    <s v="Not provided"/>
    <s v="SB-20"/>
    <s v="Education Efforts"/>
    <s v="FYN; landscape, irrigation, fertilizer, and pet waste ordinances; public service announcements (PSAs); pamphlets; website; Illicit Discharge Program."/>
    <s v="Education Efforts"/>
    <x v="0"/>
    <x v="1"/>
    <n v="1002"/>
    <n v="197"/>
    <x v="0"/>
    <s v="N/A"/>
    <s v="Not provided"/>
    <s v="Not provided"/>
    <s v="Not provided"/>
    <s v="Not provided"/>
    <s v="N/A"/>
    <s v="Non-structural"/>
    <s v="Ongoing"/>
    <n v="2013"/>
    <s v="Banana River Lagoon"/>
    <s v="N/A"/>
    <s v="N/A"/>
    <s v="Not provided"/>
  </r>
  <r>
    <n v="2614"/>
    <s v="City of Satellite Beach"/>
    <s v="DEP"/>
    <s v="SB-21"/>
    <s v="Cassia Phase 3 - C3A"/>
    <s v="Retention swales."/>
    <s v="On-line Retention BMPs"/>
    <x v="0"/>
    <x v="3"/>
    <n v="3"/>
    <n v="0.6"/>
    <x v="0"/>
    <n v="0.24"/>
    <s v="Not provided"/>
    <s v="Not provided"/>
    <s v="City/ DEP"/>
    <s v="Not provided"/>
    <s v="G0162"/>
    <s v="Structural"/>
    <s v="Completed"/>
    <n v="2013"/>
    <s v="Banana River Lagoon"/>
    <s v="Not provided"/>
    <s v="Not provided"/>
    <s v="2012"/>
  </r>
  <r>
    <n v="2613"/>
    <s v="City of Satellite Beach"/>
    <s v="DEP"/>
    <s v="SB-22"/>
    <s v="Cassia Phase 3 - C3B"/>
    <s v="Retention swales."/>
    <s v="On-line Retention BMPs"/>
    <x v="0"/>
    <x v="3"/>
    <n v="2"/>
    <n v="0.5"/>
    <x v="0"/>
    <n v="0.15"/>
    <s v="Not provided"/>
    <s v="Not provided"/>
    <s v="City/ DEP"/>
    <s v="Not provided"/>
    <s v="G0162"/>
    <s v="Structural"/>
    <s v="Completed"/>
    <n v="2013"/>
    <s v="Banana River Lagoon"/>
    <s v="Not provided"/>
    <s v="Not provided"/>
    <s v="2012"/>
  </r>
  <r>
    <n v="2612"/>
    <s v="City of Satellite Beach"/>
    <s v="DEP"/>
    <s v="SB-23"/>
    <s v="Cassia Phase 3 - C3C"/>
    <s v="Retention swales."/>
    <s v="On-line Retention BMPs"/>
    <x v="0"/>
    <x v="3"/>
    <n v="2"/>
    <n v="0.5"/>
    <x v="0"/>
    <n v="0.16"/>
    <s v="Not provided"/>
    <s v="Not provided"/>
    <s v="City/ DEP"/>
    <s v="Not provided"/>
    <s v="G0162"/>
    <s v="Structural"/>
    <s v="Completed"/>
    <n v="2013"/>
    <s v="Banana River Lagoon"/>
    <s v="Not provided"/>
    <s v="Not provided"/>
    <s v="2012"/>
  </r>
  <r>
    <n v="2611"/>
    <s v="City of Satellite Beach"/>
    <s v="DEP"/>
    <s v="SB-24"/>
    <s v="Cassia Phase 3 - C3D"/>
    <s v="Retention swales."/>
    <s v="On-line Retention BMPs"/>
    <x v="0"/>
    <x v="3"/>
    <n v="3"/>
    <n v="0.8"/>
    <x v="0"/>
    <n v="0.2"/>
    <s v="Not provided"/>
    <s v="Not provided"/>
    <s v="City/ DEP"/>
    <s v="Not provided"/>
    <s v="G0162"/>
    <s v="Structural"/>
    <s v="Completed"/>
    <n v="2013"/>
    <s v="Banana River Lagoon"/>
    <s v="Not provided"/>
    <s v="Not provided"/>
    <s v="2012"/>
  </r>
  <r>
    <n v="2439"/>
    <s v="City of Satellite Beach"/>
    <s v="DEP"/>
    <s v="SB-25"/>
    <s v="Cassia Phase 3 - C3E"/>
    <s v="Retention swales."/>
    <s v="On-line Retention BMPs"/>
    <x v="0"/>
    <x v="3"/>
    <n v="3"/>
    <n v="0.7"/>
    <x v="0"/>
    <n v="0.2"/>
    <s v="Not provided"/>
    <s v="Not provided"/>
    <s v="City/ DEP"/>
    <s v="Not provided"/>
    <s v="G0162"/>
    <s v="Structural"/>
    <s v="Completed"/>
    <n v="2013"/>
    <s v="Banana River Lagoon"/>
    <s v="Not provided"/>
    <s v="Not provided"/>
    <s v="2012"/>
  </r>
  <r>
    <n v="2440"/>
    <s v="City of Satellite Beach"/>
    <s v="DEP"/>
    <s v="SB-26"/>
    <s v="Cassia Phase 3 - C3F"/>
    <s v="Retention swales."/>
    <s v="On-line Retention BMPs"/>
    <x v="0"/>
    <x v="3"/>
    <n v="11"/>
    <n v="3"/>
    <x v="0"/>
    <n v="2"/>
    <s v="Not provided"/>
    <s v="Not provided"/>
    <s v="City/ DEP"/>
    <s v="Not provided"/>
    <s v="G0162"/>
    <s v="Structural"/>
    <s v="Completed"/>
    <n v="2013"/>
    <s v="Banana River Lagoon"/>
    <s v="Not provided"/>
    <s v="Not provided"/>
    <s v="2012"/>
  </r>
  <r>
    <n v="2441"/>
    <s v="City of Satellite Beach"/>
    <s v="DEP"/>
    <s v="SB-27"/>
    <s v="Cassia Phase 3 - C3G"/>
    <s v="Retention swales."/>
    <s v="On-line Retention BMPs"/>
    <x v="0"/>
    <x v="3"/>
    <n v="8"/>
    <n v="2.2999999999999998"/>
    <x v="0"/>
    <n v="1.3"/>
    <s v="Not provided"/>
    <s v="Not provided"/>
    <s v="City/ DEP"/>
    <s v="Not provided"/>
    <s v="G0162"/>
    <s v="Structural"/>
    <s v="Completed"/>
    <n v="2013"/>
    <s v="Banana River Lagoon"/>
    <s v="Not provided"/>
    <s v="Not provided"/>
    <s v="2012"/>
  </r>
  <r>
    <n v="2442"/>
    <s v="City of Satellite Beach"/>
    <s v="DEP"/>
    <s v="SB-28"/>
    <s v="Cassia Phase 3 - C5A"/>
    <s v="Retention swales."/>
    <s v="On-line Retention BMPs"/>
    <x v="0"/>
    <x v="3"/>
    <n v="2"/>
    <n v="0.5"/>
    <x v="0"/>
    <n v="0.2"/>
    <s v="Not provided"/>
    <s v="Not provided"/>
    <s v="City/ DEP"/>
    <s v="Not provided"/>
    <s v="G0162"/>
    <s v="Structural"/>
    <s v="Completed"/>
    <n v="2013"/>
    <s v="Banana River Lagoon"/>
    <s v="Not provided"/>
    <s v="Not provided"/>
    <s v="2012"/>
  </r>
  <r>
    <n v="2443"/>
    <s v="City of Satellite Beach"/>
    <s v="DEP"/>
    <s v="SB-29"/>
    <s v="Cassia Phase 3 - C5B"/>
    <s v="Retention swales."/>
    <s v="On-line Retention BMPs"/>
    <x v="0"/>
    <x v="3"/>
    <n v="24"/>
    <n v="5.4"/>
    <x v="0"/>
    <n v="5.9"/>
    <s v="Not provided"/>
    <s v="Not provided"/>
    <s v="City/ DEP"/>
    <s v="Not provided"/>
    <s v="G0162"/>
    <s v="Structural"/>
    <s v="Completed"/>
    <n v="2013"/>
    <s v="Banana River Lagoon"/>
    <s v="Not provided"/>
    <s v="Not provided"/>
    <s v="2012"/>
  </r>
  <r>
    <n v="2459"/>
    <s v="City of Satellite Beach"/>
    <s v="DEP"/>
    <s v="SB-30"/>
    <s v="Cassia Phase 3 - C7A"/>
    <s v="Retention swales."/>
    <s v="On-line Retention BMPs"/>
    <x v="0"/>
    <x v="3"/>
    <n v="3"/>
    <n v="0.4"/>
    <x v="0"/>
    <n v="0.4"/>
    <s v="Not provided"/>
    <s v="Not provided"/>
    <s v="City/ DEP"/>
    <s v="Not provided"/>
    <s v="G0162"/>
    <s v="Structural"/>
    <s v="Completed"/>
    <n v="2013"/>
    <s v="Banana River Lagoon"/>
    <s v="Not provided"/>
    <s v="Not provided"/>
    <s v="2012"/>
  </r>
  <r>
    <n v="2445"/>
    <s v="City of Satellite Beach"/>
    <s v="DEP"/>
    <s v="SB-31"/>
    <s v="Cassia Phase 3 - C7B"/>
    <s v="Retention swales."/>
    <s v="On-line Retention BMPs"/>
    <x v="0"/>
    <x v="3"/>
    <n v="25"/>
    <n v="3.5"/>
    <x v="0"/>
    <n v="4.0999999999999996"/>
    <s v="Not provided"/>
    <s v="Not provided"/>
    <s v="City/ DEP"/>
    <s v="Not provided"/>
    <s v="G0162"/>
    <s v="Structural"/>
    <s v="Completed"/>
    <n v="2013"/>
    <s v="Banana River Lagoon"/>
    <s v="Not provided"/>
    <s v="Not provided"/>
    <s v="2012"/>
  </r>
  <r>
    <n v="2432"/>
    <s v="City of Satellite Beach"/>
    <s v="DEP"/>
    <s v="SB-32"/>
    <s v="Cassia Phase 3 - C9A"/>
    <s v="Retention swales."/>
    <s v="On-line Retention BMPs"/>
    <x v="0"/>
    <x v="3"/>
    <n v="4"/>
    <n v="0.6"/>
    <x v="0"/>
    <n v="0.5"/>
    <s v="Not provided"/>
    <s v="Not provided"/>
    <s v="City/ DEP"/>
    <s v="Not provided"/>
    <s v="G0162"/>
    <s v="Structural"/>
    <s v="Completed"/>
    <n v="2013"/>
    <s v="Banana River Lagoon"/>
    <s v="Not provided"/>
    <s v="Not provided"/>
    <s v="2012"/>
  </r>
  <r>
    <n v="2447"/>
    <s v="City of Satellite Beach"/>
    <s v="DEP"/>
    <s v="SB-33"/>
    <s v="Cassia Phase 3 - C9B"/>
    <s v="Retention swales."/>
    <s v="On-line Retention BMPs"/>
    <x v="0"/>
    <x v="3"/>
    <n v="19"/>
    <n v="2.8"/>
    <x v="0"/>
    <n v="2.1"/>
    <s v="Not provided"/>
    <s v="Not provided"/>
    <s v="City/ DEP"/>
    <s v="Not provided"/>
    <s v="G0162"/>
    <s v="Structural"/>
    <s v="Completed"/>
    <n v="2013"/>
    <s v="Banana River Lagoon"/>
    <s v="Not provided"/>
    <s v="Not provided"/>
    <s v="2012"/>
  </r>
  <r>
    <n v="2448"/>
    <s v="City of Satellite Beach"/>
    <s v="DEP"/>
    <s v="SB-34"/>
    <s v="Cassia Phase 3 - C13A"/>
    <s v="Retention swales."/>
    <s v="On-line Retention BMPs"/>
    <x v="0"/>
    <x v="3"/>
    <n v="7"/>
    <n v="1.9"/>
    <x v="0"/>
    <n v="1.2"/>
    <s v="Not provided"/>
    <s v="Not provided"/>
    <s v="City/ DEP"/>
    <s v="Not provided"/>
    <s v="G0162"/>
    <s v="Structural"/>
    <s v="Completed"/>
    <n v="2013"/>
    <s v="Banana River Lagoon"/>
    <s v="Not provided"/>
    <s v="Not provided"/>
    <s v="2012"/>
  </r>
  <r>
    <n v="2449"/>
    <s v="City of Satellite Beach"/>
    <s v="DEP"/>
    <s v="SB-35"/>
    <s v="Cassia Phase 3 - C13B"/>
    <s v="Retention swales."/>
    <s v="On-line Retention BMPs"/>
    <x v="0"/>
    <x v="3"/>
    <n v="1"/>
    <n v="0.3"/>
    <x v="0"/>
    <n v="0.1"/>
    <s v="Not provided"/>
    <s v="Not provided"/>
    <s v="City/ DEP"/>
    <s v="Not provided"/>
    <s v="G0162"/>
    <s v="Structural"/>
    <s v="Completed"/>
    <n v="2013"/>
    <s v="Banana River Lagoon"/>
    <s v="Not provided"/>
    <s v="Not provided"/>
    <s v="2012"/>
  </r>
  <r>
    <n v="2450"/>
    <s v="City of Satellite Beach"/>
    <s v="DEP"/>
    <s v="SB-36"/>
    <s v="Cassia Phase 3 - C13C"/>
    <s v="Retention swales."/>
    <s v="On-line Retention BMPs"/>
    <x v="0"/>
    <x v="3"/>
    <n v="9"/>
    <n v="1.7"/>
    <x v="0"/>
    <n v="3.1"/>
    <s v="Not provided"/>
    <s v="Not provided"/>
    <s v="City/ DEP"/>
    <s v="Not provided"/>
    <s v="G0162"/>
    <s v="Structural"/>
    <s v="Completed"/>
    <n v="2013"/>
    <s v="Banana River Lagoon"/>
    <s v="Not provided"/>
    <s v="Not provided"/>
    <s v="2012"/>
  </r>
  <r>
    <n v="2451"/>
    <s v="City of Satellite Beach"/>
    <s v="DEP"/>
    <s v="SB-37"/>
    <s v="Cassia Phase 3 - C13D"/>
    <s v="Retention swales."/>
    <s v="On-line Retention BMPs"/>
    <x v="0"/>
    <x v="3"/>
    <n v="7"/>
    <n v="1.6"/>
    <x v="0"/>
    <n v="0.5"/>
    <s v="Not provided"/>
    <s v="Not provided"/>
    <s v="City/ DEP"/>
    <s v="Not provided"/>
    <s v="G0162"/>
    <s v="Structural"/>
    <s v="Completed"/>
    <n v="2013"/>
    <s v="Banana River Lagoon"/>
    <s v="Not provided"/>
    <s v="Not provided"/>
    <s v="2012"/>
  </r>
  <r>
    <n v="2452"/>
    <s v="City of Satellite Beach"/>
    <s v="DEP"/>
    <s v="SB-38"/>
    <s v="Cassia Phase 3 - C13E"/>
    <s v="Retention swales."/>
    <s v="On-line Retention BMPs"/>
    <x v="0"/>
    <x v="3"/>
    <n v="9"/>
    <n v="2.2000000000000002"/>
    <x v="0"/>
    <n v="0.9"/>
    <s v="Not provided"/>
    <s v="Not provided"/>
    <s v="City/ DEP"/>
    <s v="Not provided"/>
    <s v="G0162"/>
    <s v="Structural"/>
    <s v="Completed"/>
    <n v="2013"/>
    <s v="Banana River Lagoon"/>
    <s v="Not provided"/>
    <s v="Not provided"/>
    <s v="2012"/>
  </r>
  <r>
    <n v="2453"/>
    <s v="City of Satellite Beach"/>
    <s v="DEP"/>
    <s v="SB-39"/>
    <s v="Cassia Phase 3 - C13F"/>
    <s v="Retention swales."/>
    <s v="On-line Retention BMPs"/>
    <x v="0"/>
    <x v="3"/>
    <n v="11"/>
    <n v="2.6"/>
    <x v="0"/>
    <n v="1.6"/>
    <s v="Not provided"/>
    <s v="Not provided"/>
    <s v="City/ DEP"/>
    <s v="Not provided"/>
    <s v="G0162"/>
    <s v="Structural"/>
    <s v="Completed"/>
    <n v="2013"/>
    <s v="Banana River Lagoon"/>
    <s v="Not provided"/>
    <s v="Not provided"/>
    <s v="2012"/>
  </r>
  <r>
    <n v="2454"/>
    <s v="City of Satellite Beach"/>
    <s v="DEP"/>
    <s v="SB-40"/>
    <s v="Cassia Phase 3 - C13G"/>
    <s v="Retention swales."/>
    <s v="On-line Retention BMPs"/>
    <x v="0"/>
    <x v="3"/>
    <n v="15"/>
    <n v="3.8"/>
    <x v="0"/>
    <n v="3.3"/>
    <s v="Not provided"/>
    <s v="Not provided"/>
    <s v="City/ DEP"/>
    <s v="Not provided"/>
    <s v="G0162"/>
    <s v="Structural"/>
    <s v="Completed"/>
    <n v="2013"/>
    <s v="Banana River Lagoon"/>
    <s v="Not provided"/>
    <s v="Not provided"/>
    <s v="2012"/>
  </r>
  <r>
    <n v="2455"/>
    <s v="City of Satellite Beach"/>
    <s v="Not provided"/>
    <s v="SB-41"/>
    <s v="Roosevelt Avenue"/>
    <s v="Off-line retention swales."/>
    <s v="Off-line Retention BMPs"/>
    <x v="0"/>
    <x v="5"/>
    <n v="10"/>
    <n v="2"/>
    <x v="0"/>
    <n v="32"/>
    <n v="43482"/>
    <s v="Not provided"/>
    <s v="Not provided"/>
    <n v="43482"/>
    <s v="N/A"/>
    <s v="Structural"/>
    <s v="Not provided"/>
    <n v="2017"/>
    <s v="Banana River Lagoon"/>
    <s v="Not provided"/>
    <s v="Not provided"/>
    <s v="Not provided"/>
  </r>
  <r>
    <n v="2456"/>
    <s v="City of Satellite Beach"/>
    <s v="Not provided"/>
    <s v="SB-42"/>
    <s v="Roosevelt Avenue"/>
    <s v="Off-line retention pipes."/>
    <s v="Exfiltration Trench"/>
    <x v="0"/>
    <x v="5"/>
    <s v="Not provided"/>
    <s v="Not provided"/>
    <x v="0"/>
    <n v="3"/>
    <n v="34350"/>
    <s v="Not provided"/>
    <s v="Not provided"/>
    <n v="34350"/>
    <s v="N/A"/>
    <s v="Structural"/>
    <s v="Not provided"/>
    <n v="2017"/>
    <s v="Banana River Lagoon"/>
    <s v="Not provided"/>
    <s v="Not provided"/>
    <s v="Not provided"/>
  </r>
  <r>
    <n v="2390"/>
    <s v="City of Satellite Beach"/>
    <s v="DEP"/>
    <s v="SB-43"/>
    <s v="Desoto Park"/>
    <s v="Wet detention pond that also features stormwater reuse and biosorption activated media (BAM)."/>
    <s v="Wet Detention Pond"/>
    <x v="0"/>
    <x v="9"/>
    <n v="461"/>
    <n v="96"/>
    <x v="0"/>
    <n v="293"/>
    <n v="950000"/>
    <s v="Not provided"/>
    <s v="City/ DEP"/>
    <n v="703000"/>
    <s v="NF011"/>
    <s v="Structural"/>
    <s v="Not provided"/>
    <n v="2017"/>
    <s v="Banana River Lagoon"/>
    <s v="Not provided"/>
    <s v="Not provided"/>
    <s v="2018"/>
  </r>
  <r>
    <n v="4350"/>
    <s v="City of Satellite Beach"/>
    <s v="TBD"/>
    <s v="SB-44"/>
    <s v="Lori Laine Trunk Replacement"/>
    <s v="Replace Main Lori Laine Trunk"/>
    <s v="Stormwater System Rehabilitation"/>
    <x v="3"/>
    <x v="19"/>
    <s v="TBD"/>
    <s v="TBD"/>
    <x v="0"/>
    <s v="N/A"/>
    <n v="2195137"/>
    <s v="Not provided"/>
    <s v="TBD"/>
    <s v="TBD"/>
    <s v="N/A"/>
    <s v="Structural"/>
    <s v="Planned"/>
    <n v="2018"/>
    <s v="Banana River Lagoon"/>
    <s v="Not provided"/>
    <s v="Not provided"/>
    <s v="Not provided"/>
  </r>
  <r>
    <n v="4351"/>
    <s v="City of Satellite Beach"/>
    <s v="TBD"/>
    <s v="SB-45"/>
    <s v="Lori Laine Outfall Treatment"/>
    <s v="Treat Stormwater at Lori Laine Outfall"/>
    <s v="Baffle Boxes- Second Generation"/>
    <x v="3"/>
    <x v="8"/>
    <s v="TBD"/>
    <s v="TBD"/>
    <x v="0"/>
    <n v="184"/>
    <n v="173707"/>
    <s v="Not provided"/>
    <s v="TBD"/>
    <s v="TBD"/>
    <s v="N/A"/>
    <s v="Structural"/>
    <s v="Planned"/>
    <n v="2018"/>
    <s v="Banana River Lagoon"/>
    <s v="Not provided"/>
    <s v="Not provided"/>
    <s v="Not provided"/>
  </r>
  <r>
    <n v="4352"/>
    <s v="City of Satellite Beach"/>
    <s v="TBD"/>
    <s v="SB-46"/>
    <s v="Elwood/Temple Facility Upgrade"/>
    <s v="Change existing dry pond to wet detention pond and divert stormwater to pond"/>
    <s v="Wet Detention Pond"/>
    <x v="3"/>
    <x v="19"/>
    <n v="65"/>
    <n v="23"/>
    <x v="0"/>
    <n v="35.06"/>
    <n v="43580"/>
    <s v="Not provided"/>
    <s v="TBD"/>
    <s v="TBD"/>
    <s v="N/A"/>
    <s v="Structural"/>
    <s v="Planned"/>
    <n v="2018"/>
    <s v="Banana River Lagoon"/>
    <s v="Not provided"/>
    <s v="Not provided"/>
    <s v="Not provided"/>
  </r>
  <r>
    <n v="4353"/>
    <s v="City of Satellite Beach"/>
    <s v="TBD"/>
    <s v="SB-47"/>
    <s v="Jackson Ct. Treatment Facility"/>
    <s v="Construct Wet Detention Pond"/>
    <s v="Wet Detention Pond"/>
    <x v="3"/>
    <x v="20"/>
    <n v="46"/>
    <n v="23"/>
    <x v="0"/>
    <n v="12.13"/>
    <n v="232156"/>
    <s v="Not provided"/>
    <s v="TBD"/>
    <s v="TBD"/>
    <s v="N/A"/>
    <s v="Structural"/>
    <s v="Planned"/>
    <n v="2018"/>
    <s v="Banana River Lagoon"/>
    <s v="Not provided"/>
    <s v="Not provided"/>
    <s v="Not provided"/>
  </r>
  <r>
    <n v="4354"/>
    <s v="City of Satellite Beach"/>
    <s v="TBD"/>
    <s v="SB-48"/>
    <s v="Schechter Community Center Bioretention"/>
    <s v="Add Bioretention to Parking lot area"/>
    <s v="LID- Rain Gardens"/>
    <x v="3"/>
    <x v="20"/>
    <s v="TBD"/>
    <s v="TBD"/>
    <x v="0"/>
    <n v="1.94"/>
    <n v="116840"/>
    <s v="Not provided"/>
    <s v="TBD"/>
    <s v="TBD"/>
    <s v="N/A"/>
    <s v="Structural"/>
    <s v="Planned"/>
    <n v="2018"/>
    <s v="Banana River Lagoon"/>
    <s v="Not provided"/>
    <s v="Not provided"/>
    <s v="Not provided"/>
  </r>
  <r>
    <n v="4355"/>
    <s v="City of Satellite Beach"/>
    <s v="TBD"/>
    <s v="SB-49"/>
    <s v="Robert Way Diversion/Library Dry Retention"/>
    <s v="Divert Robert Way into dry detention pond"/>
    <s v="Dry Detention Pond"/>
    <x v="3"/>
    <x v="20"/>
    <s v="TBD"/>
    <s v="TBD"/>
    <x v="0"/>
    <n v="14.1"/>
    <n v="150960"/>
    <s v="Not provided"/>
    <s v="TBD"/>
    <s v="TBD"/>
    <s v="N/A"/>
    <s v="Structural"/>
    <s v="Planned"/>
    <n v="2018"/>
    <s v="Banana River Lagoon"/>
    <s v="Not provided"/>
    <s v="Not provided"/>
    <s v="Not provided"/>
  </r>
  <r>
    <n v="4356"/>
    <s v="City of Satellite Beach"/>
    <s v="TBD"/>
    <s v="SB-50"/>
    <s v="Robin Way Diversion/Library Dry Retention"/>
    <s v="Divert Robin Way into dry detention pond"/>
    <s v="Dry Detention Pond"/>
    <x v="3"/>
    <x v="21"/>
    <s v="TBD"/>
    <s v="TBD"/>
    <x v="0"/>
    <n v="19.13"/>
    <n v="151026"/>
    <s v="Not provided"/>
    <s v="TBD"/>
    <s v="TBD"/>
    <s v="N/A"/>
    <s v="Structural"/>
    <s v="Planned"/>
    <n v="2018"/>
    <s v="Banana River Lagoon"/>
    <s v="Not provided"/>
    <s v="Not provided"/>
    <s v="Not provided"/>
  </r>
  <r>
    <n v="4357"/>
    <s v="City of Satellite Beach"/>
    <s v="TBD"/>
    <s v="SB-51"/>
    <s v="Roosevelt BAM Filter"/>
    <s v="Add BAM Filter to Roosevelt outfall Baffle Box"/>
    <s v="Baffle Boxes- Second Generation with Media"/>
    <x v="3"/>
    <x v="21"/>
    <s v="TBD"/>
    <s v="TBD"/>
    <x v="0"/>
    <n v="240"/>
    <n v="93696"/>
    <s v="Not provided"/>
    <s v="TBD"/>
    <s v="TBD"/>
    <s v="N/A"/>
    <s v="Structural"/>
    <s v="Planned"/>
    <n v="2018"/>
    <s v="Banana River Lagoon"/>
    <s v="Not provided"/>
    <s v="Not provided"/>
    <s v="Not provided"/>
  </r>
  <r>
    <n v="4358"/>
    <s v="City of Satellite Beach"/>
    <s v="TBD"/>
    <s v="SB-52"/>
    <s v="South Ditch BAM Swales"/>
    <s v="Add BAM Swales along South Ditch Trunkline"/>
    <s v="Biosorption Activated Media (BAM)"/>
    <x v="3"/>
    <x v="22"/>
    <n v="72"/>
    <n v="11"/>
    <x v="0"/>
    <n v="16.91"/>
    <n v="148580"/>
    <s v="Not provided"/>
    <s v="TBD"/>
    <s v="TBD"/>
    <s v="N/A"/>
    <s v="Structural"/>
    <s v="Planned"/>
    <n v="2018"/>
    <s v="Banana River Lagoon"/>
    <s v="Not provided"/>
    <s v="Not provided"/>
    <s v="Not provided"/>
  </r>
  <r>
    <n v="4359"/>
    <s v="City of Satellite Beach"/>
    <s v="TBD"/>
    <s v="SB-53"/>
    <s v="Sports Park Treatment"/>
    <s v="Install In-Ditch BAM"/>
    <s v="Biosorption Activated Media (BAM)"/>
    <x v="3"/>
    <x v="22"/>
    <s v="TBD"/>
    <s v="TBD"/>
    <x v="0"/>
    <n v="157"/>
    <n v="102292"/>
    <s v="Not provided"/>
    <s v="TBD"/>
    <s v="TBD"/>
    <s v="N/A"/>
    <s v="Structural"/>
    <s v="Planned"/>
    <n v="2018"/>
    <s v="Banana River Lagoon"/>
    <s v="Not provided"/>
    <s v="Not provided"/>
    <s v="Not provided"/>
  </r>
  <r>
    <n v="4360"/>
    <s v="City of Satellite Beach"/>
    <s v="TBD"/>
    <s v="SB-54"/>
    <s v="Glenwood Road Narrowing"/>
    <s v="Adding Roadside Swales to Glenwood"/>
    <s v="Grass Swales without Swale Blocks or Raised Culverts"/>
    <x v="3"/>
    <x v="23"/>
    <s v="TBD"/>
    <s v="TBD"/>
    <x v="0"/>
    <n v="6"/>
    <n v="241868"/>
    <s v="Not provided"/>
    <s v="TBD"/>
    <s v="TBD"/>
    <s v="N/A"/>
    <s v="Structural"/>
    <s v="Planned"/>
    <n v="2018"/>
    <s v="Banana River Lagoon"/>
    <s v="Not provided"/>
    <s v="Not provided"/>
    <s v="Not provided"/>
  </r>
  <r>
    <n v="4361"/>
    <s v="City of Satellite Beach"/>
    <s v="TBD"/>
    <s v="SB-55"/>
    <s v="North Drainage BAM Filter"/>
    <s v="Add BAM filter to North Drainage Baffle Box"/>
    <s v="Baffle Boxes- Second Generation with Media"/>
    <x v="3"/>
    <x v="24"/>
    <s v="TBD"/>
    <s v="TBD"/>
    <x v="0"/>
    <s v="TBD"/>
    <n v="138661"/>
    <s v="Not provided"/>
    <s v="TBD"/>
    <s v="TBD"/>
    <s v="N/A"/>
    <s v="Structural"/>
    <s v="Planned"/>
    <n v="2018"/>
    <s v="Banana River Lagoon"/>
    <s v="Not provided"/>
    <s v="Not provided"/>
    <s v="Not provided"/>
  </r>
  <r>
    <n v="4362"/>
    <s v="City of Satellite Beach"/>
    <s v="TBD"/>
    <s v="SB-56"/>
    <s v="Emerald Court Inlet Baskets"/>
    <s v="Insert Inlet Trap at the end of Emerald Court"/>
    <s v="Catch Basin Inserts/Inlet Filter Cleanout"/>
    <x v="3"/>
    <x v="24"/>
    <s v="TBD"/>
    <s v="TBD"/>
    <x v="0"/>
    <n v="2"/>
    <n v="20815"/>
    <s v="Not provided"/>
    <s v="TBD"/>
    <s v="TBD"/>
    <s v="N/A"/>
    <s v="Non-structural"/>
    <s v="Planned"/>
    <n v="2018"/>
    <s v="Banana River Lagoon"/>
    <s v="Not provided"/>
    <s v="Not provided"/>
    <s v="Not provided"/>
  </r>
  <r>
    <n v="4363"/>
    <s v="City of Satellite Beach"/>
    <s v="TBD"/>
    <s v="SB-57"/>
    <s v="City Hall Pond Beemats/Living Shoreline"/>
    <s v="Install BeeMats and living shoreline along City Hall Pond area"/>
    <s v="Floating Islands/ Managed Aquatic Plant Systems (MAPS)"/>
    <x v="3"/>
    <x v="24"/>
    <n v="71"/>
    <n v="13"/>
    <x v="0"/>
    <s v="N/A"/>
    <n v="40480"/>
    <s v="Not provided"/>
    <s v="TBD"/>
    <s v="TBD"/>
    <s v="N/A"/>
    <s v="Structural"/>
    <s v="Planned"/>
    <n v="2018"/>
    <s v="Banana River Lagoon"/>
    <s v="Not provided"/>
    <s v="Not provided"/>
    <s v="Not provided"/>
  </r>
  <r>
    <n v="4364"/>
    <s v="City of Satellite Beach"/>
    <s v="TBD"/>
    <s v="SB-58"/>
    <s v="Jamacia Pond Outfall BAM Filter"/>
    <s v="Adding BAM filters to Jamaica Pond outfalls"/>
    <s v="Biosorption Activated Media (BAM)"/>
    <x v="3"/>
    <x v="24"/>
    <s v="TBD"/>
    <s v="TBD"/>
    <x v="0"/>
    <s v="TBD"/>
    <n v="69575"/>
    <s v="Not provided"/>
    <s v="TBD"/>
    <s v="TBD"/>
    <s v="N/A"/>
    <s v="Structural"/>
    <s v="Planned"/>
    <n v="2018"/>
    <s v="Banana River Lagoon"/>
    <s v="Not provided"/>
    <s v="Not provided"/>
    <s v="Not provided"/>
  </r>
  <r>
    <n v="2391"/>
    <s v="FDOT District 5"/>
    <s v="N/A"/>
    <s v="FDOT-01"/>
    <s v="Street Sweeping"/>
    <s v="Street sweeping."/>
    <s v="Street Sweeping"/>
    <x v="0"/>
    <x v="1"/>
    <n v="49"/>
    <n v="31.2"/>
    <x v="2"/>
    <s v="Not provided"/>
    <s v="Not provided"/>
    <s v="Not provided"/>
    <s v="Florida Legislature"/>
    <s v="Not provided"/>
    <s v="N/A"/>
    <s v="Non-structural"/>
    <s v="Ongoing"/>
    <n v="2013"/>
    <s v="Banana River Lagoon"/>
    <s v="N/A"/>
    <s v="N/A"/>
    <n v="2013"/>
  </r>
  <r>
    <n v="2392"/>
    <s v="FDOT District 5"/>
    <s v="N/A"/>
    <s v="FDOT-02"/>
    <s v="Education Efforts"/>
    <s v="Pamphlets, illicit discharge program."/>
    <s v="Education Efforts"/>
    <x v="0"/>
    <x v="1"/>
    <n v="1"/>
    <n v="0.5"/>
    <x v="2"/>
    <s v="N/A"/>
    <s v="Not provided"/>
    <s v="Not provided"/>
    <s v="Florida Legislature"/>
    <s v="Not provided"/>
    <s v="N/A"/>
    <s v="Non-structural"/>
    <s v="Ongoing"/>
    <n v="2013"/>
    <s v="Banana River Lagoon"/>
    <s v="N/A"/>
    <s v="N/A"/>
    <n v="2004"/>
  </r>
  <r>
    <n v="2395"/>
    <s v="FDOT District 5"/>
    <s v="N/A"/>
    <s v="FDOT-03"/>
    <s v="Fertilizer Cessation"/>
    <s v="Elimination of fertilizer application in rights-of-way."/>
    <s v="Fertilizer Cessation"/>
    <x v="0"/>
    <x v="13"/>
    <n v="102"/>
    <n v="0"/>
    <x v="2"/>
    <n v="103"/>
    <s v="Not provided"/>
    <s v="Not provided"/>
    <s v="Florida Legislature"/>
    <s v="Not provided"/>
    <s v="N/A"/>
    <s v="Non-structural"/>
    <s v="Completed"/>
    <n v="2013"/>
    <s v="Banana River Lagoon"/>
    <s v="N/A"/>
    <s v="N/A"/>
    <n v="2012"/>
  </r>
  <r>
    <n v="2418"/>
    <s v="FDOT District 5"/>
    <s v="N/A"/>
    <s v="FDOT-04"/>
    <s v="FM: 237139 D5_70120-3518-01"/>
    <s v="Pond 7."/>
    <s v="Wet Detention Pond"/>
    <x v="0"/>
    <x v="3"/>
    <n v="63"/>
    <n v="15.8"/>
    <x v="0"/>
    <n v="4.7"/>
    <s v="Not provided"/>
    <s v="Not provided"/>
    <s v="Florida Legislature"/>
    <s v="Not provided"/>
    <s v="N/A"/>
    <s v="Structural"/>
    <s v="Completed"/>
    <n v="2013"/>
    <s v="Banana River Lagoon"/>
    <n v="28.5441"/>
    <n v="-80.922321999999994"/>
    <n v="2000"/>
  </r>
  <r>
    <n v="2430"/>
    <s v="FDOT District 5"/>
    <s v="N/A"/>
    <s v="FDOT-05"/>
    <s v="FM: 237454 D5_70100-3553-01"/>
    <s v="French drains."/>
    <s v="On-line Retention BMPs"/>
    <x v="0"/>
    <x v="3"/>
    <n v="23"/>
    <n v="11.3"/>
    <x v="0"/>
    <n v="5"/>
    <s v="Not provided"/>
    <s v="Not provided"/>
    <s v="Florida Legislature"/>
    <s v="Not provided"/>
    <s v="N/A"/>
    <s v="Structural"/>
    <s v="Completed"/>
    <n v="2013"/>
    <s v="Banana River Lagoon"/>
    <n v="28.357659000000002"/>
    <n v="-80.664201000000006"/>
    <n v="1997"/>
  </r>
  <r>
    <n v="2429"/>
    <s v="FDOT District 5"/>
    <s v="N/A"/>
    <s v="FDOT-06"/>
    <s v="FM: 237447 D5_70008-3505-02"/>
    <s v="Pond 2."/>
    <s v="Wet Detention Pond"/>
    <x v="0"/>
    <x v="3"/>
    <n v="9"/>
    <n v="5"/>
    <x v="0"/>
    <n v="3.4"/>
    <s v="Not provided"/>
    <s v="Not provided"/>
    <s v="Florida Legislature"/>
    <s v="Not provided"/>
    <s v="N/A"/>
    <s v="Structural"/>
    <s v="Completed"/>
    <n v="2013"/>
    <s v="Banana River Lagoon"/>
    <n v="28.139733"/>
    <n v="-80.599216999999996"/>
    <n v="1995"/>
  </r>
  <r>
    <n v="2427"/>
    <s v="FDOT District 5"/>
    <s v="N/A"/>
    <s v="FDOT-07"/>
    <s v="FM: 237447 D5_70008-3505-03"/>
    <s v="Pond 3."/>
    <s v="On-line Retention BMPs"/>
    <x v="0"/>
    <x v="3"/>
    <n v="7"/>
    <n v="4.2"/>
    <x v="0"/>
    <n v="2.8"/>
    <s v="Not provided"/>
    <s v="Not provided"/>
    <s v="Florida Legislature"/>
    <s v="Not provided"/>
    <s v="N/A"/>
    <s v="Structural"/>
    <s v="Completed"/>
    <n v="2013"/>
    <s v="Banana River Lagoon"/>
    <n v="28.144908000000001"/>
    <n v="-80.598887000000005"/>
    <n v="1995"/>
  </r>
  <r>
    <n v="2425"/>
    <s v="FDOT District 5"/>
    <s v="N/A"/>
    <s v="FDOT-08"/>
    <s v="FM: 237447 D5_70008-3505-04"/>
    <s v="French drains."/>
    <s v="On-line Retention BMPs"/>
    <x v="0"/>
    <x v="3"/>
    <n v="12"/>
    <n v="6.8"/>
    <x v="0"/>
    <n v="3.8"/>
    <s v="Not provided"/>
    <s v="Not provided"/>
    <s v="Florida Legislature"/>
    <s v="Not provided"/>
    <s v="N/A"/>
    <s v="Structural"/>
    <s v="Completed"/>
    <n v="2013"/>
    <s v="Banana River Lagoon"/>
    <n v="28.147299"/>
    <n v="-80.599070999999995"/>
    <n v="1995"/>
  </r>
  <r>
    <n v="2424"/>
    <s v="FDOT District 5"/>
    <s v="N/A"/>
    <s v="FDOT-09"/>
    <s v="FM: 237482 D5_70060-3533-01"/>
    <s v="French drains."/>
    <s v="On-line Retention BMPs"/>
    <x v="0"/>
    <x v="3"/>
    <n v="1"/>
    <n v="0.8"/>
    <x v="0"/>
    <n v="0.4"/>
    <s v="Not provided"/>
    <s v="Not provided"/>
    <s v="Florida Legislature"/>
    <s v="Not provided"/>
    <s v="N/A"/>
    <s v="Structural"/>
    <s v="Completed"/>
    <n v="2013"/>
    <s v="Banana River Lagoon"/>
    <n v="28.265895"/>
    <n v="-80.606020999999998"/>
    <n v="1995"/>
  </r>
  <r>
    <n v="2416"/>
    <s v="FDOT District 5"/>
    <s v="N/A"/>
    <s v="FDOT-10"/>
    <s v="FM: 237453 D5_70008-3507-01"/>
    <s v="Pond 1."/>
    <s v="Wet Detention Pond"/>
    <x v="0"/>
    <x v="3"/>
    <n v="26"/>
    <n v="9.5"/>
    <x v="0"/>
    <n v="8.6999999999999993"/>
    <s v="Not provided"/>
    <s v="Not provided"/>
    <s v="Florida Legislature"/>
    <s v="Not provided"/>
    <s v="N/A"/>
    <s v="Structural"/>
    <s v="Completed"/>
    <n v="2013"/>
    <s v="Banana River Lagoon"/>
    <n v="28.157042000000001"/>
    <n v="-80.599922000000007"/>
    <n v="1997"/>
  </r>
  <r>
    <n v="2423"/>
    <s v="FDOT District 5"/>
    <s v="N/A"/>
    <s v="FDOT-11"/>
    <s v="FM: 237453 D5_70008-3507-02"/>
    <s v="Pond 2."/>
    <s v="Wet Detention Pond"/>
    <x v="0"/>
    <x v="3"/>
    <n v="24"/>
    <n v="7.4"/>
    <x v="0"/>
    <n v="10.7"/>
    <s v="Not provided"/>
    <s v="Not provided"/>
    <s v="Florida Legislature"/>
    <s v="Not provided"/>
    <s v="N/A"/>
    <s v="Structural"/>
    <s v="Completed"/>
    <n v="2013"/>
    <s v="Banana River Lagoon"/>
    <n v="28.157042000000001"/>
    <n v="-80.604068999999996"/>
    <n v="1997"/>
  </r>
  <r>
    <n v="2397"/>
    <s v="FDOT District 5"/>
    <s v="N/A"/>
    <s v="FDOT-12"/>
    <s v="FM: 237712 D5_70060-3519-01"/>
    <s v="French drains."/>
    <s v="On-line Retention BMPs"/>
    <x v="0"/>
    <x v="3"/>
    <n v="36"/>
    <n v="8.9"/>
    <x v="0"/>
    <n v="2.5"/>
    <s v="Not provided"/>
    <s v="Not provided"/>
    <s v="Florida Legislature"/>
    <s v="Not provided"/>
    <s v="N/A"/>
    <s v="Structural"/>
    <s v="Completed"/>
    <n v="2013"/>
    <s v="Banana River Lagoon"/>
    <n v="28.320333999999999"/>
    <n v="-80.609013000000004"/>
    <n v="2001"/>
  </r>
  <r>
    <n v="2422"/>
    <s v="FDOT District 5"/>
    <s v="N/A"/>
    <s v="FDOT-13"/>
    <s v="FM: 422691-01 D5_422691-01"/>
    <s v="French drains."/>
    <s v="On-line Retention BMPs"/>
    <x v="0"/>
    <x v="3"/>
    <n v="15"/>
    <n v="3.8"/>
    <x v="0"/>
    <n v="1.3"/>
    <s v="Not provided"/>
    <s v="Not provided"/>
    <s v="Florida Legislature"/>
    <s v="Not provided"/>
    <s v="N/A"/>
    <s v="Structural"/>
    <s v="Completed"/>
    <n v="2013"/>
    <s v="Banana River Lagoon"/>
    <n v="28.320732"/>
    <n v="-80.608808999999994"/>
    <n v="2007"/>
  </r>
  <r>
    <n v="2421"/>
    <s v="FDOT District 5"/>
    <s v="N/A"/>
    <s v="FDOT-14"/>
    <s v="Street Sweeping"/>
    <s v="Street sweeping."/>
    <s v="Street Sweeping"/>
    <x v="0"/>
    <x v="1"/>
    <n v="354"/>
    <n v="193"/>
    <x v="0"/>
    <s v="N/A"/>
    <s v="Not provided"/>
    <s v="Not provided"/>
    <s v="Florida Legislature"/>
    <s v="Not provided"/>
    <s v="N/A"/>
    <s v="Non-structural"/>
    <s v="Ongoing"/>
    <n v="2013"/>
    <s v="Banana River Lagoon"/>
    <s v="N/A"/>
    <s v="N/A"/>
    <n v="2015"/>
  </r>
  <r>
    <n v="2420"/>
    <s v="FDOT District 5"/>
    <s v="N/A"/>
    <s v="FDOT-15"/>
    <s v="Education Efforts"/>
    <s v="Pamphlets, illicit discharge program."/>
    <s v="Education Efforts"/>
    <x v="0"/>
    <x v="1"/>
    <n v="25"/>
    <n v="8"/>
    <x v="0"/>
    <s v="N/A"/>
    <s v="Not provided"/>
    <s v="Not provided"/>
    <s v="Florida Legislature"/>
    <s v="Not provided"/>
    <s v="N/A"/>
    <s v="Non-structural"/>
    <s v="Ongoing"/>
    <n v="2013"/>
    <s v="Banana River Lagoon"/>
    <s v="N/A"/>
    <s v="N/A"/>
    <n v="2004"/>
  </r>
  <r>
    <n v="2419"/>
    <s v="FDOT District 5"/>
    <s v="N/A"/>
    <s v="FDOT-16"/>
    <s v="Fertilizer Cessation"/>
    <s v="Fertilizer cessation."/>
    <s v="Fertilizer Cessation"/>
    <x v="0"/>
    <x v="13"/>
    <n v="1544"/>
    <n v="56"/>
    <x v="0"/>
    <s v="N/A"/>
    <s v="Not provided"/>
    <s v="Not provided"/>
    <s v="Florida Legislature"/>
    <s v="Not provided"/>
    <s v="N/A"/>
    <s v="Non-structural"/>
    <s v="Completed"/>
    <n v="2013"/>
    <s v="Banana River Lagoon"/>
    <s v="N/A"/>
    <s v="N/A"/>
    <n v="2016"/>
  </r>
  <r>
    <n v="2403"/>
    <s v="Kennedy Space Center"/>
    <s v="Not provided"/>
    <s v="KSC-01"/>
    <s v="KSC Landscape Fertilizer Reduction"/>
    <s v="Not provided."/>
    <s v="Fertilizer Reduction"/>
    <x v="0"/>
    <x v="1"/>
    <n v="1872"/>
    <n v="265.39999999999998"/>
    <x v="2"/>
    <n v="200"/>
    <s v="Not provided"/>
    <s v="Not provided"/>
    <s v="Not provided"/>
    <s v="Not provided"/>
    <s v="N/A"/>
    <s v="Non-structural"/>
    <s v="Ongoing"/>
    <n v="2013"/>
    <s v="Banana River Lagoon"/>
    <s v="Not provided"/>
    <s v="Not provided"/>
    <s v="Not provided"/>
  </r>
  <r>
    <n v="2417"/>
    <s v="Kennedy Space Center"/>
    <s v="Not provided"/>
    <s v="KSC-02"/>
    <s v="KSC Citrus Grove Termination Jerome Rd. East"/>
    <s v="Not provided."/>
    <s v="Land Use Change"/>
    <x v="0"/>
    <x v="16"/>
    <n v="0"/>
    <n v="0"/>
    <x v="2"/>
    <n v="49.4"/>
    <s v="N/A"/>
    <s v="N/A"/>
    <s v="N/A"/>
    <s v="N/A"/>
    <s v="N/A"/>
    <s v="Non-structural"/>
    <s v="Completed"/>
    <n v="2013"/>
    <s v="Banana River Lagoon"/>
    <s v="Not provided"/>
    <s v="Not provided"/>
    <s v="Not provided"/>
  </r>
  <r>
    <n v="2431"/>
    <s v="Kennedy Space Center"/>
    <s v="Not provided"/>
    <s v="KSC-03"/>
    <s v="KSC Citrus Grove Termination  TEL-IV"/>
    <s v="Not provided."/>
    <s v="Land Use Change"/>
    <x v="0"/>
    <x v="16"/>
    <n v="0"/>
    <n v="0"/>
    <x v="2"/>
    <n v="20.5"/>
    <s v="N/A"/>
    <s v="N/A"/>
    <s v="N/A"/>
    <s v="N/A"/>
    <s v="N/A"/>
    <s v="Non-structural"/>
    <s v="Completed"/>
    <n v="2013"/>
    <s v="Banana River Lagoon"/>
    <s v="Not provided"/>
    <s v="Not provided"/>
    <s v="Not provided"/>
  </r>
  <r>
    <n v="2415"/>
    <s v="Kennedy Space Center"/>
    <s v="Not provided"/>
    <s v="KSC-04"/>
    <s v="Vertical Processing Facility M7-1469"/>
    <s v="Not provided."/>
    <s v="Land Use Change"/>
    <x v="0"/>
    <x v="16"/>
    <n v="24"/>
    <n v="9.4"/>
    <x v="2"/>
    <n v="2.2999999999999998"/>
    <s v="N/A"/>
    <s v="N/A"/>
    <s v="N/A"/>
    <s v="N/A"/>
    <s v="N/A"/>
    <s v="Non-structural"/>
    <s v="Completed"/>
    <n v="2013"/>
    <s v="Banana River Lagoon"/>
    <s v="Not provided"/>
    <s v="Not provided"/>
    <s v="Not provided"/>
  </r>
  <r>
    <n v="2414"/>
    <s v="Kennedy Space Center"/>
    <s v="Not provided"/>
    <s v="KSC-05"/>
    <s v="Spacecraft Assembly Encapsulation Facility 2 M7-1210"/>
    <s v="Not provided."/>
    <s v="Land Use Change"/>
    <x v="0"/>
    <x v="16"/>
    <n v="15"/>
    <n v="4.9000000000000004"/>
    <x v="2"/>
    <n v="1.2"/>
    <s v="N/A"/>
    <s v="N/A"/>
    <s v="N/A"/>
    <s v="N/A"/>
    <s v="N/A"/>
    <s v="Non-structural"/>
    <s v="Completed"/>
    <n v="2013"/>
    <s v="Banana River Lagoon"/>
    <s v="Not provided"/>
    <s v="Not provided"/>
    <s v="Not provided"/>
  </r>
  <r>
    <n v="2413"/>
    <s v="Kennedy Space Center"/>
    <s v="Not provided"/>
    <s v="KSC-06"/>
    <s v="Central Heat Plant M6-595"/>
    <s v="Not provided."/>
    <s v="Land Use Change"/>
    <x v="0"/>
    <x v="16"/>
    <n v="3"/>
    <n v="1"/>
    <x v="2"/>
    <n v="0.2"/>
    <s v="N/A"/>
    <s v="N/A"/>
    <s v="N/A"/>
    <s v="N/A"/>
    <s v="N/A"/>
    <s v="Non-structural"/>
    <s v="Completed"/>
    <n v="2013"/>
    <s v="Banana River Lagoon"/>
    <s v="Not provided"/>
    <s v="Not provided"/>
    <s v="Not provided"/>
  </r>
  <r>
    <n v="2412"/>
    <s v="Kennedy Space Center"/>
    <s v="Not provided"/>
    <s v="KSC-07"/>
    <s v="Utility Shops K6-1246"/>
    <s v="Not provided."/>
    <s v="Land Use Change"/>
    <x v="0"/>
    <x v="16"/>
    <n v="3"/>
    <n v="1"/>
    <x v="2"/>
    <n v="0.3"/>
    <s v="N/A"/>
    <s v="N/A"/>
    <s v="N/A"/>
    <s v="N/A"/>
    <s v="N/A"/>
    <s v="Non-structural"/>
    <s v="Completed"/>
    <n v="2013"/>
    <s v="Banana River Lagoon"/>
    <s v="Not provided"/>
    <s v="Not provided"/>
    <s v="Not provided"/>
  </r>
  <r>
    <n v="2411"/>
    <s v="Kennedy Space Center"/>
    <s v="Not provided"/>
    <s v="KSC-08"/>
    <s v="Fire Station 2 K6-1198"/>
    <s v="Not provided."/>
    <s v="Land Use Change"/>
    <x v="0"/>
    <x v="16"/>
    <n v="5"/>
    <n v="1.5"/>
    <x v="2"/>
    <n v="0.4"/>
    <s v="N/A"/>
    <s v="N/A"/>
    <s v="N/A"/>
    <s v="N/A"/>
    <s v="N/A"/>
    <s v="Non-structural"/>
    <s v="Completed"/>
    <n v="2013"/>
    <s v="Banana River Lagoon"/>
    <s v="Not provided"/>
    <s v="Not provided"/>
    <s v="Not provided"/>
  </r>
  <r>
    <n v="2410"/>
    <s v="Kennedy Space Center"/>
    <s v="Not provided"/>
    <s v="KSC-09"/>
    <s v="Vehicle Loading Ramp  M7-0651"/>
    <s v="Not provided."/>
    <s v="Land Use Change"/>
    <x v="0"/>
    <x v="16"/>
    <n v="0"/>
    <n v="0.1"/>
    <x v="2"/>
    <n v="0"/>
    <s v="N/A"/>
    <s v="N/A"/>
    <s v="N/A"/>
    <s v="N/A"/>
    <s v="N/A"/>
    <s v="Non-structural"/>
    <s v="Completed"/>
    <n v="2013"/>
    <s v="Banana River Lagoon"/>
    <s v="Not provided"/>
    <s v="Not provided"/>
    <s v="Not provided"/>
  </r>
  <r>
    <n v="2409"/>
    <s v="Kennedy Space Center"/>
    <s v="Not provided"/>
    <s v="KSC-10"/>
    <s v="Hypergol Module Storage East  M7-1412"/>
    <s v="Not provided."/>
    <s v="Land Use Change"/>
    <x v="0"/>
    <x v="16"/>
    <n v="6"/>
    <n v="2.1"/>
    <x v="2"/>
    <n v="0.5"/>
    <s v="N/A"/>
    <s v="N/A"/>
    <s v="N/A"/>
    <s v="N/A"/>
    <s v="N/A"/>
    <s v="Non-structural"/>
    <s v="Completed"/>
    <n v="2013"/>
    <s v="Banana River Lagoon"/>
    <s v="Not provided"/>
    <s v="Not provided"/>
    <s v="Not provided"/>
  </r>
  <r>
    <n v="2408"/>
    <s v="Kennedy Space Center"/>
    <s v="Not provided"/>
    <s v="KSC-11"/>
    <s v="Hypergol Module Storage West M7-1410"/>
    <s v="Not provided."/>
    <s v="Land Use Change"/>
    <x v="0"/>
    <x v="16"/>
    <n v="8"/>
    <n v="2.6"/>
    <x v="2"/>
    <n v="0.6"/>
    <s v="N/A"/>
    <s v="N/A"/>
    <s v="N/A"/>
    <s v="N/A"/>
    <s v="N/A"/>
    <s v="Non-structural"/>
    <s v="Completed"/>
    <n v="2013"/>
    <s v="Banana River Lagoon"/>
    <s v="Not provided"/>
    <s v="Not provided"/>
    <s v="Not provided"/>
  </r>
  <r>
    <n v="2407"/>
    <s v="Kennedy Space Center"/>
    <s v="Not provided"/>
    <s v="KSC-12"/>
    <s v="Regional Stormwater Management System"/>
    <s v="Not provided."/>
    <s v="Wet Detention Pond"/>
    <x v="0"/>
    <x v="16"/>
    <n v="2541"/>
    <n v="1022.1"/>
    <x v="2"/>
    <n v="593.20000000000005"/>
    <s v="Not provided"/>
    <s v="Not provided"/>
    <s v="Not provided"/>
    <s v="Not provided"/>
    <s v="N/A"/>
    <s v="Structural"/>
    <s v="Completed"/>
    <n v="2013"/>
    <s v="Banana River Lagoon"/>
    <s v="Not provided"/>
    <s v="Not provided"/>
    <s v="Not provided"/>
  </r>
  <r>
    <n v="2404"/>
    <s v="Kennedy Space Center"/>
    <s v="Not provided"/>
    <s v="KSC-13"/>
    <s v="ARF Stormwater System"/>
    <s v="Not provided."/>
    <s v="On-line Retention BMPs"/>
    <x v="0"/>
    <x v="16"/>
    <n v="320"/>
    <n v="67.8"/>
    <x v="2"/>
    <n v="55.4"/>
    <s v="Not provided"/>
    <s v="Not provided"/>
    <s v="Not provided"/>
    <s v="Not provided"/>
    <s v="N/A"/>
    <s v="Structural"/>
    <s v="Completed"/>
    <n v="2013"/>
    <s v="Banana River Lagoon"/>
    <s v="Not provided"/>
    <s v="Not provided"/>
    <s v="Not provided"/>
  </r>
  <r>
    <n v="2426"/>
    <s v="Kennedy Space Center"/>
    <s v="Not provided"/>
    <s v="KSC-14"/>
    <s v="VAB South Wetland Treatment System"/>
    <s v="Not provided."/>
    <s v="Wetland Treatment"/>
    <x v="0"/>
    <x v="16"/>
    <n v="672"/>
    <n v="330.3"/>
    <x v="2"/>
    <n v="188.5"/>
    <s v="Not provided"/>
    <s v="Not provided"/>
    <s v="Not provided"/>
    <s v="Not provided"/>
    <s v="N/A"/>
    <s v="Structural"/>
    <s v="Completed"/>
    <n v="2013"/>
    <s v="Banana River Lagoon"/>
    <s v="Not provided"/>
    <s v="Not provided"/>
    <s v="Not provided"/>
  </r>
  <r>
    <n v="2609"/>
    <s v="Kennedy Space Center"/>
    <s v="Not provided"/>
    <s v="KSC-15"/>
    <s v="Schwartz Road Landfill"/>
    <s v="Not provided."/>
    <s v="100% On-site Retention"/>
    <x v="0"/>
    <x v="16"/>
    <n v="1341"/>
    <n v="257.10000000000002"/>
    <x v="2"/>
    <n v="122.5"/>
    <s v="Not provided"/>
    <s v="Not provided"/>
    <s v="Not provided"/>
    <s v="Not provided"/>
    <s v="N/A"/>
    <s v="Structural"/>
    <s v="Completed"/>
    <n v="2013"/>
    <s v="Banana River Lagoon"/>
    <s v="Not provided"/>
    <s v="Not provided"/>
    <s v="Not provided"/>
  </r>
  <r>
    <n v="2728"/>
    <s v="Kennedy Space Center"/>
    <s v="Not provided"/>
    <s v="KSC-16"/>
    <s v="Closed Basin 4 (Spoil Site - Static Test Road)"/>
    <s v="Not provided."/>
    <s v="100% On-site Retention"/>
    <x v="0"/>
    <x v="16"/>
    <n v="844"/>
    <n v="160.6"/>
    <x v="2"/>
    <n v="68.2"/>
    <s v="Not provided"/>
    <s v="Not provided"/>
    <s v="Not provided"/>
    <s v="Not provided"/>
    <s v="N/A"/>
    <s v="Non-structural"/>
    <s v="Completed"/>
    <n v="2013"/>
    <s v="Banana River Lagoon"/>
    <s v="Not provided"/>
    <s v="Not provided"/>
    <s v="Not provided"/>
  </r>
  <r>
    <n v="2890"/>
    <s v="Kennedy Space Center"/>
    <s v="Not provided"/>
    <s v="KSC-17"/>
    <s v="Impounded Areas"/>
    <s v="Not provided."/>
    <s v="100% On-site Retention"/>
    <x v="0"/>
    <x v="16"/>
    <n v="2444"/>
    <n v="149.6"/>
    <x v="2"/>
    <n v="1655.3"/>
    <n v="62406"/>
    <s v="Not provided"/>
    <s v="Not provided"/>
    <n v="62406"/>
    <s v="N/A"/>
    <s v="Structural"/>
    <s v="Completed"/>
    <n v="2013"/>
    <s v="Banana River Lagoon"/>
    <s v="Not provided"/>
    <s v="Not provided"/>
    <s v="Not provided"/>
  </r>
  <r>
    <n v="2889"/>
    <s v="Kennedy Space Center"/>
    <s v="Not provided"/>
    <s v="KSC-18"/>
    <s v="Depressional Storage (22nd St. to 28th St.)"/>
    <s v="Not provided."/>
    <s v="100% On-site Retention"/>
    <x v="0"/>
    <x v="16"/>
    <n v="4139"/>
    <n v="228.3"/>
    <x v="2"/>
    <n v="1008.1"/>
    <n v="491976"/>
    <s v="Not provided"/>
    <s v="Not provided"/>
    <n v="491976"/>
    <s v="N/A"/>
    <s v="Structural"/>
    <s v="Completed"/>
    <n v="2013"/>
    <s v="Banana River Lagoon"/>
    <s v="Not provided"/>
    <s v="Not provided"/>
    <s v="Not provided"/>
  </r>
  <r>
    <n v="2888"/>
    <s v="Kennedy Space Center"/>
    <s v="Not provided"/>
    <s v="KSC-19"/>
    <s v="Depressional Storage (Jerome Rd. to 22nd St.)"/>
    <s v="Not provided."/>
    <s v="100% On-site Retention"/>
    <x v="0"/>
    <x v="16"/>
    <n v="4064"/>
    <n v="283.60000000000002"/>
    <x v="2"/>
    <n v="982"/>
    <n v="477506"/>
    <s v="Not provided"/>
    <s v="Not provided"/>
    <n v="477506"/>
    <s v="N/A"/>
    <s v="Structural"/>
    <s v="Completed"/>
    <n v="2013"/>
    <s v="Banana River Lagoon"/>
    <s v="Not provided"/>
    <s v="Not provided"/>
    <s v="Not provided"/>
  </r>
  <r>
    <n v="2887"/>
    <s v="Kennedy Space Center"/>
    <s v="Not provided"/>
    <s v="KSC-20"/>
    <s v="Demolition of Facilities M7-1521 and M7-1522"/>
    <s v="Not provided."/>
    <s v="Land Use Change"/>
    <x v="0"/>
    <x v="16"/>
    <n v="7"/>
    <n v="1.8"/>
    <x v="2"/>
    <n v="0.5"/>
    <s v="N/A"/>
    <s v="N/A"/>
    <s v="N/A"/>
    <s v="N/A"/>
    <s v="N/A"/>
    <s v="Non-structural"/>
    <s v="Completed"/>
    <n v="2014"/>
    <s v="Banana River Lagoon"/>
    <s v="Not provided"/>
    <s v="Not provided"/>
    <s v="Not provided"/>
  </r>
  <r>
    <n v="2886"/>
    <s v="Kennedy Space Center"/>
    <s v="Not provided"/>
    <s v="KSC-21"/>
    <s v="Demolition of Facility M6-0339"/>
    <s v="Not provided."/>
    <s v="Land Use Change"/>
    <x v="0"/>
    <x v="16"/>
    <n v="7"/>
    <n v="2.2999999999999998"/>
    <x v="2"/>
    <n v="0.5"/>
    <s v="N/A"/>
    <s v="N/A"/>
    <s v="N/A"/>
    <s v="N/A"/>
    <s v="N/A"/>
    <s v="Non-structural"/>
    <s v="Completed"/>
    <n v="2014"/>
    <s v="Banana River Lagoon"/>
    <s v="Not provided"/>
    <s v="Not provided"/>
    <s v="Not provided"/>
  </r>
  <r>
    <n v="2885"/>
    <s v="Kennedy Space Center"/>
    <s v="Not provided"/>
    <s v="KSC-22"/>
    <s v="Demolition of Facility M7-0862"/>
    <s v="Not provided."/>
    <s v="Land Use Change"/>
    <x v="0"/>
    <x v="0"/>
    <n v="0"/>
    <n v="0.1"/>
    <x v="2"/>
    <n v="0.02"/>
    <s v="N/A"/>
    <s v="N/A"/>
    <s v="N/A"/>
    <s v="N/A"/>
    <s v="N/A"/>
    <s v="Non-structural"/>
    <s v="Completed"/>
    <n v="2015"/>
    <s v="Banana River Lagoon"/>
    <s v="Not provided"/>
    <s v="Not provided"/>
    <s v="Not provided"/>
  </r>
  <r>
    <n v="2884"/>
    <s v="Kennedy Space Center"/>
    <s v="Not provided"/>
    <s v="KSC-23"/>
    <s v="Demolition of Facility M7-1012"/>
    <s v="Not provided."/>
    <s v="Land Use Change"/>
    <x v="0"/>
    <x v="0"/>
    <n v="0"/>
    <n v="0"/>
    <x v="2"/>
    <n v="7.0000000000000001E-3"/>
    <s v="N/A"/>
    <s v="N/A"/>
    <s v="N/A"/>
    <s v="N/A"/>
    <s v="N/A"/>
    <s v="Non-structural"/>
    <s v="Completed"/>
    <n v="2015"/>
    <s v="Banana River Lagoon"/>
    <s v="Not provided"/>
    <s v="Not provided"/>
    <s v="Not provided"/>
  </r>
  <r>
    <n v="2874"/>
    <s v="Kennedy Space Center"/>
    <s v="Not provided"/>
    <s v="KSC-24"/>
    <s v="Demolition of Facility M7-1061"/>
    <s v="Not provided."/>
    <s v="Land Use Change"/>
    <x v="0"/>
    <x v="0"/>
    <n v="15"/>
    <n v="3.9"/>
    <x v="2"/>
    <n v="1.3"/>
    <s v="N/A"/>
    <s v="N/A"/>
    <s v="N/A"/>
    <s v="N/A"/>
    <s v="N/A"/>
    <s v="Non-structural"/>
    <s v="Completed"/>
    <n v="2015"/>
    <s v="Banana River Lagoon"/>
    <s v="Not provided"/>
    <s v="Not provided"/>
    <s v="Not provided"/>
  </r>
  <r>
    <n v="2882"/>
    <s v="Kennedy Space Center"/>
    <s v="Not provided"/>
    <s v="KSC-25"/>
    <s v="Demolition of Facility M7-1112"/>
    <s v="Not provided."/>
    <s v="Land Use Change"/>
    <x v="0"/>
    <x v="0"/>
    <n v="2"/>
    <n v="0.5"/>
    <x v="2"/>
    <n v="0.11"/>
    <s v="N/A"/>
    <s v="N/A"/>
    <s v="N/A"/>
    <s v="N/A"/>
    <s v="N/A"/>
    <s v="Non-structural"/>
    <s v="Completed"/>
    <n v="2015"/>
    <s v="Banana River Lagoon"/>
    <s v="Not provided"/>
    <s v="Not provided"/>
    <s v="Not provided"/>
  </r>
  <r>
    <n v="2891"/>
    <s v="Kennedy Space Center"/>
    <s v="Not provided"/>
    <s v="KSC-26"/>
    <s v="Demolition of Facility M7-0961"/>
    <s v="Not provided."/>
    <s v="Land Use Change"/>
    <x v="0"/>
    <x v="0"/>
    <n v="16"/>
    <n v="4.0999999999999996"/>
    <x v="2"/>
    <n v="1.04"/>
    <s v="N/A"/>
    <s v="N/A"/>
    <s v="N/A"/>
    <s v="N/A"/>
    <s v="N/A"/>
    <s v="Non-structural"/>
    <s v="Completed"/>
    <n v="2015"/>
    <s v="Banana River Lagoon"/>
    <s v="Not provided"/>
    <s v="Not provided"/>
    <s v="Not provided"/>
  </r>
  <r>
    <n v="2880"/>
    <s v="Kennedy Space Center"/>
    <s v="Not provided"/>
    <s v="KSC-27"/>
    <s v="Demolition of Facility K7-2468"/>
    <s v="Not provided."/>
    <s v="Land Use Change"/>
    <x v="0"/>
    <x v="0"/>
    <n v="0"/>
    <n v="0"/>
    <x v="2"/>
    <n v="0.1"/>
    <s v="N/A"/>
    <s v="N/A"/>
    <s v="N/A"/>
    <s v="N/A"/>
    <s v="N/A"/>
    <s v="Non-structural"/>
    <s v="Completed"/>
    <n v="2015"/>
    <s v="Banana River Lagoon"/>
    <s v="Not provided"/>
    <s v="Not provided"/>
    <s v="Not provided"/>
  </r>
  <r>
    <n v="2879"/>
    <s v="Kennedy Space Center"/>
    <s v="Not provided"/>
    <s v="KSC-28"/>
    <s v="Cut 13 Dredging"/>
    <s v="Maintenance dredging."/>
    <s v="Muck Removal/Restoration Dredging"/>
    <x v="2"/>
    <x v="4"/>
    <n v="0"/>
    <n v="0"/>
    <x v="2"/>
    <n v="37"/>
    <n v="14000000"/>
    <s v="Not provided"/>
    <s v="Not provided"/>
    <n v="14000000"/>
    <s v="N/A"/>
    <s v="Non-structural"/>
    <s v="In progress"/>
    <n v="2016"/>
    <s v="Banana River Lagoon"/>
    <n v="28.413374999999998"/>
    <n v="80.644490000000005"/>
    <n v="2017"/>
  </r>
  <r>
    <n v="2536"/>
    <s v="Brevard County"/>
    <s v="N/A"/>
    <s v="BC-01"/>
    <s v="Education Efforts"/>
    <s v="Florida Yards and Neighbors (FYN); landscape, irrigation, fertilizer, and pet waste ordinances; public service announcements (PSAs); pamphlets; website; Illicit Discharge Program."/>
    <s v="Education Efforts"/>
    <x v="0"/>
    <x v="1"/>
    <n v="79"/>
    <n v="14"/>
    <x v="2"/>
    <s v="N/A"/>
    <s v="N/A"/>
    <n v="40000"/>
    <s v="Utility Fee"/>
    <s v="N/A"/>
    <s v="N/A"/>
    <s v="Non-structural"/>
    <s v="Ongoing"/>
    <n v="2013"/>
    <s v="Banana River Lagoon"/>
    <s v="Not provided"/>
    <s v="Not provided"/>
    <s v="Not provided"/>
  </r>
  <r>
    <n v="2547"/>
    <s v="Brevard County"/>
    <s v="SJRWMD/ Environmentally Endangered Lands (EELS)"/>
    <s v="BC-02"/>
    <s v="Pine Island Phase I and II"/>
    <s v="Regional Stormwater Management System  includes two wet ponds (80-acres &amp; 23 acres) with gravity flow and pump station."/>
    <s v="Regional Stormwater Treatment"/>
    <x v="0"/>
    <x v="0"/>
    <n v="160"/>
    <n v="102"/>
    <x v="2"/>
    <n v="15.3"/>
    <n v="3140824"/>
    <n v="19235"/>
    <s v="EPA/ DEP TMDL"/>
    <n v="1677079"/>
    <s v="G0288/ G0344"/>
    <s v="Structural"/>
    <s v="Completed"/>
    <n v="2013"/>
    <s v="Banana River Lagoon"/>
    <s v="Not provided"/>
    <s v="Not provided"/>
    <s v="Not provided"/>
  </r>
  <r>
    <n v="2559"/>
    <s v="Brevard County"/>
    <s v="DEP"/>
    <s v="BC-03"/>
    <s v="Florida Blvd. Pond"/>
    <s v="Construction of a 2.3 acre wet detention pond to proivide treatment to a residential area in Merritt Island."/>
    <s v="Wet Detention Pond"/>
    <x v="0"/>
    <x v="3"/>
    <n v="324"/>
    <n v="126.4"/>
    <x v="0"/>
    <n v="73.599999999999994"/>
    <n v="350384"/>
    <s v="Not provided"/>
    <s v="DEP"/>
    <s v="DEP - $350,384"/>
    <s v="WM744"/>
    <s v="Structural"/>
    <s v="Completed"/>
    <n v="2013"/>
    <s v="Banana River Lagoon"/>
    <s v="Not provided"/>
    <s v="Not provided"/>
    <s v="Not provided"/>
  </r>
  <r>
    <n v="2545"/>
    <s v="Brevard County"/>
    <s v="DEP"/>
    <s v="BC-04"/>
    <s v="Hampton North (Riverside)"/>
    <s v="Upgrading a 1st generation to a 2nd generatrion baffle box by adding the nutrient separating screen."/>
    <s v="Baffle Boxes- First Generation (hydrodynamic separator)"/>
    <x v="0"/>
    <x v="3"/>
    <n v="1"/>
    <n v="1.4"/>
    <x v="0"/>
    <n v="15.3"/>
    <n v="27000"/>
    <n v="1500"/>
    <s v="DEP"/>
    <s v="DEP - $27,000"/>
    <s v="G0268"/>
    <s v="Structural"/>
    <s v="Completed"/>
    <n v="2013"/>
    <s v="Banana River Lagoon"/>
    <s v="Not provided"/>
    <s v="Not provided"/>
    <s v="Not provided"/>
  </r>
  <r>
    <n v="2544"/>
    <s v="Brevard County"/>
    <s v="DEP"/>
    <s v="BC-05"/>
    <s v="Hampton South (Needle Blvd)"/>
    <s v="Upgrading a 1st generation to a 2nd generatrion baffle box by adding the nutrient separating screen."/>
    <s v="Baffle Boxes- First Generation (hydrodynamic separator)"/>
    <x v="0"/>
    <x v="3"/>
    <n v="1"/>
    <n v="1.6"/>
    <x v="0"/>
    <n v="18.100000000000001"/>
    <n v="29000"/>
    <n v="1500"/>
    <s v="DEP"/>
    <s v="DEP - $29,000"/>
    <s v="G0268"/>
    <s v="Structural"/>
    <s v="Completed"/>
    <n v="2013"/>
    <s v="Banana River Lagoon"/>
    <s v="Not provided"/>
    <s v="Not provided"/>
    <s v="Not provided"/>
  </r>
  <r>
    <n v="2543"/>
    <s v="Brevard County"/>
    <s v="DEP"/>
    <s v="BC-06"/>
    <s v="Albatross"/>
    <s v="Upgrading a 1st generation to a 2nd generatrion baffle box by adding the nutrient separating screen."/>
    <s v="Baffle Boxes- First Generation (hydrodynamic separator)"/>
    <x v="0"/>
    <x v="3"/>
    <n v="1"/>
    <n v="1.5"/>
    <x v="0"/>
    <n v="21.8"/>
    <n v="33000"/>
    <n v="1500"/>
    <s v="DEP"/>
    <s v="DEP - $33,000"/>
    <s v="G0268"/>
    <s v="Structural"/>
    <s v="Completed"/>
    <n v="2013"/>
    <s v="Banana River Lagoon"/>
    <s v="Not provided"/>
    <s v="Not provided"/>
    <s v="Not provided"/>
  </r>
  <r>
    <n v="2789"/>
    <s v="Brevard County"/>
    <s v="DEP"/>
    <s v="BC-07"/>
    <s v="Surfside"/>
    <s v="Upgrading a 1st generation to a 2nd generatrion baffle box by adding the nutrient separating screen."/>
    <s v="Baffle Boxes- First Generation (hydrodynamic separator)"/>
    <x v="0"/>
    <x v="3"/>
    <n v="2"/>
    <n v="2.2000000000000002"/>
    <x v="0"/>
    <n v="22.8"/>
    <n v="31500"/>
    <n v="1500"/>
    <s v="DEP"/>
    <s v="DEP - $31,500"/>
    <s v="G0268"/>
    <s v="Structural"/>
    <s v="Completed"/>
    <n v="2013"/>
    <s v="Banana River Lagoon"/>
    <s v="Not provided"/>
    <s v="Not provided"/>
    <s v="Not provided"/>
  </r>
  <r>
    <n v="2457"/>
    <s v="Brevard County"/>
    <s v="DEP"/>
    <s v="BC-08"/>
    <s v="West Scots"/>
    <s v="Upgrading a 1st generation to a 2nd generatrion baffle box by adding the nutrient separating screen."/>
    <s v="Baffle Boxes- Second Generation"/>
    <x v="0"/>
    <x v="3"/>
    <n v="30"/>
    <n v="5.9"/>
    <x v="0"/>
    <n v="9.6999999999999993"/>
    <n v="41000"/>
    <n v="1500"/>
    <s v="DEP"/>
    <s v="DEP - $41,000"/>
    <s v="G0268"/>
    <s v="Structural"/>
    <s v="Completed"/>
    <n v="2013"/>
    <s v="Banana River Lagoon"/>
    <s v="Not provided"/>
    <s v="Not provided"/>
    <s v="Not provided"/>
  </r>
  <r>
    <n v="2428"/>
    <s v="Brevard County"/>
    <s v="DEP"/>
    <s v="BC-09"/>
    <s v="Johns Circle"/>
    <s v="Upgrading a 1st generation to a 2nd generatrion baffle box by adding the nutrient separating screen."/>
    <s v="Baffle Boxes- First Generation (hydrodynamic separator)"/>
    <x v="0"/>
    <x v="3"/>
    <n v="2"/>
    <n v="1.8"/>
    <x v="0"/>
    <n v="19.5"/>
    <n v="31000"/>
    <n v="1500"/>
    <s v="DEP"/>
    <s v="DEP - $31,000"/>
    <s v="G0268"/>
    <s v="Structural"/>
    <s v="Completed"/>
    <n v="2013"/>
    <s v="Banana River Lagoon"/>
    <s v="Not provided"/>
    <s v="Not provided"/>
    <s v="Not provided"/>
  </r>
  <r>
    <n v="2393"/>
    <s v="Brevard County"/>
    <s v="DEP"/>
    <s v="BC-10"/>
    <s v="Farrington Drive"/>
    <s v="Upgrading a 1st generation to a 2nd generatrion baffle box by adding the nutrient separating screen."/>
    <s v="Baffle Boxes- Second Generation"/>
    <x v="0"/>
    <x v="3"/>
    <n v="24"/>
    <n v="4.9000000000000004"/>
    <x v="0"/>
    <n v="7.8"/>
    <n v="37500"/>
    <n v="1500"/>
    <s v="DEP"/>
    <s v="DEP - $37,500"/>
    <s v="G0268"/>
    <s v="Structural"/>
    <s v="Completed"/>
    <n v="2013"/>
    <s v="Banana River Lagoon"/>
    <s v="Not provided"/>
    <s v="Not provided"/>
    <s v="Not provided"/>
  </r>
  <r>
    <n v="2394"/>
    <s v="Brevard County"/>
    <s v="DEP"/>
    <s v="BC-11"/>
    <s v="Porpoise Street"/>
    <s v="Upgrading a 1st generation to a 2nd generatrion baffle box by adding the nutrient separating screen."/>
    <s v="Baffle Boxes- Second Generation"/>
    <x v="0"/>
    <x v="3"/>
    <n v="25"/>
    <n v="4.9000000000000004"/>
    <x v="0"/>
    <n v="7.8"/>
    <n v="42000"/>
    <n v="1500"/>
    <s v="DEP"/>
    <s v="DEP - $42,000"/>
    <s v="G0268"/>
    <s v="Structural"/>
    <s v="Completed"/>
    <n v="2013"/>
    <s v="Banana River Lagoon"/>
    <s v="Not provided"/>
    <s v="Not provided"/>
    <s v="Not provided"/>
  </r>
  <r>
    <n v="2402"/>
    <s v="Brevard County"/>
    <s v="DEP"/>
    <s v="BC-12"/>
    <s v="Angler Street"/>
    <s v="Upgrading a 1st generation to a 2nd generatrion baffle box by adding the nutrient separating screen."/>
    <s v="Baffle Boxes- First Generation (hydrodynamic separator)"/>
    <x v="0"/>
    <x v="3"/>
    <n v="1"/>
    <n v="0.9"/>
    <x v="0"/>
    <n v="10.199999999999999"/>
    <n v="30700"/>
    <n v="1500"/>
    <s v="DEP"/>
    <s v="DEP - $30,700"/>
    <s v="G0268"/>
    <s v="Structural"/>
    <s v="Completed"/>
    <n v="2013"/>
    <s v="Banana River Lagoon"/>
    <s v="Not provided"/>
    <s v="Not provided"/>
    <s v="Not provided"/>
  </r>
  <r>
    <n v="2396"/>
    <s v="Brevard County"/>
    <s v="DEP"/>
    <s v="BC-13"/>
    <s v="Diana Shores"/>
    <s v="Installing a Vortech Unit to treat runoff form an old residential, multi family and commercial area."/>
    <s v="Hydrodynamic Separators"/>
    <x v="0"/>
    <x v="3"/>
    <n v="0"/>
    <n v="17"/>
    <x v="0"/>
    <n v="38.6"/>
    <n v="102000"/>
    <n v="1500"/>
    <s v="DEP"/>
    <s v="DEP - $102,000"/>
    <s v="G0268"/>
    <s v="Structural"/>
    <s v="Completed"/>
    <n v="2013"/>
    <s v="Banana River Lagoon"/>
    <s v="Not provided"/>
    <s v="Not provided"/>
    <s v="Not provided"/>
  </r>
  <r>
    <n v="2389"/>
    <s v="Brevard County"/>
    <s v="N/A"/>
    <s v="BC-14"/>
    <s v="Education Efforts"/>
    <s v="FYN; landscape, irrigation, fertilizer, and pet waste ordinances; public service announcements (PSAs); pamphlets; website; Illicit Discharge Program."/>
    <s v="Education Efforts"/>
    <x v="0"/>
    <x v="1"/>
    <n v="3854"/>
    <n v="825"/>
    <x v="0"/>
    <s v="N/A"/>
    <s v="Not provided"/>
    <s v="Not provided"/>
    <s v="N/A"/>
    <s v="N/A"/>
    <s v="N/A"/>
    <s v="Non-structural"/>
    <s v="Ongoing"/>
    <n v="2013"/>
    <s v="Banana River Lagoon"/>
    <s v="N/A"/>
    <s v="N/A"/>
    <s v="Not provided"/>
  </r>
  <r>
    <n v="2398"/>
    <s v="Brevard County"/>
    <s v="N/A"/>
    <s v="BC-15"/>
    <s v="Street Sweeping"/>
    <s v="Street sweeping on 786 miles eight times per year."/>
    <s v="Street Sweeping"/>
    <x v="0"/>
    <x v="1"/>
    <n v="525"/>
    <n v="336"/>
    <x v="2"/>
    <s v="N/A"/>
    <s v="N/A"/>
    <n v="50000"/>
    <s v="N/A"/>
    <s v="N/A"/>
    <s v="N/A"/>
    <s v="Non-structural"/>
    <s v="Ongoing"/>
    <n v="2013"/>
    <s v="Banana River Lagoon"/>
    <s v="N/A"/>
    <s v="N/A"/>
    <s v="Not provided"/>
  </r>
  <r>
    <n v="2399"/>
    <s v="Brevard County"/>
    <s v="DEP"/>
    <s v="BC-16"/>
    <s v="Fortenberry Pond"/>
    <s v="22.3 Acre Regional Stormwater Detention Pond designed to accommodate water quality treatment for pre-existing development as well as for future build-out of commercial properties through the purchase of stormwater credits."/>
    <s v="Wet Detention Pond"/>
    <x v="0"/>
    <x v="0"/>
    <n v="847"/>
    <n v="364.6"/>
    <x v="0"/>
    <n v="164.5"/>
    <n v="10900000"/>
    <n v="35000"/>
    <s v="DEP TMDL"/>
    <s v="DEP TMDL - $340,533"/>
    <s v="S0646"/>
    <s v="Structural"/>
    <s v="Completed"/>
    <n v="2013"/>
    <s v="Banana River Lagoon"/>
    <s v="Not provided"/>
    <s v="Not provided"/>
    <s v="Not provided"/>
  </r>
  <r>
    <n v="2400"/>
    <s v="Brevard County"/>
    <s v="DEP"/>
    <s v="BC-17"/>
    <s v="Merritt Island Airport Pond"/>
    <s v="Redirection of run-off from a drainage basin with no treatment through a swale and to a pond that was expanded to provide water quality."/>
    <s v="Wet Detention Pond"/>
    <x v="0"/>
    <x v="3"/>
    <n v="458"/>
    <n v="160"/>
    <x v="0"/>
    <n v="148.19999999999999"/>
    <n v="652056"/>
    <s v="Not provided"/>
    <s v="DEP"/>
    <s v="DEP - $652,056"/>
    <s v="S0439"/>
    <s v="Structural"/>
    <s v="Completed"/>
    <n v="2013"/>
    <s v="Banana River Lagoon"/>
    <s v="Not provided"/>
    <s v="Not provided"/>
    <s v="Not provided"/>
  </r>
  <r>
    <n v="2542"/>
    <s v="Brevard County"/>
    <s v="Not provided"/>
    <s v="BC-18"/>
    <s v="Florida Boulevard"/>
    <s v="Installation of floating vegetation islands to remove nitrogen from an existing wet detention pond."/>
    <s v="Floating Islands/ Managed Aquatic Plant Systems (MAPS)"/>
    <x v="0"/>
    <x v="3"/>
    <n v="117"/>
    <n v="14.3"/>
    <x v="0"/>
    <n v="73.599999999999994"/>
    <n v="40772"/>
    <n v="18295"/>
    <s v="Not provided"/>
    <n v="40772"/>
    <s v="Not provided"/>
    <s v="Structural"/>
    <s v="Completed"/>
    <n v="2013"/>
    <s v="Banana River Lagoon"/>
    <s v="Not provided"/>
    <s v="Not provided"/>
    <s v="Not provided"/>
  </r>
  <r>
    <n v="5145"/>
    <s v="City of Indian Harbour Beach"/>
    <s v="TBD"/>
    <s v="IHB-37"/>
    <s v="Gleason Park Irrigation Phase 3"/>
    <s v="Expansion of irrigation in Gleason Park to cover SE area of park."/>
    <s v="Reclaimed Water"/>
    <x v="0"/>
    <x v="7"/>
    <s v="TBD"/>
    <s v="TBD"/>
    <x v="0"/>
    <n v="129"/>
    <n v="12000"/>
    <s v="Not provided"/>
    <s v="City of IHB Stormwater Utility"/>
    <s v="N/A"/>
    <s v="N/A"/>
    <s v="Structural"/>
    <s v="Completed"/>
    <n v="2019"/>
    <s v="Banana River Lagoon"/>
    <s v="Not provided"/>
    <s v="Not provided"/>
    <s v="Not provided"/>
  </r>
  <r>
    <n v="5146"/>
    <s v="Brevard County"/>
    <s v="MIRA/ SJRWMD/ SOIRL/ DEP"/>
    <s v="BC-44"/>
    <s v="MIRA Phase 2 Septic to Sewer (S. Tropical Tr.)"/>
    <s v="Connect 80 commercial properties to sewer."/>
    <s v="OSTDS Phase Out"/>
    <x v="0"/>
    <x v="8"/>
    <s v="TBD"/>
    <s v="N/A"/>
    <x v="0"/>
    <s v="N/A"/>
    <s v="Not provided"/>
    <s v="Not provided"/>
    <s v="SJRWMD/ SOIRL/ DEP"/>
    <s v="Not provided"/>
    <n v="28731"/>
    <s v="Structural"/>
    <s v="Completed"/>
    <n v="2019"/>
    <s v="Banana River Lagoon"/>
    <s v="Not provided"/>
    <s v="Not provided"/>
    <s v="Not provided"/>
  </r>
  <r>
    <n v="5147"/>
    <s v="Brevard County"/>
    <s v="SOIRL/ Brevard Zoo"/>
    <s v="BC-45"/>
    <s v="Bettinger Oyster Bar"/>
    <s v="Construct 120-linear foot oyster bar."/>
    <s v="Creating/ Enhancing Oyster Reefs"/>
    <x v="0"/>
    <x v="7"/>
    <s v="TBD"/>
    <s v="TBD"/>
    <x v="0"/>
    <s v="Not provided"/>
    <n v="101680"/>
    <s v="Not provided"/>
    <s v="Not provided"/>
    <n v="10680"/>
    <s v="N/A"/>
    <s v="Structural"/>
    <s v="Completed"/>
    <n v="2019"/>
    <s v="Banana River Lagoon"/>
    <s v="Not provided"/>
    <s v="Not provided"/>
    <s v="Not provided"/>
  </r>
  <r>
    <n v="5148"/>
    <s v="Brevard County"/>
    <s v="SOIRL/ Brevard Zoo"/>
    <s v="BC-46"/>
    <s v="Gitlin Oyster Bar"/>
    <s v="Construct 180 linear foot oyster reef."/>
    <s v="Creating/ Enhancing Oyster Reefs"/>
    <x v="0"/>
    <x v="7"/>
    <s v="TBD"/>
    <s v="TBD"/>
    <x v="0"/>
    <s v="Not provided"/>
    <n v="16020"/>
    <s v="Not provided"/>
    <s v="SOIRL"/>
    <n v="16020"/>
    <s v="N/A"/>
    <s v="Structural"/>
    <s v="Completed"/>
    <n v="2019"/>
    <s v="Banana River Lagoon"/>
    <s v="Not provided"/>
    <s v="Not provided"/>
    <s v="Not provided"/>
  </r>
  <r>
    <n v="5149"/>
    <s v="Brevard County"/>
    <s v="SOIRL/ Brevard Zoo"/>
    <s v="BC-47"/>
    <s v="Marina Isles Oyster Restoration"/>
    <s v="Construct 1500 linear foot oyster reef."/>
    <s v="Creating/ Enhancing Oyster Reefs"/>
    <x v="0"/>
    <x v="7"/>
    <s v="TBD"/>
    <s v="TBD"/>
    <x v="0"/>
    <s v="Not provided"/>
    <n v="26700"/>
    <s v="Not provided"/>
    <s v="SOIRL"/>
    <n v="26700"/>
    <s v="N/A"/>
    <s v="Structural"/>
    <s v="Completed"/>
    <n v="2019"/>
    <s v="Banana River Lagoon"/>
    <s v="Not provided"/>
    <s v="Not provided"/>
    <s v="Not provided"/>
  </r>
  <r>
    <n v="5150"/>
    <s v="Brevard County"/>
    <s v="SOIRL/ MRC"/>
    <s v="BC-48"/>
    <s v="Cocoa Beach Living Shoreline"/>
    <s v="Plant 200 mangroves and 1000 spartina along shoreline of Cocoa Beach Country Club."/>
    <s v="Creating/ Enhancing Living Shoreline"/>
    <x v="0"/>
    <x v="9"/>
    <s v="TBD"/>
    <s v="TBD"/>
    <x v="0"/>
    <s v="Not provided"/>
    <n v="16080"/>
    <s v="Not provided"/>
    <s v="SOIRL"/>
    <n v="16080"/>
    <s v="N/A"/>
    <s v="Structural"/>
    <s v="Completed"/>
    <n v="2019"/>
    <s v="Banana River Lagoon"/>
    <s v="Not provided"/>
    <s v="Not provided"/>
    <s v="Not provided"/>
  </r>
  <r>
    <n v="5151"/>
    <s v="Brevard County"/>
    <s v="SOIRL/ Cocoa Beach"/>
    <s v="BC-49"/>
    <s v="Cocoa Beach Muck Dredging Phase III"/>
    <s v="Remove 300,000 cubic yards of muck."/>
    <s v="Muck Removal/Restoration Dredging"/>
    <x v="0"/>
    <x v="7"/>
    <s v="TBD"/>
    <s v="TBD"/>
    <x v="0"/>
    <s v="Not provided"/>
    <n v="2236566"/>
    <s v="Not provided"/>
    <s v="SOIRL/ DEP/ SJRWMD"/>
    <s v="Not provided"/>
    <s v="N/A"/>
    <s v="Non-structural"/>
    <s v="Completed"/>
    <n v="2019"/>
    <s v="Banana River Lagoon"/>
    <s v="Not provided"/>
    <s v="Not provided"/>
    <s v="Not provided"/>
  </r>
  <r>
    <n v="5152"/>
    <s v="Brevard County"/>
    <s v="SOIRL"/>
    <s v="BC-50"/>
    <s v="Education Efforts"/>
    <s v="Fertilizer, grass clippings, and septic system maintenance."/>
    <s v="Education Efforts"/>
    <x v="2"/>
    <x v="23"/>
    <s v="TBD"/>
    <s v="TBD"/>
    <x v="2"/>
    <s v="N/A"/>
    <n v="375000"/>
    <s v="Not provided"/>
    <s v="SOIRL"/>
    <n v="375000"/>
    <s v="N/A"/>
    <s v="Non-structural"/>
    <s v="Underway"/>
    <n v="2019"/>
    <s v="Banana River Lagoon"/>
    <s v="Not provided"/>
    <s v="Not provided"/>
    <s v="Not provided"/>
  </r>
  <r>
    <n v="5153"/>
    <s v="Brevard County"/>
    <s v="SOIRL"/>
    <s v="BC-50a"/>
    <s v="Education Efforts"/>
    <s v="Fertilizer, grass clippings, and septic system maintenance."/>
    <s v="Education Efforts"/>
    <x v="2"/>
    <x v="23"/>
    <s v="TBD"/>
    <s v="TBD"/>
    <x v="0"/>
    <s v="N/A"/>
    <n v="375000"/>
    <s v="Not provided"/>
    <s v="SOIRL"/>
    <n v="375000"/>
    <s v="N/A"/>
    <s v="Non-structural"/>
    <s v="Underway"/>
    <n v="2019"/>
    <s v="Banana River Lagoon"/>
    <s v="Not provided"/>
    <s v="Not provided"/>
    <s v="Not provided"/>
  </r>
  <r>
    <n v="5154"/>
    <s v="Brevard County"/>
    <s v="DEP"/>
    <s v="BC-51"/>
    <s v="Andrix Blvd. - BB#973"/>
    <s v="Biosorption Activated Media installed within existing Merritt Island drainage ditch system to remove nitrogen from groundwater baseflow."/>
    <s v="Biosorption Activated Media (BAM)"/>
    <x v="0"/>
    <x v="7"/>
    <s v="TBD"/>
    <s v="TBD"/>
    <x v="0"/>
    <s v="Not provided"/>
    <n v="55000"/>
    <n v="1500"/>
    <s v="Legislative Funding"/>
    <n v="35000"/>
    <s v="LP0511A"/>
    <s v="Structural"/>
    <s v="Completed"/>
    <n v="2019"/>
    <s v="Banana River Lagoon"/>
    <s v="Not provided"/>
    <s v="Not provided"/>
    <s v="Not provided"/>
  </r>
  <r>
    <n v="5155"/>
    <s v="Brevard County"/>
    <s v="MIRA/ SJRWMD/ SOIRL/ DEP"/>
    <s v="BC-52"/>
    <s v="MIRA Phase 2 Bioswale Treatment Train (Merritt Ridge Pond)"/>
    <s v="Modification of existing wet pond to include bioswale with BAM."/>
    <s v="BMP Treatment Train"/>
    <x v="0"/>
    <x v="7"/>
    <s v="TBD"/>
    <s v="TBD"/>
    <x v="0"/>
    <n v="210"/>
    <s v="Not provided"/>
    <s v="Not provided"/>
    <s v="Not provided"/>
    <s v="Not provided"/>
    <n v="28731"/>
    <s v="Structural"/>
    <s v="Completed"/>
    <n v="2019"/>
    <s v="Banana River Lagoon"/>
    <s v="Not provided"/>
    <s v="Not provided"/>
    <s v="Not provided"/>
  </r>
  <r>
    <n v="5156"/>
    <s v="Brevard County"/>
    <s v="MIRA/ SJRWMD/ SOIRL/ DEP"/>
    <s v="BC-53"/>
    <s v="MIRA Phase 3 Septic to Sewer (Cone Rd)"/>
    <s v="Connect 30+ commercial properties to sewer."/>
    <s v="OSTDS Phase Out"/>
    <x v="2"/>
    <x v="8"/>
    <s v="TBD"/>
    <s v="TBD"/>
    <x v="0"/>
    <s v="N/A"/>
    <s v="Not provided"/>
    <s v="Not provided"/>
    <s v="Not provided"/>
    <s v="Not provided"/>
    <n v="28731"/>
    <s v="Structural"/>
    <s v="Underway"/>
    <n v="2019"/>
    <s v="Banana River Lagoon"/>
    <s v="Not provided"/>
    <s v="Not provided"/>
    <s v="Not provided"/>
  </r>
  <r>
    <n v="5157"/>
    <s v="Brevard County"/>
    <s v="SOIRL"/>
    <s v="BC-54"/>
    <s v="Grass Clippings Campaign Phase 1"/>
    <s v="Marketing and surveying."/>
    <s v="Education Efforts"/>
    <x v="0"/>
    <x v="7"/>
    <s v="TBD"/>
    <s v="TBD"/>
    <x v="2"/>
    <s v="N/A"/>
    <n v="6666.66"/>
    <s v="N/A"/>
    <s v="SOIRL"/>
    <n v="20000"/>
    <s v="N/A"/>
    <s v="Non-structural"/>
    <s v="Completed"/>
    <n v="2019"/>
    <s v="Banana River Lagoon"/>
    <s v="Not provided"/>
    <s v="Not provided"/>
    <s v="Not provided"/>
  </r>
  <r>
    <n v="5158"/>
    <s v="Brevard County"/>
    <s v="SOIRL"/>
    <s v="BC-54a"/>
    <s v="Grass Clippings Campaign Phase 1"/>
    <s v="Marketing and surveying."/>
    <s v="Education Efforts"/>
    <x v="0"/>
    <x v="8"/>
    <s v="TBD"/>
    <s v="TBD"/>
    <x v="0"/>
    <s v="N/A"/>
    <n v="6667.66"/>
    <s v="N/A"/>
    <s v="SOIRL"/>
    <n v="20001"/>
    <s v="N/A"/>
    <s v="Non-structural"/>
    <s v="Completed"/>
    <n v="2019"/>
    <s v="Banana River Lagoon"/>
    <s v="Not provided"/>
    <s v="Not provided"/>
    <s v="Not provided"/>
  </r>
  <r>
    <n v="5159"/>
    <s v="City of Cape Canaveral"/>
    <s v="N/A"/>
    <s v="CC-41"/>
    <s v="Carbon (Micro C) Feed System Installation"/>
    <s v="WWTF Effluent Polishing System."/>
    <s v="WWTF Upgrade"/>
    <x v="2"/>
    <x v="17"/>
    <s v="TBD"/>
    <s v="TBD"/>
    <x v="0"/>
    <s v="N/A"/>
    <s v="TBD"/>
    <s v="TBD"/>
    <s v="City"/>
    <s v="TBD"/>
    <s v="N/A"/>
    <s v="Structural"/>
    <s v="Underway"/>
    <n v="2019"/>
    <s v="Banana River Lagoon"/>
    <n v="28.392531999999999"/>
    <n v="80.617655999999997"/>
    <s v="Not provided"/>
  </r>
  <r>
    <n v="2878"/>
    <s v="Patrick Air Force Base"/>
    <s v="Not provided"/>
    <s v="PAFB-01"/>
    <s v="Youth Center Bldg. 3656"/>
    <s v="Added on-line retention."/>
    <s v="On-line Retention BMPs"/>
    <x v="0"/>
    <x v="3"/>
    <n v="3"/>
    <n v="0.9"/>
    <x v="0"/>
    <n v="1.7"/>
    <s v="Not provided"/>
    <s v="Not provided"/>
    <s v="Not provided"/>
    <s v="Not provided"/>
    <s v="N/A"/>
    <s v="Structural"/>
    <s v="Completed"/>
    <n v="2013"/>
    <s v="Banana River Lagoon"/>
    <s v="Not provided"/>
    <s v="Not provided"/>
    <s v="Not provided"/>
  </r>
  <r>
    <n v="2877"/>
    <s v="Patrick Air Force Base"/>
    <s v="Not provided"/>
    <s v="PAFB-02"/>
    <s v="Building 543 Replace Main Gate"/>
    <s v="Added on-line retention."/>
    <s v="On-line Retention BMPs"/>
    <x v="0"/>
    <x v="3"/>
    <n v="0"/>
    <n v="0.1"/>
    <x v="0"/>
    <n v="0.2"/>
    <s v="Not provided"/>
    <s v="Not provided"/>
    <s v="Not provided"/>
    <s v="Not provided"/>
    <s v="N/A"/>
    <s v="Structural"/>
    <s v="Completed"/>
    <n v="2013"/>
    <s v="Banana River Lagoon"/>
    <s v="Not provided"/>
    <s v="Not provided"/>
    <s v="Not provided"/>
  </r>
  <r>
    <n v="2876"/>
    <s v="Patrick Air Force Base"/>
    <s v="USACE"/>
    <s v="PAFB-03"/>
    <s v="Basin 6B No Discharge"/>
    <s v="No discharge."/>
    <s v="100% On-site Retention"/>
    <x v="0"/>
    <x v="2"/>
    <n v="46"/>
    <n v="12.5"/>
    <x v="0"/>
    <n v="3.2"/>
    <s v="Not provided"/>
    <s v="Not provided"/>
    <s v="USAF"/>
    <s v="Not provided"/>
    <s v="N/A"/>
    <s v="Non-structural"/>
    <s v="Completed"/>
    <n v="2013"/>
    <s v="Banana River Lagoon"/>
    <s v="28o14'16.93&quot; N"/>
    <s v="80o36'17.54&quot; W"/>
    <s v="Not provided"/>
  </r>
  <r>
    <n v="2899"/>
    <s v="Patrick Air Force Base"/>
    <s v="USACE"/>
    <s v="PAFB-04"/>
    <s v="Basin 6C No Discharge"/>
    <s v="No discharge."/>
    <s v="100% On-site Retention"/>
    <x v="0"/>
    <x v="2"/>
    <n v="164"/>
    <n v="43.5"/>
    <x v="0"/>
    <n v="11.3"/>
    <s v="Not provided"/>
    <s v="Not provided"/>
    <s v="USAF"/>
    <s v="Not provided"/>
    <s v="N/A"/>
    <s v="Non-structural"/>
    <s v="Completed"/>
    <n v="2013"/>
    <s v="Banana River Lagoon"/>
    <s v="28o14'16.93&quot; N"/>
    <s v="80o36'17.54&quot; W"/>
    <s v="Not provided"/>
  </r>
  <r>
    <n v="2881"/>
    <s v="Patrick Air Force Base"/>
    <s v="Not provided"/>
    <s v="PAFB-05"/>
    <s v="Education Efforts"/>
    <s v="In addition to no fertilizer use on base, 212 personnel/ residents received initial stormwater awareness training in the monthly newcomers meetings; additional 347 personnel received stormwater awareness using the ESOHTN website or in-person training; 204 Illicit Discharge Detection and Elimination (IDDE) informational brochures were distributed to residents, businesses and base personnel in 2017. Two stormwater-related articles were published for distribution through the base newpaper and website in 2017."/>
    <s v="Enhanced Public Education"/>
    <x v="0"/>
    <x v="1"/>
    <n v="367"/>
    <n v="97"/>
    <x v="0"/>
    <s v="N/A"/>
    <s v="Not provided"/>
    <s v="Not provided"/>
    <s v="USAF"/>
    <s v="Not provided"/>
    <s v="N/A"/>
    <s v="Non-structural"/>
    <s v="Ongoing"/>
    <n v="2013"/>
    <s v="Banana River Lagoon"/>
    <s v="N/A"/>
    <s v="N/A"/>
    <s v="Not provided"/>
  </r>
  <r>
    <n v="2883"/>
    <s v="Patrick Air Force Base"/>
    <s v="Not provided"/>
    <s v="PAFB-06"/>
    <s v="Golf Course Pond Stormwater Reuse"/>
    <s v="Golf course pond stormwater reuse for irrigation."/>
    <s v="Stormwater Reuse"/>
    <x v="0"/>
    <x v="3"/>
    <n v="3677"/>
    <n v="969.9"/>
    <x v="0"/>
    <n v="348.9"/>
    <n v="850000"/>
    <s v="Not provided"/>
    <s v="USAF"/>
    <n v="850000"/>
    <s v="N/A"/>
    <s v="Structural"/>
    <s v="Completed"/>
    <n v="2013"/>
    <s v="Banana River Lagoon"/>
    <s v="Not provided"/>
    <s v="Not provided"/>
    <s v="Not provided"/>
  </r>
  <r>
    <n v="2908"/>
    <s v="Patrick Air Force Base"/>
    <s v="Not provided"/>
    <s v="PAFB-07"/>
    <s v="Street Sweeping"/>
    <s v="Removed 8.5 tons of sediment and disposed of it at a landfill."/>
    <s v="Street Sweeping"/>
    <x v="0"/>
    <x v="1"/>
    <n v="11"/>
    <n v="7"/>
    <x v="0"/>
    <n v="14705"/>
    <s v="Not provided"/>
    <n v="119000"/>
    <s v="USAF"/>
    <s v="Not provided"/>
    <s v="N/A"/>
    <s v="Non-structural"/>
    <s v="Completed"/>
    <n v="2016"/>
    <s v="Banana River Lagoon"/>
    <s v="N/A"/>
    <s v="N/A"/>
    <s v="2016"/>
  </r>
  <r>
    <n v="2907"/>
    <s v="Patrick Air Force Base"/>
    <s v="Not provided"/>
    <s v="PAFB-08"/>
    <s v="Demo AFTEC Bldg."/>
    <s v="Demolition/ loss of impervious area."/>
    <s v="Land use change"/>
    <x v="0"/>
    <x v="1"/>
    <n v="0"/>
    <n v="12.84"/>
    <x v="0"/>
    <s v="Not provided"/>
    <s v="N/A"/>
    <s v="N/A"/>
    <s v="N/A"/>
    <s v="N/A"/>
    <s v="N/A"/>
    <s v="Non-structural"/>
    <s v="Completed"/>
    <n v="2016"/>
    <s v="Banana River Lagoon"/>
    <s v="Not provided"/>
    <s v="Not provided"/>
    <s v="Not provided"/>
  </r>
  <r>
    <n v="2906"/>
    <s v="Patrick Air Force Base"/>
    <s v="Not provided"/>
    <s v="PAFB-09"/>
    <s v="Fuel Farm Baffle Box"/>
    <s v="PAFB 2nd generation baffle box located north of the Fuel Farm - Subbasins 13A and 13B."/>
    <s v="Baffle Boxes- Second Generation"/>
    <x v="0"/>
    <x v="5"/>
    <n v="228"/>
    <n v="43"/>
    <x v="0"/>
    <s v="Not provided"/>
    <s v="Not provided"/>
    <s v="Not provided"/>
    <s v="USAF"/>
    <s v="Not provided"/>
    <s v="N/A"/>
    <s v="Structural"/>
    <s v="Completed"/>
    <n v="2016"/>
    <s v="Banana River Lagoon"/>
    <s v="Not provided"/>
    <s v="Not provided"/>
    <s v="Not provided"/>
  </r>
  <r>
    <n v="2905"/>
    <s v="Patrick Air Force Base"/>
    <s v="Not provided"/>
    <s v="PAFB-10"/>
    <s v="South Patrick Drive Baffle Box"/>
    <s v="No longer a PAFB project."/>
    <s v="Baffle Boxes- Second Generation"/>
    <x v="1"/>
    <x v="1"/>
    <s v="N/A"/>
    <s v="N/A"/>
    <x v="1"/>
    <s v="N/A"/>
    <s v="N/A"/>
    <s v="N/A"/>
    <s v="N/A"/>
    <s v="N/A"/>
    <s v="N/A"/>
    <s v="Structural"/>
    <s v="Underway"/>
    <n v="2016"/>
    <s v="Banana River Lagoon"/>
    <s v="N/A"/>
    <s v="N/A"/>
    <s v="N/A"/>
  </r>
  <r>
    <n v="2904"/>
    <s v="Patrick Air Force Base"/>
    <s v="Not provided"/>
    <s v="PAFB-11"/>
    <s v="Canal/ Basin Clean Out"/>
    <s v="170 inlets/ pipes/ swales/ ponds were inspected and 89 maintenance operations of stormwater systems were performed in 2017."/>
    <s v="On-line Retention BMPs"/>
    <x v="0"/>
    <x v="4"/>
    <n v="71"/>
    <n v="29"/>
    <x v="0"/>
    <s v="N/A"/>
    <n v="134500"/>
    <n v="134500"/>
    <s v="USAF"/>
    <n v="134500"/>
    <s v="N/A"/>
    <s v="Structural"/>
    <s v="Completed"/>
    <n v="2016"/>
    <s v="Banana River Lagoon"/>
    <s v="N/A"/>
    <s v="N/A"/>
    <s v="2017"/>
  </r>
  <r>
    <n v="2903"/>
    <s v="Patrick Air Force Base"/>
    <s v="USACE"/>
    <s v="PAFB-12"/>
    <s v="Ponds Without Discharge"/>
    <s v="Documenting no discharge from existing retention ponds. Subbasins 11A, 18A, and 18B."/>
    <s v="Impoundment"/>
    <x v="0"/>
    <x v="4"/>
    <n v="424"/>
    <n v="52"/>
    <x v="0"/>
    <n v="87"/>
    <s v="Not provided"/>
    <s v="Not provided"/>
    <s v="USAF"/>
    <s v="Not provided"/>
    <s v="N/A"/>
    <s v="Structural"/>
    <s v="Completed"/>
    <n v="2016"/>
    <s v="Banana River Lagoon"/>
    <s v="28o15'12.62&quot; N"/>
    <s v="80o36'14.73&quot; W"/>
    <s v="Not provided"/>
  </r>
  <r>
    <n v="2902"/>
    <s v="Patrick Air Force Base"/>
    <s v="USACE"/>
    <s v="PAFB-13"/>
    <s v="Dry Detention Ponds after 2000"/>
    <s v="Documenting treatment from existing completed ERP projects that were not included in the PLSM model."/>
    <s v="Dry Detention Pond"/>
    <x v="0"/>
    <x v="5"/>
    <n v="195"/>
    <n v="45"/>
    <x v="0"/>
    <n v="144.23684280000001"/>
    <s v="Not provided"/>
    <s v="Not provided"/>
    <s v="USAF"/>
    <s v="Not provided"/>
    <s v="N/A"/>
    <s v="Structural"/>
    <s v="Completed"/>
    <n v="2016"/>
    <s v="Banana River Lagoon"/>
    <s v="Not provided"/>
    <s v="Not provided"/>
    <s v="Not provided"/>
  </r>
  <r>
    <n v="2892"/>
    <s v="Patrick Air Force Base"/>
    <s v="USACE"/>
    <s v="PAFB-14"/>
    <s v="Golf Course MAPS Install"/>
    <s v="Install 4 MAPS at the golf course within the retention ponds."/>
    <s v="Floating Islands/ Managed Aquatic Plant Systems (MAPS)"/>
    <x v="2"/>
    <x v="9"/>
    <s v="TBD"/>
    <s v="TBD"/>
    <x v="0"/>
    <n v="3"/>
    <s v="Not provided"/>
    <n v="2000"/>
    <s v="USAF"/>
    <s v="Not provided"/>
    <s v="N/A"/>
    <s v="Structural"/>
    <s v="Not provided"/>
    <n v="2017"/>
    <s v="Banana River Lagoon"/>
    <s v="28o12'53.08&quot; N"/>
    <s v="80o36'36.47&quot; W"/>
    <s v="2017"/>
  </r>
  <r>
    <n v="2900"/>
    <s v="Patrick Air Force Base"/>
    <s v="USACE"/>
    <s v="PAFB-15"/>
    <s v="TMDL Monitoring and Data Collection"/>
    <s v="Collected stormwater and baseflow nutrient concentrations and rainfall data from 5 monitoring stations; collected baseflow and stormwater runoff flow volume data and groundwater elevation data from 9 monitoring stations."/>
    <s v="Monitoring/Data Collection"/>
    <x v="0"/>
    <x v="9"/>
    <s v="N/A"/>
    <s v="N/A"/>
    <x v="0"/>
    <s v="N/A"/>
    <n v="1850000"/>
    <n v="370000"/>
    <s v="USAF"/>
    <n v="1850000"/>
    <s v="N/A"/>
    <s v="Non-structural"/>
    <s v="Not provided"/>
    <n v="2017"/>
    <s v="Banana River Lagoon"/>
    <s v="N/A"/>
    <s v="N/A"/>
    <s v="2011"/>
  </r>
  <r>
    <n v="2909"/>
    <s v="Patrick Air Force Base"/>
    <s v="FEMA/ Installation Restoration Program (IRP)/  U.S. Air Force Civil Engineering Center (AFCEC)"/>
    <s v="PAFB-16"/>
    <s v="Shoreline Stabilization Projects"/>
    <s v="6 Projects:_x000a_West of Runway 11: 490 LF of riprap, 780 LF of marsh sill barrier (living shoreline), and planting native marsh grasses between the existing shoreline and breakwater._x000a_Eastern Portion of Landfill No. 5 along Survival Canal: 2,570 LF of riprap, 256 LF of living shoreline, and plantings of native species in the upland areas._x000a_North Housing: repair and supplement existing rock rip-rap with the installation of 20 marsh sills_x000a_Fuel Farm to Runway 11: repair and supplement existing rock rip-rap with the installation of 17 marsh sills_x000a_FamCamp: supplement existing open sand areas with the installation of 26 marsh sills_x000a_Airfield: install 280 feet of new rock rip-rap, supplemental sand placement along the shoreline, fill 0.58 acre of shoreline, and installation of 56 marsh sills"/>
    <s v="Shoreline Stabilization"/>
    <x v="2"/>
    <x v="7"/>
    <s v="TBD"/>
    <s v="TBD"/>
    <x v="0"/>
    <n v="249"/>
    <n v="11676000"/>
    <s v="TBD"/>
    <s v="USAF/ Air Force Environmental Restoration Account (AFERA)"/>
    <n v="11676000"/>
    <s v="N/A"/>
    <s v="Structural"/>
    <s v="Not provided"/>
    <n v="2017"/>
    <s v="Banana River Lagoon"/>
    <s v="N/A"/>
    <s v="N/A"/>
    <s v="2017"/>
  </r>
  <r>
    <n v="2898"/>
    <s v="Patrick Air Force Base"/>
    <s v="Not provided"/>
    <s v="PAFB-17"/>
    <s v="Public Education"/>
    <s v="Six outreach events were held: Annual Spring Beach Cleanup; PAFB Riverside Cleanup; Earth Day Memorial Tree Planting; Earth Day Outreach at the BX; Space Wing Family Day; and PAFB Fall Beach Cleanup._x000a_"/>
    <s v="Enhanced Public Education"/>
    <x v="0"/>
    <x v="4"/>
    <s v="N/A"/>
    <s v="N/A"/>
    <x v="0"/>
    <s v="N/A"/>
    <s v="Not provided"/>
    <s v="N/A"/>
    <s v="USAF"/>
    <s v="Not provided"/>
    <s v="N/A"/>
    <s v="Non-structural"/>
    <s v="Not provided"/>
    <n v="2017"/>
    <s v="Banana River Lagoon"/>
    <s v="N/A"/>
    <s v="N/A"/>
    <n v="2017"/>
  </r>
  <r>
    <n v="2897"/>
    <s v="Patrick Air Force Base"/>
    <s v="Not provided"/>
    <s v="PAFB-18"/>
    <s v="Manatee Cove Marina entrance Dredging Project"/>
    <s v="Removed 2,500 cubic yards of sand from the Manatee Cove Marina entrance."/>
    <s v="Muck Removal/Restoration Dredging"/>
    <x v="0"/>
    <x v="4"/>
    <s v="TBD"/>
    <s v="TBD"/>
    <x v="0"/>
    <s v="N/A"/>
    <s v="Not provided"/>
    <s v="Not provided"/>
    <s v="USAF"/>
    <s v="TBD"/>
    <s v="N/A"/>
    <s v="Non-structural"/>
    <s v="Not provided"/>
    <n v="2017"/>
    <s v="Banana River Lagoon"/>
    <s v="28o12'49.28&quot; N"/>
    <s v="80o37'00.42&quot; W"/>
    <n v="2017"/>
  </r>
  <r>
    <n v="2896"/>
    <s v="Patrick Air Force Base"/>
    <s v="N/A"/>
    <s v="PAFB-19"/>
    <s v="Wetlands as Filters"/>
    <s v="Jurisdictional wetlands consist of four canals that directly connect to the Banana River totaling 35.7 surface acres."/>
    <s v="Natural Wetlands as Filters"/>
    <x v="1"/>
    <x v="1"/>
    <s v="N/A"/>
    <s v="N/A"/>
    <x v="0"/>
    <s v="TBD"/>
    <s v="N/A"/>
    <s v="N/A"/>
    <s v="N/A"/>
    <s v="N/A"/>
    <s v="N/A"/>
    <s v="Non-structural"/>
    <s v="Not provided"/>
    <n v="2017"/>
    <s v="Banana River Lagoon"/>
    <s v="N/A"/>
    <s v="N/A"/>
    <s v="TBD"/>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
  <r>
    <x v="0"/>
    <s v="DEP"/>
    <s v="BC-19"/>
    <s v="Third Ave Baffle Box"/>
    <s v="Upgrading a 1st generation baffle box to a 2nd generatrion baffle box by adding the nutrient separating screen."/>
    <s v="Baffle Boxes- First Generation (hydrodynamic separator)"/>
    <x v="0"/>
    <x v="0"/>
    <n v="93"/>
    <n v="10"/>
    <x v="0"/>
    <n v="53.1"/>
    <n v="31452"/>
    <s v="Not provided"/>
    <s v="DEP"/>
    <s v="DEP - $31,452"/>
    <s v="S0648"/>
    <s v="Structural"/>
    <s v="Completed"/>
    <x v="0"/>
    <s v="Banana River Lagoon"/>
    <s v="Not provided"/>
    <s v="Not provided"/>
    <s v="Not provided"/>
  </r>
  <r>
    <x v="0"/>
    <s v="Not provided"/>
    <s v="BC-20"/>
    <s v="Bes Management Practice (BMP) Cleanout"/>
    <s v="Cleaning out the BMP such as baffle boxes, inlet baskets, and sediment basins."/>
    <s v="BMP Cleanout"/>
    <x v="0"/>
    <x v="1"/>
    <n v="1"/>
    <n v="1"/>
    <x v="0"/>
    <s v="N/A"/>
    <n v="95069"/>
    <n v="55300"/>
    <s v="N/A"/>
    <n v="95069"/>
    <s v="N/A"/>
    <s v="Non-structural"/>
    <s v="Ongoing"/>
    <x v="0"/>
    <s v="Banana River Lagoon"/>
    <s v="Not provided"/>
    <s v="Not provided"/>
    <s v="Not provided"/>
  </r>
  <r>
    <x v="0"/>
    <s v="DEP"/>
    <s v="BC-21"/>
    <s v="Fourth Place Baffle Box"/>
    <s v="Upgrading a 1st generation to a 2nd generatrion baffle box by adding the nutrient separating screen."/>
    <s v="Baffle Boxes- First Generation (hydrodynamic separator)"/>
    <x v="0"/>
    <x v="0"/>
    <n v="146"/>
    <n v="25.7"/>
    <x v="0"/>
    <n v="57"/>
    <n v="34037"/>
    <s v="Not provided"/>
    <s v="DEP"/>
    <s v="DEP - $34,037"/>
    <s v="S0648"/>
    <s v="Structural"/>
    <s v="Completed"/>
    <x v="0"/>
    <s v="Banana River Lagoon"/>
    <s v="Not provided"/>
    <s v="Not provided"/>
    <s v="Not provided"/>
  </r>
  <r>
    <x v="0"/>
    <s v="DEP"/>
    <s v="BC-22"/>
    <s v="Thrush 405 Baffle Box"/>
    <s v="Upgrading a 1st generation to a 2nd generatrion baffle box by adding the nutrient separating screen."/>
    <s v="Baffle Boxes- First Generation (hydrodynamic separator)"/>
    <x v="0"/>
    <x v="0"/>
    <n v="7"/>
    <n v="0.7"/>
    <x v="0"/>
    <n v="4.3"/>
    <n v="12507"/>
    <s v="Not provided"/>
    <s v="DEP"/>
    <s v="DEP - $12,507"/>
    <s v="S0648"/>
    <s v="Structural"/>
    <s v="Completed"/>
    <x v="0"/>
    <s v="Banana River Lagoon"/>
    <s v="Not provided"/>
    <s v="Not provided"/>
    <s v="Not provided"/>
  </r>
  <r>
    <x v="0"/>
    <s v="Not provided"/>
    <s v="BC-23"/>
    <s v="Fortenberry Pond MAPS"/>
    <s v="Installation of floating vegetation islands to remove nitrogen from an existing wet detention pond."/>
    <s v="Floating Islands/ Managed Aquatic Plant Systems (MAPS)"/>
    <x v="1"/>
    <x v="1"/>
    <s v="N/A"/>
    <s v="N/A"/>
    <x v="1"/>
    <s v="N/A"/>
    <s v="N/A"/>
    <s v="N/A"/>
    <s v="N/A"/>
    <s v="N/A"/>
    <s v="N/A"/>
    <s v="Structural"/>
    <s v="Canceled"/>
    <x v="0"/>
    <s v="Banana River Lagoon"/>
    <s v="N/A"/>
    <s v="N/A"/>
    <s v="N/A"/>
  </r>
  <r>
    <x v="0"/>
    <s v="DEP"/>
    <s v="BC-24"/>
    <s v="Merritt Ridge Pond 3A"/>
    <s v="Installation of floating vegetation islands to remove nitrogen from an existing wet detention pond."/>
    <s v="Floating Islands/ Managed Aquatic Plant Systems (MAPS)"/>
    <x v="0"/>
    <x v="2"/>
    <n v="210"/>
    <n v="48.7"/>
    <x v="0"/>
    <n v="84.4"/>
    <n v="114914"/>
    <n v="25091"/>
    <s v="DEP"/>
    <s v="DEP - $114,914"/>
    <s v="G0430"/>
    <s v="Structural"/>
    <s v="Funded"/>
    <x v="0"/>
    <s v="Banana River Lagoon"/>
    <s v="Not provided"/>
    <s v="Not provided"/>
    <s v="Not provided"/>
  </r>
  <r>
    <x v="0"/>
    <s v="Satellite Beach"/>
    <s v="BC-25"/>
    <s v="Cassia Phase 3"/>
    <s v="Landscape buffer/ drainage swale along the adjoining roadway. Improvements include the construction of a dry detention area within  an existing ditch and construction of roadside swales in the location of the existing bike/ pedestrian lane."/>
    <s v="On-line Retention BMPs"/>
    <x v="0"/>
    <x v="3"/>
    <n v="100"/>
    <n v="0"/>
    <x v="0"/>
    <n v="18.399999999999999"/>
    <n v="100000"/>
    <s v="Not provided"/>
    <s v="DEP/ Satellite Beach/ Brevard County"/>
    <s v="Not provided"/>
    <s v="N/A"/>
    <s v="Structural"/>
    <s v="Completed"/>
    <x v="0"/>
    <s v="Banana River Lagoon"/>
    <s v="Not provided"/>
    <s v="Not provided"/>
    <s v="Not provided"/>
  </r>
  <r>
    <x v="0"/>
    <s v="SJRWMD"/>
    <s v="BC-26"/>
    <s v="South Patrick Drive Baffle Box"/>
    <s v="2nd generation baffle box with denitrification bioreactor."/>
    <s v="Baffle Boxes- Second Generation"/>
    <x v="0"/>
    <x v="4"/>
    <n v="132"/>
    <n v="16.899999999999999"/>
    <x v="0"/>
    <n v="73.900000000000006"/>
    <n v="320256"/>
    <n v="2100"/>
    <s v="SJRWMD/ DEP"/>
    <s v="SJRWMD - $57,750/ DEP - $136,000"/>
    <s v="LP05111"/>
    <s v="Structural"/>
    <s v="Funded"/>
    <x v="0"/>
    <s v="Banana River Lagoon"/>
    <s v="Not provided"/>
    <s v="Not provided"/>
    <s v="Not provided"/>
  </r>
  <r>
    <x v="0"/>
    <s v="Not provided"/>
    <s v="BC-27"/>
    <s v="Kelly Park Reuse"/>
    <s v="Not provided."/>
    <s v="Stormwater Reuse"/>
    <x v="0"/>
    <x v="3"/>
    <n v="19"/>
    <n v="1.3"/>
    <x v="0"/>
    <n v="32.9"/>
    <s v="Not provided"/>
    <s v="Not provided"/>
    <s v="Not provided"/>
    <s v="Not provided"/>
    <s v="N/A"/>
    <s v="Structural"/>
    <s v="Completed"/>
    <x v="0"/>
    <s v="Banana River Lagoon"/>
    <s v="Not provided"/>
    <s v="Not provided"/>
    <s v="Not provided"/>
  </r>
  <r>
    <x v="0"/>
    <s v="Not provided"/>
    <s v="BC-28"/>
    <s v="Patrick Air Force Base Golf Course Pond Stormwater Reuse"/>
    <s v="Conversion of a retention pond into a reusue pond to irrigate the golf course."/>
    <s v="Stormwater Reuse"/>
    <x v="0"/>
    <x v="5"/>
    <n v="359.1"/>
    <n v="0"/>
    <x v="0"/>
    <n v="88.331207629214006"/>
    <s v="Not provided"/>
    <s v="Not provided"/>
    <s v="Not provided"/>
    <s v="Not provided"/>
    <s v="N/A"/>
    <s v="Structural"/>
    <s v="Planned, Not Funded"/>
    <x v="0"/>
    <s v="Banana River Lagoon"/>
    <s v="Not provided"/>
    <s v="Not provided"/>
    <s v="Not provided"/>
  </r>
  <r>
    <x v="1"/>
    <s v="DEP"/>
    <s v="BC-29"/>
    <s v="Ocean Boulevard"/>
    <s v="Upgrading a 1st generation to a 2nd generatrion baffle box by adding the nutrient separating screen."/>
    <s v="Baffle Boxes- First Generation (hydrodynamic separator)"/>
    <x v="0"/>
    <x v="0"/>
    <n v="10"/>
    <n v="1.4"/>
    <x v="0"/>
    <n v="6"/>
    <n v="12507"/>
    <n v="2000"/>
    <s v="DEP"/>
    <s v="DEP - $12,507"/>
    <s v="S0648"/>
    <s v="Structural"/>
    <s v="Completed"/>
    <x v="1"/>
    <s v="Banana River Lagoon"/>
    <s v="Not provided"/>
    <s v="Not provided"/>
    <s v="Not provided"/>
  </r>
  <r>
    <x v="0"/>
    <s v="N/A"/>
    <s v="BC-30"/>
    <s v="Street Sweeping"/>
    <s v="Monthly street sweeping."/>
    <s v="Street Sweeping"/>
    <x v="0"/>
    <x v="1"/>
    <n v="0"/>
    <n v="0"/>
    <x v="2"/>
    <s v="N/A"/>
    <s v="N/A"/>
    <n v="47064"/>
    <s v="N/A"/>
    <s v="N/A"/>
    <s v="N/A"/>
    <s v="Non-structural"/>
    <s v="Started"/>
    <x v="2"/>
    <s v="Banana River Lagoon"/>
    <s v="N/A"/>
    <s v="N/A"/>
    <s v="Not provided"/>
  </r>
  <r>
    <x v="0"/>
    <s v="Not provided"/>
    <s v="BC-31"/>
    <s v="BMP Cleanout"/>
    <s v="Quarterly baffle box/ sediment trap cleaning."/>
    <s v="BMP Cleanout"/>
    <x v="0"/>
    <x v="1"/>
    <n v="0"/>
    <n v="0"/>
    <x v="2"/>
    <s v="N/A"/>
    <s v="N/A"/>
    <n v="52000"/>
    <s v="N/A"/>
    <s v="N/A"/>
    <s v="N/A"/>
    <s v="Non-structural"/>
    <s v="Started"/>
    <x v="2"/>
    <s v="Banana River Lagoon"/>
    <s v="N/A"/>
    <s v="N/A"/>
    <s v="Not provided"/>
  </r>
  <r>
    <x v="0"/>
    <s v="DEP"/>
    <s v="BC-32"/>
    <s v="Cocoa Beach Canal Dredging"/>
    <s v="Muck removal of 84,000 cubic yards of material."/>
    <s v="Muck Removal/Restoration Dredging"/>
    <x v="0"/>
    <x v="4"/>
    <n v="0"/>
    <n v="0"/>
    <x v="0"/>
    <s v="Not provided"/>
    <n v="20000000"/>
    <s v="Not provided"/>
    <s v="DEP"/>
    <s v="DEP - $10,000,000"/>
    <s v="S0714"/>
    <s v="Non-structural"/>
    <s v="Completed"/>
    <x v="3"/>
    <s v="Banana River Lagoon"/>
    <s v="Not provided"/>
    <s v="Not provided"/>
    <s v="Not provided"/>
  </r>
  <r>
    <x v="2"/>
    <s v="Cape Canaveral/ Save Our Indian River Lagoon (SOIRL)"/>
    <s v="BC-33"/>
    <s v="Central Blvd Baffle Box"/>
    <s v="2nd generation baffle box, SOIRL-13."/>
    <s v="Baffle Boxes- Second Generation"/>
    <x v="0"/>
    <x v="4"/>
    <s v="TBD"/>
    <s v="TBD"/>
    <x v="0"/>
    <n v="213.4"/>
    <n v="41700"/>
    <n v="41700"/>
    <s v="SOIRL/ DEP"/>
    <n v="34700"/>
    <s v="NF025"/>
    <s v="Structural"/>
    <s v="Completed"/>
    <x v="4"/>
    <s v="Banana River Lagoon"/>
    <s v="Not provided"/>
    <s v="Not provided"/>
    <s v="Not provided"/>
  </r>
  <r>
    <x v="3"/>
    <s v="Save Our Indian River Lagoon"/>
    <s v="BC-34"/>
    <s v="Gleason Park Reuse"/>
    <s v="Increasing reuse from an existing facility, SOIRL-16."/>
    <s v="Stormwater Reuse"/>
    <x v="0"/>
    <x v="4"/>
    <s v="TBD"/>
    <s v="TBD"/>
    <x v="0"/>
    <n v="128.9"/>
    <n v="11000"/>
    <s v="Not provided"/>
    <s v="SOIRL"/>
    <n v="4224"/>
    <s v="N/A"/>
    <s v="Structural"/>
    <s v="Completed"/>
    <x v="4"/>
    <s v="Banana River Lagoon"/>
    <s v="Not provided"/>
    <s v="Not provided"/>
    <s v="Not provided"/>
  </r>
  <r>
    <x v="0"/>
    <s v="All Cities"/>
    <s v="BC-35"/>
    <s v="Education Efforts"/>
    <s v="Fertilizer video, rainbarrel workshops, Facebook page, bus wrap, and billboard."/>
    <s v="Education Efforts"/>
    <x v="2"/>
    <x v="1"/>
    <s v="N/A"/>
    <s v="N/A"/>
    <x v="0"/>
    <s v="N/A"/>
    <s v="N/A"/>
    <n v="42000"/>
    <s v="N/A"/>
    <s v="N/A"/>
    <s v="N/A"/>
    <s v="Non-structural"/>
    <s v="Underway"/>
    <x v="4"/>
    <s v="Banana River Lagoon"/>
    <s v="Not provided"/>
    <s v="Not provided"/>
    <s v="Not provided"/>
  </r>
  <r>
    <x v="0"/>
    <s v="N/A"/>
    <s v="BC-36"/>
    <s v="Merritt Island Airport"/>
    <s v="Two wet detention ponds (80-acres &amp; 23 acres) with gravity flow and pump station."/>
    <s v="Wet Detention Pond"/>
    <x v="0"/>
    <x v="6"/>
    <n v="458"/>
    <n v="160"/>
    <x v="0"/>
    <n v="184.2"/>
    <n v="672464.37"/>
    <s v="N/A"/>
    <s v="DEP TMDL"/>
    <s v="DEP TMDL - $307,333.86"/>
    <s v="S0439"/>
    <s v="Structural"/>
    <s v="Completed"/>
    <x v="4"/>
    <s v="Banana River Lagoon"/>
    <s v="Not provided"/>
    <s v="Not provided"/>
    <s v="Not provided"/>
  </r>
  <r>
    <x v="0"/>
    <s v="DEP"/>
    <s v="BC-37"/>
    <s v="Artemis Blvd. - BB #979"/>
    <s v="Biosorption Activated Media installed within existing Merritt Island drainage ditch system to remove nitrogen from groundwater baseflow with phosphorus removal media."/>
    <s v="Biosorption Activated Media (BAM)"/>
    <x v="0"/>
    <x v="7"/>
    <s v="TBD"/>
    <s v="TBD"/>
    <x v="0"/>
    <n v="789"/>
    <n v="150000"/>
    <n v="2500"/>
    <s v="Legislative Funding"/>
    <s v="Legislative Funding - $35,000"/>
    <s v="LP0511A"/>
    <s v="Structural"/>
    <s v="Underway"/>
    <x v="4"/>
    <s v="Banana River Lagoon"/>
    <s v="Not provided"/>
    <s v="Not provided"/>
    <s v="Not provided"/>
  </r>
  <r>
    <x v="0"/>
    <s v="DEP"/>
    <s v="BC-38"/>
    <s v="Oceana Drive - BB#997A"/>
    <s v="Biosorption Activated Media installed within existing Merritt Island drainage ditch system to remove nitrogen from groundwater baseflow."/>
    <s v="Biosorption Activated Media (BAM)"/>
    <x v="0"/>
    <x v="7"/>
    <s v="TBD"/>
    <s v="TBD"/>
    <x v="0"/>
    <n v="68"/>
    <n v="50000"/>
    <n v="1000"/>
    <s v="Legislative Funding"/>
    <s v="Legislative Funding - $35,000"/>
    <s v="LP0511A"/>
    <s v="Structural"/>
    <s v="Underway"/>
    <x v="4"/>
    <s v="Banana River Lagoon"/>
    <s v="Not provided"/>
    <s v="Not provided"/>
    <s v="Not provided"/>
  </r>
  <r>
    <x v="0"/>
    <s v="DEP"/>
    <s v="BC-39"/>
    <s v="Georgiana Drive - BB#997C"/>
    <s v="Biosorption Activated Media installed within existing Merritt Island drainage ditch system to remove nitrogen from groundwater baseflow."/>
    <s v="Biosorption Activated Media (BAM)"/>
    <x v="0"/>
    <x v="7"/>
    <s v="TBD"/>
    <s v="TBD"/>
    <x v="0"/>
    <n v="68"/>
    <n v="50000"/>
    <n v="1000"/>
    <s v="Legislative Funding"/>
    <s v="Legislative Funding - $35,000"/>
    <s v="LP0511A"/>
    <s v="Structural"/>
    <s v="Underway"/>
    <x v="4"/>
    <s v="Banana River Lagoon"/>
    <s v="Not provided"/>
    <s v="Not provided"/>
    <s v="Not provided"/>
  </r>
  <r>
    <x v="0"/>
    <s v="DEP"/>
    <s v="BC-40"/>
    <s v="Savannah Drive - BB#997B"/>
    <s v="Biosorption Activated Media installed within existing Merritt Island drainage ditch system to remove nitrogen from groundwater baseflow."/>
    <s v="Biosorption Activated Media (BAM)"/>
    <x v="0"/>
    <x v="7"/>
    <s v="TBD"/>
    <s v="TBD"/>
    <x v="0"/>
    <n v="68"/>
    <n v="50000"/>
    <n v="1000"/>
    <s v="Legislative Funding"/>
    <s v="Legislative Funding - $35,000"/>
    <s v="LP0511A"/>
    <s v="Structural"/>
    <s v="Underway"/>
    <x v="4"/>
    <s v="Banana River Lagoon"/>
    <s v="Not provided"/>
    <s v="Not provided"/>
    <s v="Not provided"/>
  </r>
  <r>
    <x v="0"/>
    <s v="DEP"/>
    <s v="BC-41"/>
    <s v="Needle Blvd. - BB #998"/>
    <s v="Biosorption Activated Media installed within existing Merritt Island drainage ditch system to remove nitrogen from groundwater baseflow."/>
    <s v="Biosorption Activated Media (BAM)"/>
    <x v="0"/>
    <x v="7"/>
    <s v="TBD"/>
    <s v="TBD"/>
    <x v="0"/>
    <n v="273"/>
    <n v="55000"/>
    <n v="1000"/>
    <s v="Legislative Funding"/>
    <s v="Legislative Funding - $35,000"/>
    <s v="LP0511A"/>
    <s v="Structural"/>
    <s v="Underway"/>
    <x v="4"/>
    <s v="Banana River Lagoon"/>
    <s v="Not provided"/>
    <s v="Not provided"/>
    <s v="Not provided"/>
  </r>
  <r>
    <x v="0"/>
    <s v="N/A"/>
    <s v="BC-42"/>
    <s v="Piney Woods  BB #1066"/>
    <s v="Biosorption Activated Media installed within existing Merritt Island drainage ditch system to remove nitrogen from baseflow."/>
    <s v="Biosorption Activated Media (BAM)"/>
    <x v="1"/>
    <x v="1"/>
    <s v="N/A"/>
    <s v="N/A"/>
    <x v="0"/>
    <s v="N/A"/>
    <s v="N/A"/>
    <s v="N/A"/>
    <s v="N/A"/>
    <s v="N/A"/>
    <s v="N/A"/>
    <s v="Structural"/>
    <s v="Underway"/>
    <x v="4"/>
    <s v="Banana River Lagoon"/>
    <s v="Not provided"/>
    <s v="Not provided"/>
    <s v="Not provided"/>
  </r>
  <r>
    <x v="0"/>
    <s v="DEP/ SOIRL"/>
    <s v="BC-43"/>
    <s v="Seagull Drive Pond Pond BAM Train BB#1304 (D-4)"/>
    <s v="Media will be installed along side slope of existing pond and will include solar panels."/>
    <s v="BMP Treatment Train"/>
    <x v="2"/>
    <x v="8"/>
    <s v="TBD"/>
    <s v="TBD"/>
    <x v="1"/>
    <s v="Not provided"/>
    <n v="96000"/>
    <s v="Not provided"/>
    <s v="LF/ SOIRL"/>
    <n v="125000"/>
    <s v="LP0511A"/>
    <s v="Structural"/>
    <s v="Underway"/>
    <x v="4"/>
    <s v="Banana River Lagoon"/>
    <s v="Not provided"/>
    <s v="Not provided"/>
    <s v="Not provided"/>
  </r>
  <r>
    <x v="4"/>
    <s v="N/A"/>
    <s v="CCAFS-01"/>
    <s v="Nonuse of Fertilizer/ Fertilizer Ordinance"/>
    <s v="No fertilizer is used at station."/>
    <s v="Education Efforts"/>
    <x v="0"/>
    <x v="1"/>
    <n v="377"/>
    <n v="107.9"/>
    <x v="2"/>
    <s v="N/A"/>
    <s v="N/A"/>
    <s v="N/A"/>
    <s v="U.S. Air Force (USAF)"/>
    <s v="N/A"/>
    <s v="N/A"/>
    <s v="Non-structural"/>
    <s v="Ongoing"/>
    <x v="0"/>
    <s v="Banana River Lagoon"/>
    <s v="N/A"/>
    <s v="N/A"/>
    <s v="Not provided"/>
  </r>
  <r>
    <x v="4"/>
    <s v="N/A"/>
    <s v="CCAFS-02"/>
    <s v="Street Sweeping"/>
    <s v="Removed 24.03 tons of sediment and disposed of it at a landfill."/>
    <s v="Street Sweeping"/>
    <x v="0"/>
    <x v="1"/>
    <n v="27"/>
    <n v="17"/>
    <x v="2"/>
    <s v="N/A"/>
    <s v="Not provided"/>
    <n v="715"/>
    <s v="USAF"/>
    <s v="Not provided"/>
    <s v="N/A"/>
    <s v="Non-structural"/>
    <s v="Ongoing"/>
    <x v="0"/>
    <s v="Banana River Lagoon"/>
    <s v="N/A"/>
    <s v="N/A"/>
    <s v="Not provided"/>
  </r>
  <r>
    <x v="4"/>
    <s v="N/A"/>
    <s v="CCAFS-03"/>
    <s v="Dry Detention Ponds after 2000"/>
    <s v="Identified 36 ERPs that were not included in the PLSM model that provide treatment."/>
    <s v="Dry Detention Pond"/>
    <x v="0"/>
    <x v="1"/>
    <n v="70"/>
    <n v="14"/>
    <x v="2"/>
    <n v="477"/>
    <s v="N/A"/>
    <n v="12000"/>
    <s v="USAF"/>
    <s v="N/A"/>
    <s v="N/A"/>
    <s v="Structural"/>
    <s v="Completed"/>
    <x v="5"/>
    <s v="Banana River Lagoon"/>
    <s v="N/A"/>
    <s v="N/A"/>
    <s v="N/A"/>
  </r>
  <r>
    <x v="4"/>
    <s v="N/A"/>
    <s v="CCAFS-04"/>
    <s v="Online Wet Retention Ponds after 2000"/>
    <s v="Providing 3.187 inches of additional treatment within 5 ERP drainage basins that were not included in the PLSM model."/>
    <s v="On-line Retention BMPs"/>
    <x v="0"/>
    <x v="1"/>
    <n v="319"/>
    <n v="115"/>
    <x v="2"/>
    <n v="157"/>
    <s v="N/A"/>
    <n v="2000"/>
    <s v="USAF"/>
    <s v="N/A"/>
    <s v="N/A"/>
    <s v="Structural"/>
    <s v="Completed"/>
    <x v="5"/>
    <s v="Banana River Lagoon"/>
    <s v="N/A"/>
    <s v="N/A"/>
    <s v="N/A"/>
  </r>
  <r>
    <x v="4"/>
    <s v="N/A"/>
    <s v="CCAFS-05"/>
    <s v="TMDL Monitoring and Data Collection"/>
    <s v="Collected stormwater and baseflow nutrient concentrations and rainfall data at 3 monitoring stations; collected baseflow and stormwater runoff flow volume data and groundwater elevation data at 6 monitoring stations."/>
    <s v="Monitoring/Data Collection"/>
    <x v="0"/>
    <x v="9"/>
    <s v="N/A"/>
    <s v="N/A"/>
    <x v="2"/>
    <s v="N/A"/>
    <n v="1850000"/>
    <n v="370000"/>
    <s v="USAF"/>
    <s v="USAF - $1,850,000"/>
    <s v="N/A"/>
    <s v="Non-structural"/>
    <s v="Ongoing"/>
    <x v="3"/>
    <s v="Banana River Lagoon"/>
    <s v="N/A"/>
    <s v="N/A"/>
    <n v="2011"/>
  </r>
  <r>
    <x v="4"/>
    <s v="N/A"/>
    <s v="CCAFS-06"/>
    <s v="WWTF Upgrade Feasibility Study"/>
    <s v="Pilot study to improve removal rates of nitrates, total nitrogen, and ammonia in plant effluent. Pilot study was successful and will result in permanent changes that will be requested in RWWTF Permits."/>
    <s v="Study"/>
    <x v="0"/>
    <x v="4"/>
    <s v="N/A"/>
    <s v="N/A"/>
    <x v="2"/>
    <s v="N/A"/>
    <n v="46000"/>
    <s v="N/A"/>
    <s v="USAF"/>
    <s v="USAF - $46,000"/>
    <s v="N/A"/>
    <s v="Non-structural"/>
    <s v="Ongoing"/>
    <x v="3"/>
    <s v="Banana River Lagoon"/>
    <s v="28o31'49.07&quot; N"/>
    <s v="80o33'57.38&quot; W"/>
    <n v="2017"/>
  </r>
  <r>
    <x v="4"/>
    <s v="N/A"/>
    <s v="CCAFS-07"/>
    <s v="Invasive Vegetation Management"/>
    <s v="Enhancement to wetlands at CCAFS occurs through invasive vegetation management including annual exotic vegetation removal."/>
    <s v="Exotic Vegetation Removal"/>
    <x v="2"/>
    <x v="10"/>
    <n v="14"/>
    <n v="9"/>
    <x v="2"/>
    <s v="N/A"/>
    <s v="Not provided"/>
    <s v="Not provided"/>
    <s v="USAF"/>
    <s v="Not provided"/>
    <s v="N/A"/>
    <s v="Non-structural"/>
    <s v="Not provided"/>
    <x v="3"/>
    <s v="Banana River Lagoon"/>
    <s v="N/A"/>
    <s v="N/A"/>
    <n v="2017"/>
  </r>
  <r>
    <x v="4"/>
    <s v="N/A"/>
    <s v="CCAFS-08"/>
    <s v="Sanitary Sewer Infiltration and Inflow Study"/>
    <s v="Conduct infiltration and inflow study of station's sanitary sewer system."/>
    <s v="Study"/>
    <x v="2"/>
    <x v="7"/>
    <s v="N/A"/>
    <s v="N/A"/>
    <x v="2"/>
    <s v="N/A"/>
    <s v="TBD"/>
    <s v="N/A"/>
    <s v="USAF"/>
    <s v="TBD"/>
    <s v="N/A"/>
    <s v="Non-structural"/>
    <s v="Ongoing"/>
    <x v="3"/>
    <s v="Banana River Lagoon"/>
    <s v="N/A"/>
    <s v="N/A"/>
    <n v="2018"/>
  </r>
  <r>
    <x v="4"/>
    <s v="N/A"/>
    <s v="CCAFS-09"/>
    <s v="Public Education"/>
    <s v="Three outreach events were held that removed 30 tons of debris through beach cleanups"/>
    <s v="Enhanced Public Education"/>
    <x v="0"/>
    <x v="4"/>
    <s v="N/A"/>
    <s v="N/A"/>
    <x v="2"/>
    <s v="N/A"/>
    <s v="Not provided"/>
    <s v="N/A"/>
    <s v="USAF"/>
    <s v="Not provided"/>
    <s v="N/A"/>
    <s v="Non-structural"/>
    <s v="Ongoing"/>
    <x v="3"/>
    <s v="Banana River Lagoon"/>
    <s v="N/A"/>
    <s v="N/A"/>
    <n v="2017"/>
  </r>
  <r>
    <x v="4"/>
    <s v="N/A"/>
    <s v="CCAFS-10"/>
    <s v="Wetlands as Filters"/>
    <s v="Station has many canals and functional culvert openings that allow connection with the Banana River Lagoon at an estimated 11 surface acres: 65 surface acres of the Army wharf that connect with the Atlantic Ocean, and 106 surface acres of the Trident wharf that connect with the Atlantic Ocean, totaling 182 surface acres of jurisdictional wetlands."/>
    <s v="Natural Wetlands as Filters"/>
    <x v="1"/>
    <x v="1"/>
    <s v="N/A"/>
    <s v="N/A"/>
    <x v="2"/>
    <n v="182"/>
    <s v="TBD"/>
    <s v="TBD"/>
    <s v="USAF"/>
    <s v="TBD"/>
    <s v="N/A"/>
    <s v="Non-structural"/>
    <s v="Planned"/>
    <x v="3"/>
    <s v="Banana River Lagoon"/>
    <s v="N/A"/>
    <s v="N/A"/>
    <s v="TBD"/>
  </r>
  <r>
    <x v="4"/>
    <s v="N/A"/>
    <s v="CCAFS-11"/>
    <s v="WWTF Upgrade"/>
    <s v="Improved removal rates of nitrates, total nitrogen, and ammonia in plant effluent."/>
    <s v="WWTF Upgrade"/>
    <x v="0"/>
    <x v="9"/>
    <s v="N/A"/>
    <s v="N/A"/>
    <x v="2"/>
    <s v="N/A"/>
    <s v="N/A"/>
    <s v="N/A"/>
    <s v="USAF"/>
    <s v="N/A"/>
    <s v="N/A"/>
    <s v="Structural"/>
    <s v="Completed"/>
    <x v="4"/>
    <s v="Banana River Lagoon"/>
    <s v="N/A"/>
    <s v="N/A"/>
    <s v="Not provided"/>
  </r>
  <r>
    <x v="4"/>
    <s v="N/A"/>
    <s v="CCAFS-12"/>
    <s v="Shoreline Stabilization"/>
    <s v="2 Projects: 4 miles on both sides of Titan Road and ITL Causeway and 1,000 ft near the South Gate Entrance."/>
    <s v="Shoreline Stabilization"/>
    <x v="3"/>
    <x v="7"/>
    <s v="TBD"/>
    <s v="TBD"/>
    <x v="2"/>
    <s v="N/A"/>
    <n v="4000000"/>
    <s v="N/A"/>
    <s v="USAF"/>
    <s v="N/A"/>
    <s v="N/A"/>
    <s v="Structural"/>
    <s v="Planned"/>
    <x v="4"/>
    <s v="Banana River Lagoon"/>
    <s v="N/A"/>
    <s v="N/A"/>
    <s v="TBD"/>
  </r>
  <r>
    <x v="2"/>
    <s v="SJRWMD"/>
    <s v="CC-01"/>
    <s v="Holman Road Baffle Box"/>
    <s v="First generation baffle box installation near Holman Road outfall."/>
    <s v="Baffle Boxes- First Generation (hydrodynamic separator)"/>
    <x v="0"/>
    <x v="11"/>
    <n v="1.9"/>
    <n v="2.1"/>
    <x v="0"/>
    <n v="29.2"/>
    <n v="75000"/>
    <n v="1200"/>
    <s v="SJRWMD/ City"/>
    <s v="SJRWMD - $45,000/ City - $30,000"/>
    <s v="N/A"/>
    <s v="Structural"/>
    <s v="Completed"/>
    <x v="0"/>
    <s v="Banana River Lagoon"/>
    <n v="28.374020000000002"/>
    <n v="80.607539000000003"/>
    <n v="2005"/>
  </r>
  <r>
    <x v="2"/>
    <s v="SJRWMD"/>
    <s v="CC-02"/>
    <s v="Center Street Baffle Box"/>
    <s v="First generation baffle box installation near Center Street outfall."/>
    <s v="Baffle Boxes- First Generation (hydrodynamic separator)"/>
    <x v="0"/>
    <x v="11"/>
    <n v="7.8"/>
    <n v="8.8000000000000007"/>
    <x v="0"/>
    <n v="117.2"/>
    <n v="75000"/>
    <n v="1200"/>
    <s v="SJRWMD/ City"/>
    <s v="SJRWMD - $45,000/ City - $30,000"/>
    <s v="N/A"/>
    <s v="Structural"/>
    <s v="Completed"/>
    <x v="0"/>
    <s v="Banana River Lagoon"/>
    <n v="28.381477"/>
    <n v="80.608765000000005"/>
    <n v="2005"/>
  </r>
  <r>
    <x v="2"/>
    <s v="SJRWMD"/>
    <s v="CC-03"/>
    <s v="International Drive Baffle Box"/>
    <s v="First generation baffle box installation near International Drive outfall."/>
    <s v="Baffle Boxes- First Generation (hydrodynamic separator)"/>
    <x v="0"/>
    <x v="11"/>
    <n v="11.6"/>
    <n v="3.5"/>
    <x v="0"/>
    <n v="179.4"/>
    <n v="75000"/>
    <n v="1200"/>
    <s v="SJRWMD/ City"/>
    <s v="SJRWMD - $45,000/ City - $30,000"/>
    <s v="N/A"/>
    <s v="Structural"/>
    <s v="Completed"/>
    <x v="0"/>
    <s v="Banana River Lagoon"/>
    <n v="28.387674000000001"/>
    <n v="80.608258000000006"/>
    <n v="2005"/>
  </r>
  <r>
    <x v="2"/>
    <s v="SJRWMD"/>
    <s v="CC-04"/>
    <s v="Angel Isles Baffle Box"/>
    <s v="First generation baffle box installation near Angel Isles outfall."/>
    <s v="Baffle Boxes- First Generation (hydrodynamic separator)"/>
    <x v="0"/>
    <x v="11"/>
    <n v="3.5"/>
    <n v="2.8"/>
    <x v="0"/>
    <n v="105.5"/>
    <n v="75000"/>
    <n v="1200"/>
    <s v="SJRWMD/ City"/>
    <s v="SJRWMD - $45,000/ City - $30,000"/>
    <s v="N/A"/>
    <s v="Structural"/>
    <s v="Completed"/>
    <x v="0"/>
    <s v="Banana River Lagoon"/>
    <n v="28.395907999999999"/>
    <n v="80.618905999999996"/>
    <n v="2005"/>
  </r>
  <r>
    <x v="2"/>
    <s v="N/A"/>
    <s v="CC-05"/>
    <s v="WWTP Baffle Box"/>
    <s v="First generation baffle box installation at WWTP."/>
    <s v="Baffle Boxes- First Generation (hydrodynamic separator)"/>
    <x v="0"/>
    <x v="12"/>
    <n v="0.1"/>
    <n v="0.1"/>
    <x v="0"/>
    <n v="11.1"/>
    <n v="15000"/>
    <n v="1200"/>
    <s v="City"/>
    <s v="City - $15,000"/>
    <s v="N/A"/>
    <s v="Structural"/>
    <s v="Completed"/>
    <x v="0"/>
    <s v="Banana River Lagoon"/>
    <n v="28.392042"/>
    <n v="80.618404999999996"/>
    <n v="2003"/>
  </r>
  <r>
    <x v="2"/>
    <s v="SJRWMD"/>
    <s v="CC-06"/>
    <s v="West Central Boulevard Baffle Box"/>
    <s v="First generation baffle box installation at West Central Boulevard outfall to Central Ditch."/>
    <s v="Baffle Boxes- First Generation (hydrodynamic separator)"/>
    <x v="0"/>
    <x v="13"/>
    <n v="12.6"/>
    <n v="13.6"/>
    <x v="0"/>
    <n v="213.4"/>
    <n v="75000"/>
    <n v="1200"/>
    <s v="SJRWMD/ City"/>
    <s v="SJRWMD - $45,000/ City - $30,000"/>
    <s v="N/A"/>
    <s v="Structural"/>
    <s v="Completed"/>
    <x v="0"/>
    <s v="Banana River Lagoon"/>
    <n v="28.396122999999999"/>
    <n v="80.608024999999998"/>
    <n v="2004"/>
  </r>
  <r>
    <x v="2"/>
    <s v="DEP"/>
    <s v="CC-07"/>
    <s v="Central Ditch Baffle Box (3 count)"/>
    <s v="Second generation baffle box installations (3) in northern portion of Central Ditch."/>
    <s v="Baffle Boxes- Second Generation"/>
    <x v="0"/>
    <x v="14"/>
    <n v="222.8"/>
    <n v="39.6"/>
    <x v="0"/>
    <n v="248.2"/>
    <n v="443003"/>
    <n v="3600"/>
    <s v="City/ DEP"/>
    <s v="DEP - $263,402/ City - $179,601"/>
    <s v="G0136"/>
    <s v="Structural"/>
    <s v="Completed"/>
    <x v="0"/>
    <s v="Banana River Lagoon"/>
    <n v="28.396433999999999"/>
    <n v="80.608163000000005"/>
    <n v="2008"/>
  </r>
  <r>
    <x v="2"/>
    <s v="N/A"/>
    <s v="CC-08"/>
    <s v="Street Sweeping"/>
    <s v="Sweeping of streets/pedways."/>
    <s v="Street Sweeping"/>
    <x v="0"/>
    <x v="1"/>
    <s v="TBD"/>
    <s v="TBD"/>
    <x v="0"/>
    <s v="N/A"/>
    <n v="12322"/>
    <s v="N/A"/>
    <s v="City"/>
    <s v="City - $12,322"/>
    <s v="N/A"/>
    <s v="Non-structural"/>
    <s v="Ongoing"/>
    <x v="0"/>
    <s v="Banana River Lagoon"/>
    <s v="N/A"/>
    <s v="N/A"/>
    <n v="2002"/>
  </r>
  <r>
    <x v="2"/>
    <s v="N/A"/>
    <s v="CC-09"/>
    <s v="Shorewood Drainage Subbasin"/>
    <s v="Basin with no stormwater discharge."/>
    <s v="100% On-site Retention"/>
    <x v="0"/>
    <x v="2"/>
    <s v="TBD"/>
    <s v="TBD"/>
    <x v="0"/>
    <n v="169.8"/>
    <s v="Not provided"/>
    <n v="0"/>
    <s v="Private Developer"/>
    <s v="Not provided"/>
    <s v="N/A"/>
    <s v="Structural"/>
    <s v="Completed"/>
    <x v="0"/>
    <s v="Banana River Lagoon"/>
    <n v="28.403428000000002"/>
    <n v="80.597272000000004"/>
    <s v="Not provided"/>
  </r>
  <r>
    <x v="2"/>
    <s v="N/A"/>
    <s v="CC-10"/>
    <s v="Education Efforts"/>
    <s v="FYN (Blue Life); landscape, irrigation, fertilizer, and pet waste ordinances; public service announcements (PSAs); pamphlets; website; Illicit Discharge Program."/>
    <s v="Education Efforts"/>
    <x v="0"/>
    <x v="1"/>
    <n v="230.1"/>
    <n v="54.6"/>
    <x v="0"/>
    <s v="N/A"/>
    <n v="3100"/>
    <n v="500"/>
    <s v="City"/>
    <s v="City - $3,100"/>
    <s v="N/A"/>
    <s v="Non-structural"/>
    <s v="Ongoing"/>
    <x v="0"/>
    <s v="Banana River Lagoon"/>
    <s v="N/A"/>
    <s v="N/A"/>
    <n v="2013"/>
  </r>
  <r>
    <x v="2"/>
    <s v="N/A"/>
    <s v="CC-11"/>
    <s v="Manatee Park Stormwater Improvements"/>
    <s v="Wet detention pond and swales."/>
    <s v="Wet Detention Pond"/>
    <x v="0"/>
    <x v="3"/>
    <n v="59.3"/>
    <n v="27.8"/>
    <x v="0"/>
    <n v="11.1"/>
    <n v="193000"/>
    <n v="5000"/>
    <s v="City"/>
    <s v="City - $193,000"/>
    <s v="N/A"/>
    <s v="Structural"/>
    <s v="Completed"/>
    <x v="0"/>
    <s v="Banana River Lagoon"/>
    <n v="28.393915"/>
    <n v="80.618386000000001"/>
    <n v="2012"/>
  </r>
  <r>
    <x v="2"/>
    <s v="N/A"/>
    <s v="CC-12"/>
    <s v="Banana River Park Stormwater Improvements"/>
    <s v="Stormwater swales."/>
    <s v="Grass Swales without Swale Blocks or Raised Culverts"/>
    <x v="0"/>
    <x v="3"/>
    <n v="40.4"/>
    <n v="10.6"/>
    <x v="0"/>
    <n v="5.3"/>
    <n v="38000"/>
    <n v="2500"/>
    <s v="City"/>
    <s v="City - $38,000"/>
    <s v="N/A"/>
    <s v="Structural"/>
    <s v="Completed"/>
    <x v="0"/>
    <s v="Banana River Lagoon"/>
    <n v="28.396546000000001"/>
    <n v="80.618600999999998"/>
    <n v="2012"/>
  </r>
  <r>
    <x v="2"/>
    <s v="N/A"/>
    <s v="CC-13"/>
    <s v="Exfiltration on North Atlantic Ave"/>
    <s v="Stormwater swales."/>
    <s v="Grass Swales without Swale Blocks or Raised Culverts"/>
    <x v="0"/>
    <x v="5"/>
    <n v="102"/>
    <n v="24"/>
    <x v="0"/>
    <n v="37"/>
    <n v="436000"/>
    <n v="5000"/>
    <s v="City"/>
    <s v="City - $436,000"/>
    <s v="N/A"/>
    <s v="Structural"/>
    <s v="Completed"/>
    <x v="0"/>
    <s v="Banana River Lagoon"/>
    <s v="N/A"/>
    <s v="N/A"/>
    <n v="2014"/>
  </r>
  <r>
    <x v="2"/>
    <s v="DEP"/>
    <s v="CC-14"/>
    <s v="Exfiltration at Canaveral City Park"/>
    <s v="Stormwater/wastewater vault system."/>
    <s v="Exfiltration Trench"/>
    <x v="0"/>
    <x v="4"/>
    <n v="324.11"/>
    <n v="76.430000000000007"/>
    <x v="0"/>
    <n v="30.3"/>
    <n v="1820500"/>
    <n v="3500"/>
    <s v="City/ DEP"/>
    <s v="DEP - $1,162,662/ City - $657,838"/>
    <s v="WW050500/ LP05052"/>
    <s v="Structural"/>
    <s v="Completed"/>
    <x v="0"/>
    <s v="Banana River Lagoon"/>
    <n v="28.387269"/>
    <n v="80.602057000000002"/>
    <n v="2015"/>
  </r>
  <r>
    <x v="2"/>
    <s v="TBD"/>
    <s v="CC-15"/>
    <s v="Stormwater Pond on West Central Blvd"/>
    <s v="Wet detention pond and swales."/>
    <s v="Wet Detention Pond"/>
    <x v="3"/>
    <x v="15"/>
    <n v="1420.2"/>
    <n v="548.70000000000005"/>
    <x v="0"/>
    <n v="333.98"/>
    <n v="3130200"/>
    <n v="10000"/>
    <s v="TBD"/>
    <s v="TBD"/>
    <s v="TBD"/>
    <s v="Structural"/>
    <s v="Planned, Not Funded"/>
    <x v="0"/>
    <s v="Banana River Lagoon"/>
    <s v="N/A"/>
    <s v="N/A"/>
    <n v="2021"/>
  </r>
  <r>
    <x v="2"/>
    <s v="N/A"/>
    <s v="CC-16"/>
    <s v="Clean Out of Baffle Boxes"/>
    <s v="Maintenance of baffle boxes."/>
    <s v="BMP Cleanout"/>
    <x v="2"/>
    <x v="1"/>
    <n v="1"/>
    <n v="0"/>
    <x v="0"/>
    <s v="N/A"/>
    <n v="4500"/>
    <n v="1500"/>
    <s v="City"/>
    <s v="City - $4,500"/>
    <s v="N/A"/>
    <s v="Non-structural"/>
    <s v="Ongoing"/>
    <x v="1"/>
    <s v="Banana River Lagoon"/>
    <s v="N/A"/>
    <s v="N/A"/>
    <n v="2014"/>
  </r>
  <r>
    <x v="2"/>
    <s v="N/A"/>
    <s v="CC-17"/>
    <s v="Central Ditch Dredging Project"/>
    <s v="Dredging of southern portion of Central Ditch."/>
    <s v="Muck Removal/Restoration Dredging"/>
    <x v="1"/>
    <x v="1"/>
    <s v="N/A"/>
    <s v="N/A"/>
    <x v="0"/>
    <s v="N/A"/>
    <s v="N/A"/>
    <s v="N/A"/>
    <s v="N/A"/>
    <s v="N/A"/>
    <s v="N/A"/>
    <s v="Non-structural"/>
    <s v="Cancelled"/>
    <x v="1"/>
    <s v="Banana River Lagoon"/>
    <s v="N/A"/>
    <s v="N/A"/>
    <s v="N/A"/>
  </r>
  <r>
    <x v="2"/>
    <s v="N/A"/>
    <s v="CC-18"/>
    <s v="Exfiltration Piping Installations"/>
    <s v="Exfiltration piping installations – 8 locations."/>
    <s v="Exfiltration Trench"/>
    <x v="0"/>
    <x v="16"/>
    <s v="TBD"/>
    <s v="TBD"/>
    <x v="0"/>
    <n v="4500"/>
    <n v="0"/>
    <s v="N/A"/>
    <s v="City"/>
    <s v="City - $4,500"/>
    <s v="N/A"/>
    <s v="Structural"/>
    <s v="Cancelled"/>
    <x v="1"/>
    <s v="Banana River Lagoon"/>
    <s v="N/A"/>
    <s v="N/A"/>
    <s v="N/A"/>
  </r>
  <r>
    <x v="2"/>
    <s v="SJRWMD"/>
    <s v="CC-19"/>
    <s v="Reclaimed Water Tank"/>
    <s v="Reclaimed water system improvements (2.5 million gallon reclaimed water tank)."/>
    <s v="WWTF Upgrade"/>
    <x v="0"/>
    <x v="5"/>
    <n v="2151"/>
    <n v="158"/>
    <x v="0"/>
    <s v="N/A"/>
    <n v="3030000"/>
    <n v="10000"/>
    <s v="SJRWMD/ City"/>
    <s v="SJRWMD - $75,000/ City - $2,955,000"/>
    <s v="WW050500"/>
    <s v="Structural"/>
    <s v="Completed"/>
    <x v="1"/>
    <s v="Banana River Lagoon"/>
    <n v="28.392523000000001"/>
    <n v="80.618626000000006"/>
    <n v="2014"/>
  </r>
  <r>
    <x v="2"/>
    <s v="DEP/ Brevard County/ SOIRL"/>
    <s v="CC-20"/>
    <s v="Central Boulevard Baffle Box Upgrade"/>
    <s v="Baffle box upgrade to 2nd generation - Central Ditch Baffle Box"/>
    <s v="Baffle Boxes- Second Generation"/>
    <x v="0"/>
    <x v="4"/>
    <n v="1221"/>
    <n v="207"/>
    <x v="0"/>
    <n v="213"/>
    <n v="43700"/>
    <n v="1200"/>
    <s v="DEP/ City/ County"/>
    <s v="DEP - $41,700/ City - $2,000"/>
    <s v="NF025"/>
    <s v="Structural"/>
    <s v="Planned, Funded"/>
    <x v="1"/>
    <s v="Banana River Lagoon"/>
    <n v="28.396122999999999"/>
    <n v="80.608024999999998"/>
    <n v="2017"/>
  </r>
  <r>
    <x v="2"/>
    <s v="Brevard County/ SOIRL"/>
    <s v="CC-21"/>
    <s v="Holman Road Swale"/>
    <s v="Swales and biosorption activated media (BAM)."/>
    <s v="BMP Treatment Train"/>
    <x v="3"/>
    <x v="17"/>
    <n v="14.06"/>
    <n v="5.59"/>
    <x v="0"/>
    <n v="1.62"/>
    <n v="28000"/>
    <n v="500"/>
    <s v="City/ County"/>
    <s v="TBD"/>
    <s v="N/A"/>
    <s v="Structural"/>
    <s v="Planned, Funded"/>
    <x v="2"/>
    <s v="Banana River Lagoon"/>
    <n v="28.372827000000001"/>
    <n v="80.607463999999993"/>
    <n v="2019"/>
  </r>
  <r>
    <x v="2"/>
    <s v="Brevard County/ SOIRL"/>
    <s v="CC-22"/>
    <s v="Cocoa Palms LID"/>
    <s v="Exfiltration and BAM wall."/>
    <s v="BMP Treatment Train"/>
    <x v="3"/>
    <x v="17"/>
    <n v="13.29"/>
    <n v="10.44"/>
    <x v="0"/>
    <n v="3.99"/>
    <n v="85000"/>
    <n v="1000"/>
    <s v="City/ County"/>
    <s v="TBD"/>
    <s v="N/A"/>
    <s v="Structural"/>
    <s v="Planned, Funded"/>
    <x v="5"/>
    <s v="Banana River Lagoon"/>
    <n v="28.379369000000001"/>
    <n v="80.608504999999994"/>
    <n v="2018"/>
  </r>
  <r>
    <x v="2"/>
    <s v="N/A"/>
    <s v="CC-23"/>
    <s v="Cherrie Down Park"/>
    <s v="Swale with biosorption activated media (BAM)."/>
    <s v="BMP Treatment Train"/>
    <x v="1"/>
    <x v="1"/>
    <s v="N/A"/>
    <s v="N/A"/>
    <x v="0"/>
    <s v="N/A"/>
    <s v="N/A"/>
    <s v="N/A"/>
    <s v="N/A"/>
    <s v="N/A"/>
    <s v="N/A"/>
    <s v="Structural"/>
    <s v="Planned, Funded"/>
    <x v="5"/>
    <s v="Banana River Lagoon"/>
    <s v="N/A"/>
    <s v="N/A"/>
    <s v="N/A"/>
  </r>
  <r>
    <x v="2"/>
    <s v="Brevard County/ SOIRL"/>
    <s v="CC-24"/>
    <s v="Carver Cove Swale"/>
    <s v="Swale with biosorption activated media (BAM)."/>
    <s v="BMP Treatment Train"/>
    <x v="3"/>
    <x v="17"/>
    <n v="32.11"/>
    <n v="9.18"/>
    <x v="0"/>
    <n v="5.59"/>
    <n v="20340"/>
    <n v="1000"/>
    <s v="City/ County"/>
    <s v="TBD"/>
    <s v="N/A"/>
    <s v="Structural"/>
    <s v="Planned, Funded"/>
    <x v="5"/>
    <s v="Banana River Lagoon"/>
    <n v="28.385915000000001"/>
    <n v="80.608946000000003"/>
    <n v="2018"/>
  </r>
  <r>
    <x v="2"/>
    <s v="Brevard County/ SOIRL"/>
    <s v="CC-25"/>
    <s v="Cape Shores Swales (3 count)"/>
    <s v="Swale with biosorption activated media (BAM)."/>
    <s v="BMP Treatment Train"/>
    <x v="1"/>
    <x v="1"/>
    <s v="N/A"/>
    <s v="N/A"/>
    <x v="0"/>
    <n v="7.71"/>
    <s v="N/A"/>
    <s v="N/A"/>
    <s v="N/A"/>
    <s v="N/A"/>
    <s v="N/A"/>
    <s v="Structural"/>
    <s v="Planned, Funded"/>
    <x v="5"/>
    <s v="Banana River Lagoon"/>
    <s v="N/A"/>
    <s v="N/A"/>
    <n v="2018"/>
  </r>
  <r>
    <x v="2"/>
    <s v="FDOT"/>
    <s v="CC-26"/>
    <s v="International Drive"/>
    <s v="Wet detention pond as part of SR A1A Streetscape Project."/>
    <s v="Wet Detention Pond"/>
    <x v="3"/>
    <x v="15"/>
    <n v="600.79999999999995"/>
    <n v="283.2"/>
    <x v="0"/>
    <n v="168.14"/>
    <n v="708450"/>
    <n v="2500"/>
    <s v="FDOT"/>
    <s v="FDOT - $708,450"/>
    <s v="N/A"/>
    <s v="Structural"/>
    <s v="Planned, Not Funded"/>
    <x v="5"/>
    <s v="Banana River Lagoon"/>
    <n v="28.387782000000001"/>
    <n v="80.606211999999999"/>
    <n v="2021"/>
  </r>
  <r>
    <x v="2"/>
    <s v="Brevard County/ SOIRL"/>
    <s v="CC-27"/>
    <s v="Justamere Road Swale"/>
    <s v="Dry detention swale without blocks or raised culverts and media filter."/>
    <s v="BMP Treatment Train"/>
    <x v="3"/>
    <x v="17"/>
    <n v="5.52"/>
    <n v="3.29"/>
    <x v="0"/>
    <n v="1.21"/>
    <n v="7800"/>
    <n v="1000"/>
    <s v="City/ County"/>
    <s v="TBD"/>
    <s v="N/A"/>
    <s v="Structural"/>
    <s v="Planned, Funded"/>
    <x v="5"/>
    <s v="Banana River Lagoon"/>
    <n v="28.385698000000001"/>
    <n v="80.608682999999999"/>
    <n v="2018"/>
  </r>
  <r>
    <x v="2"/>
    <s v="Brevard County/ SOIRL"/>
    <s v="CC-28"/>
    <s v="Hitching Post Berm"/>
    <s v="Berm and associated grass swale without blocks or raised culverts and media filter."/>
    <s v="BMP Treatment Train"/>
    <x v="3"/>
    <x v="17"/>
    <n v="27.06"/>
    <n v="22.08"/>
    <x v="0"/>
    <n v="9.0500000000000007"/>
    <n v="40300"/>
    <n v="1000"/>
    <s v="City/ County"/>
    <s v="TBD"/>
    <s v="N/A"/>
    <s v="Structural"/>
    <s v="Planned, Funded"/>
    <x v="5"/>
    <s v="Banana River Lagoon"/>
    <n v="28.384876999999999"/>
    <n v="80.608742000000007"/>
    <n v="2018"/>
  </r>
  <r>
    <x v="2"/>
    <s v="Brevard County/ SOIRL"/>
    <s v="CC-29"/>
    <s v="Center Street Pond"/>
    <s v="Wet detention pond."/>
    <s v="Wet Detention Pond"/>
    <x v="3"/>
    <x v="17"/>
    <n v="992"/>
    <n v="337"/>
    <x v="0"/>
    <n v="106.41"/>
    <n v="277850"/>
    <n v="2500"/>
    <s v="City/ County"/>
    <s v="TBD"/>
    <s v="N/A"/>
    <s v="Structural"/>
    <s v="Planned, Funded"/>
    <x v="5"/>
    <s v="Banana River Lagoon"/>
    <n v="28.380668"/>
    <n v="80.608045000000004"/>
    <n v="2020"/>
  </r>
  <r>
    <x v="2"/>
    <s v="Brevard County/ SOIRL"/>
    <s v="CC-30"/>
    <s v="Holman Road Pond"/>
    <s v="Wet detension pond."/>
    <s v="Wet Detention Pond"/>
    <x v="3"/>
    <x v="15"/>
    <n v="36.200000000000003"/>
    <n v="37.200000000000003"/>
    <x v="0"/>
    <n v="29.16"/>
    <n v="235630"/>
    <n v="2500"/>
    <s v="City/ County"/>
    <s v="TBD"/>
    <s v="N/A"/>
    <s v="Structural"/>
    <s v="Planned, Not Funded"/>
    <x v="5"/>
    <s v="Banana River Lagoon"/>
    <n v="28.373911"/>
    <n v="80.607185999999999"/>
    <n v="2021"/>
  </r>
  <r>
    <x v="2"/>
    <s v="Brevard County/ SOIRL"/>
    <s v="CC-31"/>
    <s v="Costa Del Sol Pond"/>
    <s v="Dry detention swale without blocks or raised culverts and media filter."/>
    <s v="Dry Detention Pond"/>
    <x v="3"/>
    <x v="17"/>
    <n v="10.039999999999999"/>
    <n v="2.5099999999999998"/>
    <x v="0"/>
    <n v="2.66"/>
    <n v="58120"/>
    <n v="2500"/>
    <s v="City/ County"/>
    <s v="TBD"/>
    <s v="N/A"/>
    <s v="Structural"/>
    <s v="Planned, Funded"/>
    <x v="5"/>
    <s v="Banana River Lagoon"/>
    <n v="28.372343999999998"/>
    <n v="80.607792000000003"/>
    <n v="2019"/>
  </r>
  <r>
    <x v="2"/>
    <s v="Brevard County/ SOIRL"/>
    <s v="CC-32"/>
    <s v="Costa del Sol Denitrificaiton Wall"/>
    <s v="Exfiltration and BAM wall."/>
    <s v="BMP Treatment Train"/>
    <x v="3"/>
    <x v="17"/>
    <n v="38.72"/>
    <n v="33.67"/>
    <x v="0"/>
    <n v="13.04"/>
    <n v="18800"/>
    <n v="1000"/>
    <s v="City/ County"/>
    <s v="TBD"/>
    <s v="N/A"/>
    <s v="Structural"/>
    <s v="Planned, Funded"/>
    <x v="5"/>
    <s v="Banana River Lagoon"/>
    <n v="28.370536000000001"/>
    <n v="80.609572999999997"/>
    <n v="2021"/>
  </r>
  <r>
    <x v="2"/>
    <s v="N/A"/>
    <s v="CC-33"/>
    <s v="WWTF SHORELINE RESTORATION"/>
    <s v="Armor shoreline at WWTF."/>
    <s v="Shoreline Stabilization"/>
    <x v="0"/>
    <x v="9"/>
    <s v="TBD"/>
    <s v="TBD"/>
    <x v="0"/>
    <n v="1"/>
    <n v="193850"/>
    <n v="1000"/>
    <s v="City"/>
    <s v="City - $193,850"/>
    <s v="N/A"/>
    <s v="Structural"/>
    <s v="Completed"/>
    <x v="4"/>
    <s v="Banana River Lagoon"/>
    <n v="28.391950999999999"/>
    <n v="80.619000999999997"/>
    <s v="Not provided"/>
  </r>
  <r>
    <x v="2"/>
    <s v="N/A"/>
    <s v="CC-34"/>
    <s v="BEEMATS INSTALLATION (4 COUNT)"/>
    <s v="Beemats installation."/>
    <s v="Floating Islands/ Managed Aquatic Plant Systems (MAPS)"/>
    <x v="2"/>
    <x v="1"/>
    <s v="TBD"/>
    <s v="TBD"/>
    <x v="0"/>
    <n v="1"/>
    <n v="15000"/>
    <n v="2500"/>
    <s v="City"/>
    <s v="City - $15,000"/>
    <s v="N/A"/>
    <s v="Structural"/>
    <s v="Completed"/>
    <x v="4"/>
    <s v="Banana River Lagoon"/>
    <s v="28.392518 28.393851"/>
    <s v="80.618622 80.618504"/>
    <s v="Not provided"/>
  </r>
  <r>
    <x v="2"/>
    <s v="N/A"/>
    <s v="CC-35"/>
    <s v="OXIDATION DITCH REFURBISHMENT"/>
    <s v="Oxidation Ditch rehab."/>
    <s v="BMP Cleanout"/>
    <x v="0"/>
    <x v="18"/>
    <s v="N/A"/>
    <s v="N/A"/>
    <x v="0"/>
    <s v="N/A"/>
    <s v="N/A"/>
    <s v="N/A"/>
    <s v="N/A"/>
    <s v="N/A"/>
    <s v="N/A"/>
    <s v="Structural"/>
    <s v="Completed"/>
    <x v="4"/>
    <s v="Banana River Lagoon"/>
    <s v="N/A"/>
    <s v="N/A"/>
    <s v="Not provided"/>
  </r>
  <r>
    <x v="2"/>
    <s v="N/A"/>
    <s v="CC-36"/>
    <s v="LS #2 SEWER LINE REPLACEMENT"/>
    <s v="Replacement of sewer line for LS #2."/>
    <s v="WWTF Upgrade"/>
    <x v="0"/>
    <x v="18"/>
    <s v="N/A"/>
    <s v="N/A"/>
    <x v="0"/>
    <s v="N/A"/>
    <s v="N/A"/>
    <s v="N/A"/>
    <s v="N/A"/>
    <s v="N/A"/>
    <s v="N/A"/>
    <s v="Structural"/>
    <s v="Completed"/>
    <x v="4"/>
    <s v="Banana River Lagoon"/>
    <s v="N/A"/>
    <s v="N/A"/>
    <s v="Not provided"/>
  </r>
  <r>
    <x v="2"/>
    <s v="N/A"/>
    <s v="CC-37"/>
    <s v="FORCE MAIN #3 REPLACEMENT"/>
    <s v="Replacement and relocation of Force Main #3."/>
    <s v="WWTF Upgrade"/>
    <x v="0"/>
    <x v="18"/>
    <s v="N/A"/>
    <s v="N/A"/>
    <x v="0"/>
    <s v="N/A"/>
    <s v="N/A"/>
    <s v="N/A"/>
    <s v="N/A"/>
    <s v="N/A"/>
    <s v="N/A"/>
    <s v="Structural"/>
    <s v="Completed"/>
    <x v="4"/>
    <s v="Banana River Lagoon"/>
    <s v="N/A"/>
    <s v="N/A"/>
    <s v="Not provided"/>
  </r>
  <r>
    <x v="2"/>
    <s v="N/A"/>
    <s v="CC-38"/>
    <s v="CANAVERAL CITY PARK EXFILTRATION SYSTEM EXPANSION"/>
    <s v="Improvements for discharge of reuse water (same as CC-14)."/>
    <s v="WWTF Disposal Site"/>
    <x v="2"/>
    <x v="1"/>
    <s v="N/A"/>
    <s v="N/A"/>
    <x v="0"/>
    <s v="N/A"/>
    <s v="N/A"/>
    <s v="N/A"/>
    <s v="N/A"/>
    <s v="N/A"/>
    <s v="N/A"/>
    <s v="Structural"/>
    <s v="Underway"/>
    <x v="4"/>
    <s v="Banana River Lagoon"/>
    <s v="N/A"/>
    <s v="N/A"/>
    <s v="Not provided"/>
  </r>
  <r>
    <x v="2"/>
    <s v="SJRWMD"/>
    <s v="CC-39"/>
    <s v="ESTUARY PROPERTY RESTORATION"/>
    <s v="Habitat and water quality improvements."/>
    <s v="Exotic Vegetation Removal"/>
    <x v="2"/>
    <x v="17"/>
    <s v="TBD"/>
    <s v="TBD"/>
    <x v="0"/>
    <n v="10"/>
    <s v="TBD"/>
    <s v="TBD"/>
    <s v="SJRWMD/ City"/>
    <s v="TBD"/>
    <s v="N/A"/>
    <s v="Non-structural"/>
    <s v="Underway"/>
    <x v="4"/>
    <s v="Banana River Lagoon"/>
    <n v="28.389980999999999"/>
    <n v="80.611395999999999"/>
    <s v="Not provided"/>
  </r>
  <r>
    <x v="2"/>
    <s v="DEP"/>
    <s v="CC-40"/>
    <s v="PARKS SHORELINE RESTORATION"/>
    <s v="Armor shorelines at two City parks."/>
    <s v="Creating/ Enhancing Living Shoreline"/>
    <x v="0"/>
    <x v="5"/>
    <s v="N/A"/>
    <s v="N/A"/>
    <x v="0"/>
    <n v="1"/>
    <n v="232664"/>
    <n v="1000"/>
    <s v="City/ DEP"/>
    <s v="DEP - $65,600/ City - $167,064"/>
    <s v="NF012"/>
    <s v="Structural"/>
    <s v="Completed"/>
    <x v="4"/>
    <s v="Banana River Lagoon"/>
    <s v="28.39453 28.397475"/>
    <s v="80.619078 80.619228"/>
    <s v="Not provided"/>
  </r>
  <r>
    <x v="1"/>
    <s v="Not provided"/>
    <s v="CB-01"/>
    <s v="Maritime Hammock Preserve Alum Pond"/>
    <s v="Wet detention pond with alum."/>
    <s v="Wet Detention Pond"/>
    <x v="0"/>
    <x v="3"/>
    <n v="746"/>
    <n v="317.5"/>
    <x v="0"/>
    <n v="130.19999999999999"/>
    <n v="960000"/>
    <n v="20000"/>
    <s v="Not provided"/>
    <n v="960000"/>
    <s v="N/A"/>
    <s v="Structural"/>
    <s v="Completed"/>
    <x v="0"/>
    <s v="Banana River Lagoon"/>
    <s v="Not provided"/>
    <s v="Not provided"/>
    <s v="Not provided"/>
  </r>
  <r>
    <x v="1"/>
    <s v="DEP"/>
    <s v="CB-02"/>
    <s v="Ocean Beach Blvd. Bioretention/ Exfiltration"/>
    <s v="Not provided."/>
    <s v="Grass Swales without Swale Blocks or Raised Culverts"/>
    <x v="0"/>
    <x v="3"/>
    <n v="218"/>
    <n v="46.3"/>
    <x v="0"/>
    <n v="50.6"/>
    <n v="1150000"/>
    <n v="18000"/>
    <s v="DEP"/>
    <s v="DEP - $1,150,000"/>
    <s v="G0170"/>
    <s v="Structural"/>
    <s v="Completed"/>
    <x v="0"/>
    <s v="Banana River Lagoon"/>
    <s v="Not provided"/>
    <s v="Not provided"/>
    <s v="Not provided"/>
  </r>
  <r>
    <x v="1"/>
    <s v="Not provided"/>
    <s v="CB-03"/>
    <s v="2nd Street South PCD"/>
    <s v="Not provided."/>
    <s v="Baffle Boxes- Second Generation"/>
    <x v="0"/>
    <x v="3"/>
    <n v="135"/>
    <n v="25"/>
    <x v="0"/>
    <n v="52"/>
    <n v="181974"/>
    <n v="1200"/>
    <s v="Not provided"/>
    <n v="181974"/>
    <s v="N/A"/>
    <s v="Structural"/>
    <s v="Completed"/>
    <x v="0"/>
    <s v="Banana River Lagoon"/>
    <s v="Not provided"/>
    <s v="Not provided"/>
    <s v="Not provided"/>
  </r>
  <r>
    <x v="1"/>
    <s v="Not provided"/>
    <s v="CB-04"/>
    <s v="Cottage Row Parking Facilities Lot"/>
    <s v="Not provided."/>
    <s v="Exfiltration Trench"/>
    <x v="0"/>
    <x v="3"/>
    <n v="37"/>
    <n v="9.1"/>
    <x v="0"/>
    <n v="2.4"/>
    <s v="Not provided"/>
    <n v="500"/>
    <s v="Not provided"/>
    <s v="Not provided"/>
    <s v="N/A"/>
    <s v="Structural"/>
    <s v="Completed"/>
    <x v="0"/>
    <s v="Banana River Lagoon"/>
    <s v="Not provided"/>
    <s v="Not provided"/>
    <s v="Not provided"/>
  </r>
  <r>
    <x v="1"/>
    <s v="Not provided"/>
    <s v="CB-05"/>
    <s v="Shepard Park Improvements"/>
    <s v="Not provided."/>
    <s v="Dry Detention Pond"/>
    <x v="0"/>
    <x v="3"/>
    <n v="0"/>
    <n v="0"/>
    <x v="0"/>
    <n v="0"/>
    <s v="Not provided"/>
    <n v="3000"/>
    <s v="Not provided"/>
    <s v="Not provided"/>
    <s v="N/A"/>
    <s v="Structural"/>
    <s v="Completed"/>
    <x v="0"/>
    <s v="Banana River Lagoon"/>
    <s v="Not provided"/>
    <s v="Not provided"/>
    <s v="Not provided"/>
  </r>
  <r>
    <x v="1"/>
    <s v="Not provided"/>
    <s v="CB-06"/>
    <s v="Burris Way (alley) Exfiltration"/>
    <s v="Not provided."/>
    <s v="Exfiltration Trench"/>
    <x v="0"/>
    <x v="3"/>
    <n v="4"/>
    <n v="1"/>
    <x v="0"/>
    <n v="0.8"/>
    <s v="Not provided"/>
    <n v="1200"/>
    <s v="Not provided"/>
    <s v="Not provided"/>
    <s v="N/A"/>
    <s v="Structural"/>
    <s v="Completed"/>
    <x v="0"/>
    <s v="Banana River Lagoon"/>
    <s v="Not provided"/>
    <s v="Not provided"/>
    <s v="Not provided"/>
  </r>
  <r>
    <x v="1"/>
    <s v="Not provided"/>
    <s v="CB-07"/>
    <s v="Brevard Ave. Exfiltration"/>
    <s v="Not provided."/>
    <s v="Grass Swales without Swale Blocks or Raised Culverts"/>
    <x v="0"/>
    <x v="3"/>
    <n v="5"/>
    <n v="1"/>
    <x v="0"/>
    <n v="0.5"/>
    <s v="Not provided"/>
    <n v="300"/>
    <s v="Not provided"/>
    <s v="Not provided"/>
    <s v="N/A"/>
    <s v="Structural"/>
    <s v="Completed"/>
    <x v="0"/>
    <s v="Banana River Lagoon"/>
    <s v="Not provided"/>
    <s v="Not provided"/>
    <s v="Not provided"/>
  </r>
  <r>
    <x v="1"/>
    <s v="Not provided"/>
    <s v="CB-08"/>
    <s v="50 Danube River Exfiltration"/>
    <s v="Not provided."/>
    <s v="Grass Swales without Swale Blocks or Raised Culverts"/>
    <x v="0"/>
    <x v="3"/>
    <n v="1"/>
    <n v="0.1"/>
    <x v="0"/>
    <n v="1.5"/>
    <s v="Not provided"/>
    <n v="300"/>
    <s v="Not provided"/>
    <s v="Not provided"/>
    <s v="N/A"/>
    <s v="Structural"/>
    <s v="Completed"/>
    <x v="0"/>
    <s v="Banana River Lagoon"/>
    <s v="Not provided"/>
    <s v="Not provided"/>
    <s v="Not provided"/>
  </r>
  <r>
    <x v="1"/>
    <s v="Not provided"/>
    <s v="CB-09"/>
    <s v="12 Bougainvillea Dr. Exfiltration"/>
    <s v="Not provided."/>
    <s v="Grass Swales without Swale Blocks or Raised Culverts"/>
    <x v="0"/>
    <x v="3"/>
    <n v="1"/>
    <n v="0.1"/>
    <x v="0"/>
    <n v="1"/>
    <s v="Not provided"/>
    <n v="300"/>
    <s v="Not provided"/>
    <s v="Not provided"/>
    <s v="N/A"/>
    <s v="Structural"/>
    <s v="Completed"/>
    <x v="0"/>
    <s v="Banana River Lagoon"/>
    <s v="Not provided"/>
    <s v="Not provided"/>
    <s v="Not provided"/>
  </r>
  <r>
    <x v="1"/>
    <s v="Not provided"/>
    <s v="CB-10"/>
    <s v="9th St S &amp; Brevard Ave. Exfiltration"/>
    <s v="Not provided."/>
    <s v="Grass Swales without Swale Blocks or Raised Culverts"/>
    <x v="0"/>
    <x v="3"/>
    <n v="0.1"/>
    <n v="0.02"/>
    <x v="0"/>
    <n v="0.1"/>
    <s v="Not provided"/>
    <n v="300"/>
    <s v="Not provided"/>
    <s v="Not provided"/>
    <s v="N/A"/>
    <s v="Structural"/>
    <s v="Completed"/>
    <x v="0"/>
    <s v="Banana River Lagoon"/>
    <s v="Not provided"/>
    <s v="Not provided"/>
    <s v="Not provided"/>
  </r>
  <r>
    <x v="1"/>
    <s v="Not provided"/>
    <s v="CB-11"/>
    <s v="321 Jack Dr. Exfiltration"/>
    <s v="Not provided."/>
    <s v="Grass Swales without Swale Blocks or Raised Culverts"/>
    <x v="0"/>
    <x v="3"/>
    <n v="0.42"/>
    <n v="0.06"/>
    <x v="0"/>
    <n v="0.7"/>
    <s v="Not provided"/>
    <n v="120"/>
    <s v="Not provided"/>
    <s v="Not provided"/>
    <s v="N/A"/>
    <s v="Structural"/>
    <s v="Completed"/>
    <x v="0"/>
    <s v="Banana River Lagoon"/>
    <s v="Not provided"/>
    <s v="Not provided"/>
    <s v="Not provided"/>
  </r>
  <r>
    <x v="1"/>
    <s v="Not provided"/>
    <s v="CB-12"/>
    <s v="125 Cedar Ave. Exfiltration"/>
    <s v="Not provided."/>
    <s v="Grass Swales without Swale Blocks or Raised Culverts"/>
    <x v="0"/>
    <x v="3"/>
    <n v="1"/>
    <n v="0.2"/>
    <x v="0"/>
    <n v="0.9"/>
    <s v="Not provided"/>
    <n v="120"/>
    <s v="Not provided"/>
    <s v="Not provided"/>
    <s v="N/A"/>
    <s v="Structural"/>
    <s v="Completed"/>
    <x v="0"/>
    <s v="Banana River Lagoon"/>
    <s v="Not provided"/>
    <s v="Not provided"/>
    <s v="Not provided"/>
  </r>
  <r>
    <x v="1"/>
    <s v="Not provided"/>
    <s v="CB-13"/>
    <s v="Meade Bioretention"/>
    <s v="Not provided."/>
    <s v="Grass Swales without Swale Blocks or Raised Culverts"/>
    <x v="0"/>
    <x v="3"/>
    <n v="0.01"/>
    <n v="0"/>
    <x v="0"/>
    <n v="0.01"/>
    <s v="Not provided"/>
    <n v="300"/>
    <s v="Not provided"/>
    <s v="Not provided"/>
    <s v="N/A"/>
    <s v="Structural"/>
    <s v="Completed"/>
    <x v="0"/>
    <s v="Banana River Lagoon"/>
    <s v="Not provided"/>
    <s v="Not provided"/>
    <s v="Not provided"/>
  </r>
  <r>
    <x v="1"/>
    <s v="Not provided"/>
    <s v="CB-14"/>
    <s v="Osceola E Bioretention"/>
    <s v="Not provided."/>
    <s v="Grass Swales without Swale Blocks or Raised Culverts"/>
    <x v="0"/>
    <x v="3"/>
    <s v="Not provided"/>
    <s v="Not provided"/>
    <x v="3"/>
    <s v="Not provided"/>
    <s v="Not provided"/>
    <s v="Not provided"/>
    <s v="Not provided"/>
    <s v="Not provided"/>
    <s v="N/A"/>
    <s v="Structural"/>
    <s v="Completed"/>
    <x v="0"/>
    <s v="Banana River Lagoon"/>
    <s v="Not provided"/>
    <s v="Not provided"/>
    <s v="Not provided"/>
  </r>
  <r>
    <x v="1"/>
    <s v="Not provided"/>
    <s v="CB-15"/>
    <s v="4th St. N Bioretention"/>
    <s v="Not provided."/>
    <s v="Grass Swales without Swale Blocks or Raised Culverts"/>
    <x v="0"/>
    <x v="3"/>
    <n v="1"/>
    <n v="0.3"/>
    <x v="0"/>
    <n v="0.1"/>
    <s v="Not provided"/>
    <n v="120"/>
    <s v="Not provided"/>
    <s v="Not provided"/>
    <s v="N/A"/>
    <s v="Structural"/>
    <s v="Completed"/>
    <x v="0"/>
    <s v="Banana River Lagoon"/>
    <s v="Not provided"/>
    <s v="Not provided"/>
    <s v="Not provided"/>
  </r>
  <r>
    <x v="1"/>
    <s v="Not provided"/>
    <s v="CB-16"/>
    <s v="4th St. S Bioretention"/>
    <s v="Not provided."/>
    <s v="Grass Swales without Swale Blocks or Raised Culverts"/>
    <x v="0"/>
    <x v="3"/>
    <n v="2"/>
    <n v="0.5"/>
    <x v="0"/>
    <n v="0.5"/>
    <s v="Not provided"/>
    <n v="120"/>
    <s v="Not provided"/>
    <s v="Not provided"/>
    <s v="N/A"/>
    <s v="Structural"/>
    <s v="Completed"/>
    <x v="0"/>
    <s v="Banana River Lagoon"/>
    <s v="Not provided"/>
    <s v="Not provided"/>
    <s v="Not provided"/>
  </r>
  <r>
    <x v="1"/>
    <s v="Not provided"/>
    <s v="CB-17"/>
    <s v="3rd St. South N Bioretention"/>
    <s v="Not provided."/>
    <s v="Grass Swales without Swale Blocks or Raised Culverts"/>
    <x v="0"/>
    <x v="3"/>
    <s v="Not provided"/>
    <s v="Not provided"/>
    <x v="3"/>
    <s v="Not provided"/>
    <s v="Not provided"/>
    <s v="Not provided"/>
    <s v="Not provided"/>
    <s v="Not provided"/>
    <s v="N/A"/>
    <s v="Structural"/>
    <s v="Completed"/>
    <x v="0"/>
    <s v="Banana River Lagoon"/>
    <s v="Not provided"/>
    <s v="Not provided"/>
    <s v="Not provided"/>
  </r>
  <r>
    <x v="1"/>
    <s v="Not provided"/>
    <s v="CB-18"/>
    <s v="3rd St. South S Bioretention"/>
    <s v="Not provided."/>
    <s v="Grass Swales without Swale Blocks or Raised Culverts"/>
    <x v="0"/>
    <x v="3"/>
    <s v="Not provided"/>
    <s v="Not provided"/>
    <x v="3"/>
    <s v="Not provided"/>
    <s v="Not provided"/>
    <s v="Not provided"/>
    <s v="Not provided"/>
    <s v="Not provided"/>
    <s v="N/A"/>
    <s v="Structural"/>
    <s v="Completed"/>
    <x v="0"/>
    <s v="Banana River Lagoon"/>
    <s v="Not provided"/>
    <s v="Not provided"/>
    <s v="Not provided"/>
  </r>
  <r>
    <x v="1"/>
    <s v="Not provided"/>
    <s v="CB-19"/>
    <s v="Holiday Lane Bioretention"/>
    <s v="Not provided."/>
    <s v="Grass Swales without Swale Blocks or Raised Culverts"/>
    <x v="0"/>
    <x v="3"/>
    <n v="34"/>
    <n v="7.3"/>
    <x v="0"/>
    <n v="5.2"/>
    <s v="Not provided"/>
    <n v="1200"/>
    <s v="Not provided"/>
    <s v="Not provided"/>
    <s v="N/A"/>
    <s v="Structural"/>
    <s v="Completed"/>
    <x v="0"/>
    <s v="Banana River Lagoon"/>
    <s v="Not provided"/>
    <s v="Not provided"/>
    <s v="Not provided"/>
  </r>
  <r>
    <x v="1"/>
    <s v="Not provided"/>
    <s v="CB-20"/>
    <s v="S Banana/St. Lucie Swale"/>
    <s v="Not provided."/>
    <s v="Grass Swales without Swale Blocks or Raised Culverts"/>
    <x v="0"/>
    <x v="3"/>
    <n v="13"/>
    <n v="2.8"/>
    <x v="0"/>
    <n v="3.8"/>
    <s v="Not provided"/>
    <n v="120"/>
    <s v="Not provided"/>
    <s v="Not provided"/>
    <s v="N/A"/>
    <s v="Structural"/>
    <s v="Completed"/>
    <x v="0"/>
    <s v="Banana River Lagoon"/>
    <s v="Not provided"/>
    <s v="Not provided"/>
    <s v="Not provided"/>
  </r>
  <r>
    <x v="1"/>
    <s v="Not provided"/>
    <s v="CB-21"/>
    <s v="S Banana/St. Lucie Swale"/>
    <s v="Not provided."/>
    <s v="Grass Swales without Swale Blocks or Raised Culverts"/>
    <x v="0"/>
    <x v="3"/>
    <n v="2"/>
    <n v="0.2"/>
    <x v="0"/>
    <n v="0.8"/>
    <s v="Not provided"/>
    <n v="120"/>
    <s v="Not provided"/>
    <s v="Not provided"/>
    <s v="N/A"/>
    <s v="Structural"/>
    <s v="Completed"/>
    <x v="0"/>
    <s v="Banana River Lagoon"/>
    <s v="Not provided"/>
    <s v="Not provided"/>
    <s v="Not provided"/>
  </r>
  <r>
    <x v="1"/>
    <s v="Not provided"/>
    <s v="CB-22"/>
    <s v="Banana River Retention"/>
    <s v="Not provided."/>
    <s v="Dry Detention Pond"/>
    <x v="0"/>
    <x v="3"/>
    <n v="2"/>
    <n v="0.4"/>
    <x v="0"/>
    <n v="1.1000000000000001"/>
    <s v="Not provided"/>
    <n v="1500"/>
    <s v="Not provided"/>
    <s v="Not provided"/>
    <s v="N/A"/>
    <s v="Structural"/>
    <s v="Completed"/>
    <x v="0"/>
    <s v="Banana River Lagoon"/>
    <s v="Not provided"/>
    <s v="Not provided"/>
    <s v="Not provided"/>
  </r>
  <r>
    <x v="1"/>
    <s v="Not provided"/>
    <s v="CB-23"/>
    <s v="Banana River Retention"/>
    <s v="Not provided."/>
    <s v="Dry Detention Pond"/>
    <x v="0"/>
    <x v="3"/>
    <n v="2"/>
    <n v="0.5"/>
    <x v="0"/>
    <n v="1.4"/>
    <s v="Not provided"/>
    <n v="1500"/>
    <s v="Not provided"/>
    <s v="Not provided"/>
    <s v="N/A"/>
    <s v="Structural"/>
    <s v="Completed"/>
    <x v="0"/>
    <s v="Banana River Lagoon"/>
    <s v="Not provided"/>
    <s v="Not provided"/>
    <s v="Not provided"/>
  </r>
  <r>
    <x v="1"/>
    <s v="Not provided"/>
    <s v="CB-24"/>
    <s v="Minutemen/ Country Club Swale"/>
    <s v="Not provided."/>
    <s v="Grass Swales without Swale Blocks or Raised Culverts"/>
    <x v="0"/>
    <x v="3"/>
    <n v="7"/>
    <n v="1.6"/>
    <x v="0"/>
    <n v="1.9"/>
    <s v="Not provided"/>
    <n v="120"/>
    <s v="Not provided"/>
    <s v="Not provided"/>
    <s v="N/A"/>
    <s v="Structural"/>
    <s v="Completed"/>
    <x v="0"/>
    <s v="Banana River Lagoon"/>
    <s v="Not provided"/>
    <s v="Not provided"/>
    <s v="Not provided"/>
  </r>
  <r>
    <x v="1"/>
    <s v="Not provided"/>
    <s v="CB-25"/>
    <s v="Palm Ave. Swale"/>
    <s v="Not provided."/>
    <s v="Grass Swales without Swale Blocks or Raised Culverts"/>
    <x v="0"/>
    <x v="3"/>
    <n v="0"/>
    <n v="0"/>
    <x v="0"/>
    <n v="0.2"/>
    <s v="Not provided"/>
    <n v="120"/>
    <s v="Not provided"/>
    <s v="Not provided"/>
    <s v="N/A"/>
    <s v="Structural"/>
    <s v="Completed"/>
    <x v="0"/>
    <s v="Banana River Lagoon"/>
    <s v="Not provided"/>
    <s v="Not provided"/>
    <s v="Not provided"/>
  </r>
  <r>
    <x v="1"/>
    <s v="Not provided"/>
    <s v="CB-26"/>
    <s v="Minutemen/ CBHS"/>
    <s v="Not provided."/>
    <s v="Grass Swales without Swale Blocks or Raised Culverts"/>
    <x v="0"/>
    <x v="3"/>
    <n v="20"/>
    <n v="4.8"/>
    <x v="0"/>
    <n v="1.3"/>
    <s v="Not provided"/>
    <n v="500"/>
    <s v="Not provided"/>
    <s v="Not provided"/>
    <s v="N/A"/>
    <s v="Structural"/>
    <s v="Completed"/>
    <x v="0"/>
    <s v="Banana River Lagoon"/>
    <s v="Not provided"/>
    <s v="Not provided"/>
    <s v="Not provided"/>
  </r>
  <r>
    <x v="1"/>
    <s v="Not provided"/>
    <s v="CB-27"/>
    <s v="Minutemen/ PW Complex Swale"/>
    <s v="Not provided."/>
    <s v="Grass Swales without Swale Blocks or Raised Culverts"/>
    <x v="0"/>
    <x v="3"/>
    <n v="4"/>
    <n v="0.8"/>
    <x v="0"/>
    <n v="1.9"/>
    <s v="Not provided"/>
    <n v="3000"/>
    <s v="Not provided"/>
    <s v="Not provided"/>
    <s v="N/A"/>
    <s v="Structural"/>
    <s v="Completed"/>
    <x v="0"/>
    <s v="Banana River Lagoon"/>
    <s v="Not provided"/>
    <s v="Not provided"/>
    <s v="Not provided"/>
  </r>
  <r>
    <x v="1"/>
    <s v="Not provided"/>
    <s v="CB-28"/>
    <s v="Tom Warriner/ PW Complex Swale"/>
    <s v="Not provided."/>
    <s v="Grass Swales without Swale Blocks or Raised Culverts"/>
    <x v="0"/>
    <x v="3"/>
    <n v="3"/>
    <n v="0.4"/>
    <x v="0"/>
    <n v="0.9"/>
    <s v="Not provided"/>
    <n v="3000"/>
    <s v="Not provided"/>
    <s v="Not provided"/>
    <s v="N/A"/>
    <s v="Structural"/>
    <s v="Completed"/>
    <x v="0"/>
    <s v="Banana River Lagoon"/>
    <s v="Not provided"/>
    <s v="Not provided"/>
    <s v="Not provided"/>
  </r>
  <r>
    <x v="1"/>
    <s v="Not provided"/>
    <s v="CB-29"/>
    <s v="Shepard Drive Swale"/>
    <s v="Not provided."/>
    <s v="Grass Swales without Swale Blocks or Raised Culverts"/>
    <x v="0"/>
    <x v="3"/>
    <n v="3"/>
    <n v="0.5"/>
    <x v="0"/>
    <n v="0.6"/>
    <s v="Not provided"/>
    <n v="120"/>
    <s v="Not provided"/>
    <s v="Not provided"/>
    <s v="N/A"/>
    <s v="Structural"/>
    <s v="Completed"/>
    <x v="0"/>
    <s v="Banana River Lagoon"/>
    <s v="Not provided"/>
    <s v="Not provided"/>
    <s v="Not provided"/>
  </r>
  <r>
    <x v="1"/>
    <s v="Not provided"/>
    <s v="CB-30"/>
    <s v="Shepard Drive Swale"/>
    <s v="Not provided."/>
    <s v="Grass Swales without Swale Blocks or Raised Culverts"/>
    <x v="0"/>
    <x v="3"/>
    <n v="5"/>
    <n v="0.4"/>
    <x v="0"/>
    <n v="1.3"/>
    <s v="Not provided"/>
    <n v="120"/>
    <s v="Not provided"/>
    <s v="Not provided"/>
    <s v="N/A"/>
    <s v="Structural"/>
    <s v="Completed"/>
    <x v="0"/>
    <s v="Banana River Lagoon"/>
    <s v="Not provided"/>
    <s v="Not provided"/>
    <s v="Not provided"/>
  </r>
  <r>
    <x v="1"/>
    <s v="Not provided"/>
    <s v="CB-31"/>
    <s v="W Gadsden/ Banana Swale"/>
    <s v="Not provided."/>
    <s v="Grass Swales without Swale Blocks or Raised Culverts"/>
    <x v="1"/>
    <x v="1"/>
    <s v="N/A"/>
    <s v="N/A"/>
    <x v="1"/>
    <s v="N/A"/>
    <s v="N/A"/>
    <s v="N/A"/>
    <s v="N/A"/>
    <s v="N/A"/>
    <s v="N/A"/>
    <s v="Structural"/>
    <s v="Cancelled"/>
    <x v="0"/>
    <s v="Banana River Lagoon"/>
    <s v="N/A"/>
    <s v="N/A"/>
    <s v="N/A"/>
  </r>
  <r>
    <x v="1"/>
    <s v="Not provided"/>
    <s v="CB-32"/>
    <s v="W Pasco/ Banana Swale"/>
    <s v="Not provided."/>
    <s v="Grass Swales without Swale Blocks or Raised Culverts"/>
    <x v="0"/>
    <x v="3"/>
    <n v="2"/>
    <n v="0.2"/>
    <x v="0"/>
    <n v="1"/>
    <s v="Not provided"/>
    <n v="120"/>
    <s v="Not provided"/>
    <s v="Not provided"/>
    <s v="N/A"/>
    <s v="Structural"/>
    <s v="Completed"/>
    <x v="0"/>
    <s v="Banana River Lagoon"/>
    <s v="Not provided"/>
    <s v="Not provided"/>
    <s v="Not provided"/>
  </r>
  <r>
    <x v="1"/>
    <s v="Not provided"/>
    <s v="CB-33"/>
    <s v="W Pasco/ Banana Swale"/>
    <s v="Not provided."/>
    <s v="Grass Swales without Swale Blocks or Raised Culverts"/>
    <x v="0"/>
    <x v="3"/>
    <n v="3"/>
    <n v="0.4"/>
    <x v="0"/>
    <n v="2.2999999999999998"/>
    <s v="Not provided"/>
    <n v="120"/>
    <s v="Not provided"/>
    <s v="Not provided"/>
    <s v="N/A"/>
    <s v="Structural"/>
    <s v="Completed"/>
    <x v="0"/>
    <s v="Banana River Lagoon"/>
    <s v="Not provided"/>
    <s v="Not provided"/>
    <s v="Not provided"/>
  </r>
  <r>
    <x v="1"/>
    <s v="Not provided"/>
    <s v="CB-34"/>
    <s v="32 Inlet Baskets"/>
    <s v="Not provided."/>
    <s v="BMP Cleanout"/>
    <x v="0"/>
    <x v="3"/>
    <n v="32"/>
    <n v="10.3"/>
    <x v="0"/>
    <s v="Not provided"/>
    <s v="Not provided"/>
    <n v="1200"/>
    <s v="Not provided"/>
    <s v="Not provided"/>
    <s v="N/A"/>
    <s v="Non-structural"/>
    <s v="Completed"/>
    <x v="0"/>
    <s v="Banana River Lagoon"/>
    <s v="N/A"/>
    <s v="N/A"/>
    <s v="Not provided"/>
  </r>
  <r>
    <x v="1"/>
    <s v="Not provided"/>
    <s v="CB-35"/>
    <s v="Dino Museum/ Store,  250 W CB Causeway"/>
    <s v="Not provided."/>
    <s v="Dry Detention Pond"/>
    <x v="0"/>
    <x v="3"/>
    <n v="4"/>
    <n v="0.9"/>
    <x v="0"/>
    <n v="2.1"/>
    <s v="Not provided"/>
    <n v="120"/>
    <s v="Not provided"/>
    <s v="Not provided"/>
    <s v="N/A"/>
    <s v="Structural"/>
    <s v="Completed"/>
    <x v="0"/>
    <s v="Banana River Lagoon"/>
    <s v="Not provided"/>
    <s v="Not provided"/>
    <s v="Not provided"/>
  </r>
  <r>
    <x v="1"/>
    <s v="Not provided"/>
    <s v="CB-36"/>
    <s v="332-334 N Orlando"/>
    <s v="Not provided."/>
    <s v="Dry Detention Pond"/>
    <x v="0"/>
    <x v="3"/>
    <n v="1"/>
    <n v="0.2"/>
    <x v="0"/>
    <n v="0.5"/>
    <s v="Not provided"/>
    <n v="120"/>
    <s v="Not provided"/>
    <s v="Not provided"/>
    <s v="N/A"/>
    <s v="Structural"/>
    <s v="Completed"/>
    <x v="0"/>
    <s v="Banana River Lagoon"/>
    <s v="Not provided"/>
    <s v="Not provided"/>
    <s v="Not provided"/>
  </r>
  <r>
    <x v="1"/>
    <s v="Not provided"/>
    <s v="CB-37"/>
    <s v="Street Sweeping"/>
    <s v="Not provided."/>
    <s v="Street Sweeping"/>
    <x v="0"/>
    <x v="1"/>
    <n v="84"/>
    <n v="54"/>
    <x v="0"/>
    <s v="N/A"/>
    <n v="38405"/>
    <n v="38405"/>
    <s v="Not provided"/>
    <n v="38405"/>
    <s v="N/A"/>
    <s v="Non-structural"/>
    <s v="Ongoing"/>
    <x v="0"/>
    <s v="Banana River Lagoon"/>
    <s v="N/A"/>
    <s v="N/A"/>
    <s v="Not provided"/>
  </r>
  <r>
    <x v="1"/>
    <s v="N/A"/>
    <s v="CB-38"/>
    <s v="Education Efforts"/>
    <s v="FYN; landscape, irrigation, fertilizer, and pet waste ordinances; public service announcements (PSAs); pamphlets; website; Illicit Discharge Program."/>
    <s v="Education Efforts"/>
    <x v="0"/>
    <x v="1"/>
    <n v="1098"/>
    <n v="228"/>
    <x v="0"/>
    <s v="N/A"/>
    <n v="5000"/>
    <n v="5000"/>
    <s v="Not provided"/>
    <n v="5000"/>
    <s v="N/A"/>
    <s v="Non-structural"/>
    <s v="Ongoing"/>
    <x v="0"/>
    <s v="Banana River Lagoon"/>
    <s v="N/A"/>
    <s v="N/A"/>
    <s v="Not provided"/>
  </r>
  <r>
    <x v="1"/>
    <s v="EPA/ DEP/ SJRWMD"/>
    <s v="CB-39"/>
    <s v="Minutemen Corridor Stormwater Improvement/ LID"/>
    <s v="Tree canopy, rain gardens/ rain tanks/ previous pavers/ BAM."/>
    <s v="BMP Treatment Train"/>
    <x v="0"/>
    <x v="5"/>
    <s v="TBD"/>
    <s v="TBD"/>
    <x v="0"/>
    <n v="20.3"/>
    <n v="2975671"/>
    <n v="12000"/>
    <s v="TMDL/ EPA/ Legislative/ SJRWMD"/>
    <n v="779464"/>
    <s v="G0412"/>
    <s v="Structural"/>
    <s v="Design"/>
    <x v="0"/>
    <s v="Banana River Lagoon"/>
    <s v="Not provided"/>
    <s v="Not provided"/>
    <s v="Not provided"/>
  </r>
  <r>
    <x v="1"/>
    <s v="Not provided"/>
    <s v="CB-40"/>
    <s v="Convair Cove SW LID"/>
    <s v="Tree canopy, rain gardens/ rain tanks/ previous pavers/ BAM."/>
    <s v="BMP Treatment Train"/>
    <x v="3"/>
    <x v="8"/>
    <s v="TBD"/>
    <s v="TBD"/>
    <x v="0"/>
    <n v="11"/>
    <n v="276000"/>
    <n v="3000"/>
    <s v="TBD"/>
    <s v="TBD"/>
    <s v="TBD"/>
    <s v="Structural"/>
    <s v="Envisioned, but Not Funded"/>
    <x v="5"/>
    <s v="Banana River Lagoon"/>
    <n v="28.320034"/>
    <n v="-80.611035000000001"/>
    <s v="2017"/>
  </r>
  <r>
    <x v="1"/>
    <s v="Not provided"/>
    <s v="CB-41"/>
    <s v="1st Street N./ Brevard SW LID"/>
    <s v="Tree canopy, rain gardens/ rain tanks/ previous pavers/ BAM."/>
    <s v="BMP Treatment Train"/>
    <x v="3"/>
    <x v="8"/>
    <s v="TBD"/>
    <s v="TBD"/>
    <x v="0"/>
    <n v="12.6"/>
    <n v="250000"/>
    <n v="3000"/>
    <s v="TBD"/>
    <s v="TBD"/>
    <s v="TBD"/>
    <s v="Structural"/>
    <m/>
    <x v="4"/>
    <s v="Banana River Lagoon"/>
    <s v="Not provided"/>
    <s v="Not provided"/>
    <d v="1905-07-12T00:00:00"/>
  </r>
  <r>
    <x v="3"/>
    <s v="Not provided"/>
    <s v="IHB-01"/>
    <s v="N. Osceola Drive"/>
    <s v="Not provided."/>
    <s v="Exfiltration Trench"/>
    <x v="0"/>
    <x v="3"/>
    <n v="41.79"/>
    <n v="5.92"/>
    <x v="0"/>
    <n v="8.6161747651000002"/>
    <n v="60000"/>
    <n v="500"/>
    <s v="Not provided"/>
    <n v="60000"/>
    <s v="N/A"/>
    <s v="Structural"/>
    <s v="Completed"/>
    <x v="0"/>
    <s v="Banana River Lagoon"/>
    <s v="Not provided"/>
    <s v="Not provided"/>
    <s v="Not provided"/>
  </r>
  <r>
    <x v="3"/>
    <s v="Not provided"/>
    <s v="IHB-02"/>
    <s v="Datura Drive"/>
    <s v="Not provided."/>
    <s v="Exfiltration Trench"/>
    <x v="0"/>
    <x v="3"/>
    <n v="3.53"/>
    <n v="0.53"/>
    <x v="0"/>
    <n v="0.72658181820000001"/>
    <n v="50000"/>
    <n v="300"/>
    <s v="Not provided"/>
    <n v="50000"/>
    <s v="N/A"/>
    <s v="Structural"/>
    <s v="Completed"/>
    <x v="0"/>
    <s v="Banana River Lagoon"/>
    <s v="Not provided"/>
    <s v="Not provided"/>
    <s v="Not provided"/>
  </r>
  <r>
    <x v="3"/>
    <s v="Not provided"/>
    <s v="IHB-03"/>
    <s v="Coquina Palms Subdivision"/>
    <s v="Not provided."/>
    <s v="100% On-site Retention"/>
    <x v="0"/>
    <x v="3"/>
    <n v="61"/>
    <n v="10.9"/>
    <x v="0"/>
    <n v="6.3"/>
    <s v="N/A"/>
    <s v="Not provided"/>
    <s v="Not provided"/>
    <s v="Not provided"/>
    <s v="N/A"/>
    <s v="Structural"/>
    <s v="Completed"/>
    <x v="0"/>
    <s v="Banana River Lagoon"/>
    <s v="Not provided"/>
    <s v="Not provided"/>
    <s v="Not provided"/>
  </r>
  <r>
    <x v="3"/>
    <s v="Not provided"/>
    <s v="IHB-04"/>
    <s v="Education Efforts"/>
    <s v="Landscape, irrigation, fertilizer, and pet waste ordinances; pamphlets, illicit discharge program."/>
    <s v="Education Efforts"/>
    <x v="0"/>
    <x v="1"/>
    <n v="647.79500000000007"/>
    <n v="120.81899999999999"/>
    <x v="0"/>
    <s v="N/A"/>
    <s v="Not provided"/>
    <s v="Not provided"/>
    <s v="Not provided"/>
    <s v="Not provided"/>
    <s v="N/A"/>
    <s v="Non-structural"/>
    <s v="Ongoing"/>
    <x v="0"/>
    <s v="Banana River Lagoon"/>
    <s v="N/A"/>
    <s v="N/A"/>
    <s v="Not provided"/>
  </r>
  <r>
    <x v="3"/>
    <s v="Not provided"/>
    <s v="IHB-05"/>
    <s v="Inlet Cleaning"/>
    <s v="Not provided."/>
    <s v="BMP Cleanout"/>
    <x v="0"/>
    <x v="1"/>
    <n v="7.12"/>
    <n v="4.37"/>
    <x v="0"/>
    <s v="Not provided"/>
    <s v="N/A"/>
    <s v="N/A"/>
    <s v="Not provided"/>
    <s v="Not provided"/>
    <s v="N/A"/>
    <s v="Non-structural"/>
    <s v="Ongoing"/>
    <x v="0"/>
    <s v="Banana River Lagoon"/>
    <s v="N/A"/>
    <s v="N/A"/>
    <s v="Not provided"/>
  </r>
  <r>
    <x v="3"/>
    <s v="N/A"/>
    <s v="IHB-06"/>
    <s v="Street Sweeping"/>
    <s v="Not provided."/>
    <s v="Street Sweeping"/>
    <x v="0"/>
    <x v="1"/>
    <n v="149.71"/>
    <n v="95.99"/>
    <x v="0"/>
    <s v="N/A"/>
    <n v="9800"/>
    <s v="Not provided"/>
    <s v="Not provided"/>
    <n v="9800"/>
    <s v="N/A"/>
    <s v="Non-structural"/>
    <s v="Ongoing"/>
    <x v="0"/>
    <s v="Banana River Lagoon"/>
    <s v="N/A"/>
    <s v="N/A"/>
    <s v="Not provided"/>
  </r>
  <r>
    <x v="3"/>
    <s v="Not provided"/>
    <s v="IHB-07"/>
    <s v="Gleason Park Phase 1"/>
    <s v="Not provided."/>
    <s v="Wet Detention Pond"/>
    <x v="0"/>
    <x v="3"/>
    <n v="382.2"/>
    <n v="118.56"/>
    <x v="0"/>
    <n v="128.88"/>
    <n v="135000"/>
    <n v="200"/>
    <s v="Not provided"/>
    <n v="135000"/>
    <s v="N/A"/>
    <s v="Structural"/>
    <s v="Completed"/>
    <x v="0"/>
    <s v="Banana River Lagoon"/>
    <s v="Not provided"/>
    <s v="Not provided"/>
    <s v="Not provided"/>
  </r>
  <r>
    <x v="3"/>
    <s v="Not provided"/>
    <s v="IHB-08"/>
    <s v="Atlantic Ave. Swale"/>
    <s v="Not provided."/>
    <s v="Grass Swales without Swale Blocks or Raised Culverts"/>
    <x v="0"/>
    <x v="3"/>
    <n v="8"/>
    <n v="1.2"/>
    <x v="0"/>
    <n v="0.96"/>
    <s v="N/A"/>
    <s v="N/A"/>
    <s v="Not provided"/>
    <s v="Not provided"/>
    <s v="N/A"/>
    <s v="Structural"/>
    <s v="Completed"/>
    <x v="0"/>
    <s v="Banana River Lagoon"/>
    <s v="Not provided"/>
    <s v="Not provided"/>
    <s v="Not provided"/>
  </r>
  <r>
    <x v="3"/>
    <s v="Not provided"/>
    <s v="IHB-09"/>
    <s v="Gleason Park Irrigation"/>
    <s v="Not provided."/>
    <s v="Reclaimed Water"/>
    <x v="0"/>
    <x v="2"/>
    <n v="47.78"/>
    <n v="8.3800000000000008"/>
    <x v="0"/>
    <n v="128.88"/>
    <s v="N/A"/>
    <s v="N/A"/>
    <s v="Not provided"/>
    <s v="Not provided"/>
    <s v="N/A"/>
    <s v="Structural"/>
    <s v="Ongoing"/>
    <x v="0"/>
    <s v="Banana River Lagoon"/>
    <s v="Not provided"/>
    <s v="Not provided"/>
    <s v="Not provided"/>
  </r>
  <r>
    <x v="3"/>
    <s v="Not provided"/>
    <s v="IHB-10"/>
    <s v="Indian Harbour Beach Condo Pond"/>
    <s v="(Previously named Lift Station Pond)"/>
    <s v="Dry Detention Pond"/>
    <x v="0"/>
    <x v="5"/>
    <n v="47.66"/>
    <n v="8.3699999999999992"/>
    <x v="0"/>
    <n v="2.35"/>
    <n v="13277"/>
    <s v="N/A"/>
    <s v="Not provided"/>
    <n v="13277"/>
    <s v="N/A"/>
    <s v="Structural"/>
    <s v="Completed"/>
    <x v="0"/>
    <s v="Banana River Lagoon"/>
    <s v="Not provided"/>
    <s v="Not provided"/>
    <s v="Not provided"/>
  </r>
  <r>
    <x v="3"/>
    <s v="Not provided"/>
    <s v="IHB-11"/>
    <s v="Fire Station Exfiltration"/>
    <s v="Not provided."/>
    <s v="Exfiltration Trench"/>
    <x v="0"/>
    <x v="3"/>
    <n v="9"/>
    <n v="1"/>
    <x v="0"/>
    <n v="2.8"/>
    <n v="11481"/>
    <s v="N/A"/>
    <s v="Not provided"/>
    <n v="11481"/>
    <s v="N/A"/>
    <s v="Structural"/>
    <s v="Completed"/>
    <x v="0"/>
    <s v="Banana River Lagoon"/>
    <s v="Not provided"/>
    <s v="Not provided"/>
    <s v="Not provided"/>
  </r>
  <r>
    <x v="3"/>
    <s v="Not provided"/>
    <s v="IHB-12"/>
    <s v="School Road at Park Drive"/>
    <s v="Not provided."/>
    <s v="Exfiltration Trench"/>
    <x v="0"/>
    <x v="3"/>
    <n v="15"/>
    <n v="3.1"/>
    <x v="0"/>
    <n v="15.8"/>
    <s v="Not provided"/>
    <s v="N/A"/>
    <s v="Not provided"/>
    <s v="Not provided"/>
    <s v="N/A"/>
    <s v="Structural"/>
    <s v="Completed"/>
    <x v="0"/>
    <s v="Banana River Lagoon"/>
    <s v="Not provided"/>
    <s v="Not provided"/>
    <s v="Not provided"/>
  </r>
  <r>
    <x v="3"/>
    <s v="Not provided"/>
    <s v="IHB-13"/>
    <s v="Yuma Drive Exfiltration"/>
    <s v="Not provided."/>
    <s v="Exfiltration Trench"/>
    <x v="0"/>
    <x v="16"/>
    <n v="26"/>
    <n v="5.8"/>
    <x v="0"/>
    <n v="11.15"/>
    <s v="Not provided"/>
    <s v="N/A"/>
    <s v="Not provided"/>
    <s v="Not provided"/>
    <s v="N/A"/>
    <s v="Structural"/>
    <s v="Completed"/>
    <x v="1"/>
    <s v="Banana River Lagoon"/>
    <s v="Not provided"/>
    <s v="Not provided"/>
    <s v="Not provided"/>
  </r>
  <r>
    <x v="3"/>
    <s v="Not provided"/>
    <s v="IHB-14"/>
    <s v="Lime Bay Exfiltration"/>
    <s v="Not provided."/>
    <s v="Exfiltration Trench"/>
    <x v="0"/>
    <x v="16"/>
    <n v="27.75"/>
    <n v="6.17"/>
    <x v="0"/>
    <n v="31.22"/>
    <s v="Not provided"/>
    <s v="N/A"/>
    <s v="Not provided"/>
    <s v="Not provided"/>
    <s v="N/A"/>
    <s v="Structural"/>
    <s v="Completed"/>
    <x v="1"/>
    <s v="Banana River Lagoon"/>
    <s v="Not provided"/>
    <s v="Not provided"/>
    <s v="Not provided"/>
  </r>
  <r>
    <x v="3"/>
    <s v="Not provided"/>
    <s v="IHB-15"/>
    <s v="Andros Lane Exfiltration"/>
    <s v="Not provided."/>
    <s v="Exfiltration Trench"/>
    <x v="0"/>
    <x v="16"/>
    <n v="4"/>
    <n v="0.5"/>
    <x v="0"/>
    <n v="8.73"/>
    <s v="Not provided"/>
    <s v="N/A"/>
    <s v="Not provided"/>
    <s v="Not provided"/>
    <s v="N/A"/>
    <s v="Structural"/>
    <s v="Completed"/>
    <x v="1"/>
    <s v="Banana River Lagoon"/>
    <s v="Not provided"/>
    <s v="Not provided"/>
    <s v="Not provided"/>
  </r>
  <r>
    <x v="3"/>
    <s v="Not provided"/>
    <s v="IHB-16"/>
    <s v="Indian Harbour Beach Condo Pond"/>
    <s v="Not provided."/>
    <s v="Dry Detention Pond"/>
    <x v="1"/>
    <x v="1"/>
    <s v="N/A"/>
    <s v="N/A"/>
    <x v="1"/>
    <s v="N/A"/>
    <s v="N/A"/>
    <s v="N/A"/>
    <s v="N/A"/>
    <s v="N/A"/>
    <s v="N/A"/>
    <s v="Structural"/>
    <s v="Cancelled"/>
    <x v="2"/>
    <s v="Banana River Lagoon"/>
    <s v="N/A"/>
    <s v="N/A"/>
    <s v="N/A"/>
  </r>
  <r>
    <x v="3"/>
    <s v="Not provided"/>
    <s v="IHB-17"/>
    <s v="Fire Station Exfiltration"/>
    <s v="Not provided."/>
    <s v="Exfiltration Trench"/>
    <x v="0"/>
    <x v="5"/>
    <n v="3.3"/>
    <n v="0.35"/>
    <x v="0"/>
    <n v="2.7947804252770001"/>
    <s v="Not provided"/>
    <s v="N/A"/>
    <s v="Not provided"/>
    <s v="Not provided"/>
    <s v="N/A"/>
    <s v="Structural"/>
    <s v="Completed"/>
    <x v="5"/>
    <s v="Banana River Lagoon"/>
    <s v="Not provided"/>
    <s v="Not provided"/>
    <s v="Not provided"/>
  </r>
  <r>
    <x v="3"/>
    <s v="Not provided"/>
    <s v="IHB-18"/>
    <s v="Inwood Lane Exfiltration"/>
    <s v="Not provided."/>
    <s v="Exfiltration Trench"/>
    <x v="0"/>
    <x v="5"/>
    <n v="8"/>
    <n v="1.1000000000000001"/>
    <x v="0"/>
    <n v="7.723622658891129"/>
    <s v="Not provided"/>
    <s v="N/A"/>
    <s v="Not provided"/>
    <s v="Not provided"/>
    <s v="N/A"/>
    <s v="Structural"/>
    <s v="Completed"/>
    <x v="5"/>
    <s v="Banana River Lagoon"/>
    <s v="Not provided"/>
    <s v="Not provided"/>
    <s v="Not provided"/>
  </r>
  <r>
    <x v="3"/>
    <s v="SOIRL"/>
    <s v="IHB-19"/>
    <s v="Gleason Park Irrigation Expansion"/>
    <s v="Expansion of irrigation in Gleason Park."/>
    <s v="Reclaimed Water"/>
    <x v="0"/>
    <x v="4"/>
    <n v="47.66"/>
    <n v="8.3699999999999992"/>
    <x v="0"/>
    <n v="128.87665205312118"/>
    <n v="11000"/>
    <s v="N/A"/>
    <s v="SOIRL"/>
    <s v="SOIRL - $4,224"/>
    <s v="N/A"/>
    <s v="Structural"/>
    <s v="Envisioned, but Not Funded"/>
    <x v="5"/>
    <s v="Banana River Lagoon"/>
    <s v="Not provided"/>
    <s v="Not provided"/>
    <s v="2017"/>
  </r>
  <r>
    <x v="3"/>
    <s v="Not provided"/>
    <s v="IHB-20"/>
    <s v="Oars and Paddles Dry Pond"/>
    <s v="Dry detention with BAM."/>
    <s v="Dry Detention Pond"/>
    <x v="3"/>
    <x v="10"/>
    <s v="TBD"/>
    <s v="TBD"/>
    <x v="0"/>
    <n v="35.202762708700718"/>
    <s v="TBD"/>
    <s v="TBD"/>
    <s v="TBD"/>
    <s v="TBD"/>
    <s v="N/A"/>
    <s v="Structural"/>
    <s v="Envisioned, but Not Funded"/>
    <x v="5"/>
    <s v="Banana River Lagoon"/>
    <s v="Not provided"/>
    <s v="Not provided"/>
    <s v="TDB"/>
  </r>
  <r>
    <x v="3"/>
    <s v="Not provided"/>
    <s v="IHB-21"/>
    <s v="FDOT Pond #3 Beemats"/>
    <s v="Beemats (6,700 sq. feet)."/>
    <s v="Floating Islands/ Managed Aquatic Plant Systems (MAPS)"/>
    <x v="3"/>
    <x v="10"/>
    <s v="TBD"/>
    <s v="TBD"/>
    <x v="0"/>
    <n v="137.89216378656192"/>
    <n v="10000"/>
    <s v="TBD"/>
    <s v="TBD"/>
    <s v="TBD"/>
    <s v="N/A"/>
    <s v="Structural"/>
    <s v="Envisioned, but Not Funded"/>
    <x v="5"/>
    <s v="Banana River Lagoon"/>
    <s v="Not provided"/>
    <s v="Not provided"/>
    <s v="TBD"/>
  </r>
  <r>
    <x v="3"/>
    <s v="TBD"/>
    <s v="IHB-22"/>
    <s v="Kristi &amp; Pinetree Dr. Swale"/>
    <s v="1000' long swale along Pinetree Dr.; swales with blocks or raised culverts."/>
    <s v="Grass swales with swale blocks or raised culverts"/>
    <x v="3"/>
    <x v="10"/>
    <n v="54"/>
    <n v="12.2"/>
    <x v="0"/>
    <n v="3.6229922974460003"/>
    <n v="12000"/>
    <s v="TBD"/>
    <s v="TBD"/>
    <s v="TBD"/>
    <s v="N/A"/>
    <s v="Structural"/>
    <s v="Envisioned, but Not Funded"/>
    <x v="5"/>
    <s v="Banana River Lagoon"/>
    <s v="Not provided"/>
    <s v="Not provided"/>
    <s v="TBD"/>
  </r>
  <r>
    <x v="3"/>
    <s v="TBD"/>
    <s v="IHB-23"/>
    <s v="Wimico Drive Swale"/>
    <s v="Retention swale, perhaps with BAM, along Wimico Dr.; swales with blocks or raised culverts."/>
    <s v="Grass swales with swale blocks or raised culverts"/>
    <x v="3"/>
    <x v="10"/>
    <n v="23"/>
    <n v="3.3"/>
    <x v="0"/>
    <n v="2.5126751075699998"/>
    <n v="10000"/>
    <s v="TBD"/>
    <s v="TBD"/>
    <s v="TBD"/>
    <s v="N/A"/>
    <s v="Structural"/>
    <s v="Envisioned, but Not Funded"/>
    <x v="5"/>
    <s v="Banana River Lagoon"/>
    <s v="Not provided"/>
    <s v="Not provided"/>
    <s v="TBD"/>
  </r>
  <r>
    <x v="3"/>
    <s v="TBD"/>
    <s v="IHB-24"/>
    <s v="Crispino Wet Pond"/>
    <s v="Construction of 2.9 acre wet pond in Crispino Park (city-owned)."/>
    <s v="Wet Detention Pond"/>
    <x v="3"/>
    <x v="10"/>
    <n v="99.25"/>
    <n v="32.090000000000003"/>
    <x v="0"/>
    <n v="34.238829454483813"/>
    <n v="600000"/>
    <s v="TBD"/>
    <s v="TBD"/>
    <s v="TBD"/>
    <s v="N/A"/>
    <s v="Structural"/>
    <s v="Envisioned, but Not Funded"/>
    <x v="5"/>
    <s v="Banana River Lagoon"/>
    <s v="Not provided"/>
    <s v="Not provided"/>
    <s v="TBD"/>
  </r>
  <r>
    <x v="3"/>
    <s v="SOIRL"/>
    <s v="IHB-25"/>
    <s v="Big Muddy Canal Baffle Box at Cynthia"/>
    <s v="Baffle box installed at major outfall to Big Muddy Canal."/>
    <s v="Baffle Boxes- Second Generation"/>
    <x v="2"/>
    <x v="10"/>
    <s v="TBD"/>
    <s v="TBD"/>
    <x v="0"/>
    <n v="63.8"/>
    <n v="283975"/>
    <s v="TBD"/>
    <s v="SOIRL"/>
    <s v="SOIRL - $26,637"/>
    <s v="N/A"/>
    <s v="Structural"/>
    <s v="Envisioned, but Not Funded"/>
    <x v="5"/>
    <s v="Banana River Lagoon"/>
    <s v="Not provided"/>
    <s v="Not provided"/>
    <s v="2017"/>
  </r>
  <r>
    <x v="3"/>
    <s v="Not provided"/>
    <s v="IHB-26"/>
    <s v="Cheyenne Dr./ Marion Baffle"/>
    <s v="Baffle Box installed at a major outfall to Big Muddy Canal."/>
    <s v="Baffle Boxes- Second Generation"/>
    <x v="2"/>
    <x v="10"/>
    <s v="TBD"/>
    <s v="TBD"/>
    <x v="0"/>
    <s v="TBD"/>
    <s v="Not provided"/>
    <s v="Not provided"/>
    <s v="Not provided"/>
    <s v="Not provided"/>
    <s v="N/A"/>
    <s v="Structural"/>
    <s v="Envisioned, but Not Funded"/>
    <x v="5"/>
    <s v="Banana River Lagoon"/>
    <s v="Not provided"/>
    <s v="Not provided"/>
    <s v="Not provided"/>
  </r>
  <r>
    <x v="3"/>
    <s v="Not provided"/>
    <s v="IHB-27"/>
    <s v="Beach Funeral Home Pervious Parking"/>
    <s v="Provide retention using pervious parking."/>
    <s v="Pervious Pavement"/>
    <x v="2"/>
    <x v="10"/>
    <s v="TBD"/>
    <s v="TBD"/>
    <x v="0"/>
    <s v="TBD"/>
    <s v="Not provided"/>
    <s v="Not provided"/>
    <s v="Not provided"/>
    <s v="Not provided"/>
    <s v="N/A"/>
    <s v="Structural"/>
    <s v="Envisioned, but Not Funded"/>
    <x v="5"/>
    <s v="Banana River Lagoon"/>
    <s v="Not provided"/>
    <s v="Not provided"/>
    <s v="Not provided"/>
  </r>
  <r>
    <x v="3"/>
    <s v="Not provided"/>
    <s v="IHB-28"/>
    <s v="Townhouse Estates Exfiltration"/>
    <s v="Exfiltration or dry pond in residential neighborhood."/>
    <s v="Exfiltration Trench"/>
    <x v="2"/>
    <x v="10"/>
    <s v="TBD"/>
    <s v="TBD"/>
    <x v="0"/>
    <n v="4.9432690368478998"/>
    <n v="15000"/>
    <s v="Not provided"/>
    <s v="Not provided"/>
    <s v="Not provided"/>
    <s v="N/A"/>
    <s v="Structural"/>
    <s v="Envisioned, but Not Funded"/>
    <x v="5"/>
    <s v="Banana River Lagoon"/>
    <s v="Not provided"/>
    <s v="Not provided"/>
    <s v="Not provided"/>
  </r>
  <r>
    <x v="3"/>
    <s v="Not provided"/>
    <s v="IHB-29"/>
    <s v="Palm Springs Swale"/>
    <s v="Swale in entire median (2,200 feet) of Palm Springs Blvd.; swales with blocks or raised culverts."/>
    <s v="Grass swales with swale blocks or raised culverts"/>
    <x v="2"/>
    <x v="10"/>
    <n v="83.1"/>
    <n v="21.3"/>
    <x v="0"/>
    <n v="4.8116448426202005"/>
    <n v="10000"/>
    <s v="Not provided"/>
    <s v="Not provided"/>
    <s v="Not provided"/>
    <s v="N/A"/>
    <s v="Structural"/>
    <s v="Envisioned, but Not Funded"/>
    <x v="5"/>
    <s v="Banana River Lagoon"/>
    <s v="Not provided"/>
    <s v="Not provided"/>
    <s v="Not provided"/>
  </r>
  <r>
    <x v="3"/>
    <s v="Not provided"/>
    <s v="IHB-30"/>
    <s v="Alhambra Exfiltration"/>
    <s v="Indian Head (master plan) exfiltration with 1,330 ft. exfiltration pipe."/>
    <s v="Exfiltration Trench"/>
    <x v="2"/>
    <x v="10"/>
    <n v="62.62"/>
    <n v="9.99"/>
    <x v="0"/>
    <n v="15.57661965109439"/>
    <n v="500000"/>
    <s v="Not provided"/>
    <s v="Not provided"/>
    <s v="Not provided"/>
    <s v="N/A"/>
    <s v="Structural"/>
    <s v="Envisioned, but Not Funded"/>
    <x v="5"/>
    <s v="Banana River Lagoon"/>
    <s v="Not provided"/>
    <s v="Not provided"/>
    <s v="Not provided"/>
  </r>
  <r>
    <x v="3"/>
    <s v="Not provided"/>
    <s v="IHB-31"/>
    <s v="Ronnie Exfiltration Extension"/>
    <s v="Extension of Project IHB-29; additional 500 ft. exfiltration pipe."/>
    <s v="Exfiltration Trench"/>
    <x v="2"/>
    <x v="10"/>
    <n v="15.35"/>
    <n v="2.15"/>
    <x v="0"/>
    <n v="2.1745147619899998"/>
    <n v="200000"/>
    <s v="Not provided"/>
    <s v="Not provided"/>
    <s v="Not provided"/>
    <s v="N/A"/>
    <s v="Structural"/>
    <s v="Envisioned, but Not Funded"/>
    <x v="5"/>
    <s v="Banana River Lagoon"/>
    <s v="Not provided"/>
    <s v="Not provided"/>
    <s v="Not provided"/>
  </r>
  <r>
    <x v="3"/>
    <s v="Not provided"/>
    <s v="IHB-32"/>
    <s v="Atlantic Exfiltration East"/>
    <s v="Jamestown Phase 1 (master plan)with 4,600 ft exfiltration."/>
    <s v="Exfiltration Trench"/>
    <x v="2"/>
    <x v="10"/>
    <n v="187.86"/>
    <n v="26.81"/>
    <x v="0"/>
    <n v="37.623180265842954"/>
    <n v="1400000"/>
    <s v="Not provided"/>
    <s v="Not provided"/>
    <s v="Not provided"/>
    <s v="N/A"/>
    <s v="Structural"/>
    <s v="Envisioned, but Not Funded"/>
    <x v="5"/>
    <s v="Banana River Lagoon"/>
    <s v="Not provided"/>
    <s v="Not provided"/>
    <s v="Not provided"/>
  </r>
  <r>
    <x v="3"/>
    <s v="Not provided"/>
    <s v="IHB-33"/>
    <s v="Atlantic Exfiltration West"/>
    <s v="Jamestown Phase 2 (master plan) exfiltration with weirs, etc."/>
    <s v="Exfiltration Trench"/>
    <x v="2"/>
    <x v="10"/>
    <n v="106.66"/>
    <n v="15.09"/>
    <x v="0"/>
    <n v="31.995056935000001"/>
    <n v="1200000"/>
    <s v="Not provided"/>
    <s v="Not provided"/>
    <s v="Not provided"/>
    <s v="N/A"/>
    <s v="Structural"/>
    <s v="Envisioned, but Not Funded"/>
    <x v="5"/>
    <s v="Banana River Lagoon"/>
    <s v="Not provided"/>
    <s v="Not provided"/>
    <s v="Not provided"/>
  </r>
  <r>
    <x v="3"/>
    <s v="Not provided"/>
    <s v="IHB-34"/>
    <s v="Pinetree Streetscaping"/>
    <s v="LID features including planters, rain garden, porous pavement, and BAM."/>
    <s v="BMP Treatment Train"/>
    <x v="2"/>
    <x v="10"/>
    <s v="TBD"/>
    <s v="TBD"/>
    <x v="0"/>
    <n v="90.973436222642306"/>
    <s v="Not provided"/>
    <s v="Not provided"/>
    <s v="Not provided"/>
    <s v="Not provided"/>
    <s v="N/A"/>
    <s v="Structural"/>
    <s v="Envisioned, but Not Funded"/>
    <x v="5"/>
    <s v="Banana River Lagoon"/>
    <s v="Not provided"/>
    <s v="Not provided"/>
    <s v="Not provided"/>
  </r>
  <r>
    <x v="3"/>
    <s v="Not provided"/>
    <s v="IHB-35"/>
    <s v="Muck Dregding"/>
    <s v="Muck dredging along major canals, including Grand Canal."/>
    <s v="Muck Removal/Restoration Dredging"/>
    <x v="2"/>
    <x v="10"/>
    <n v="29554"/>
    <n v="3069"/>
    <x v="0"/>
    <s v="N/A"/>
    <n v="9625000"/>
    <s v="Not provided"/>
    <s v="Not provided"/>
    <s v="Not provided"/>
    <s v="N/A"/>
    <s v="Non-structural"/>
    <s v="Envisioned, but Not Funded"/>
    <x v="5"/>
    <s v="Banana River Lagoon"/>
    <s v="Not provided"/>
    <s v="Not provided"/>
    <s v="2017"/>
  </r>
  <r>
    <x v="3"/>
    <s v="TBD"/>
    <s v="IHB-36"/>
    <s v="Save Our Lagoon Park"/>
    <s v="Wet detention pond, perhaps other LID features."/>
    <s v="Wet Detention Pond"/>
    <x v="3"/>
    <x v="10"/>
    <s v="TBD"/>
    <s v="TBD"/>
    <x v="0"/>
    <n v="43.3"/>
    <s v="TBD"/>
    <s v="TBD"/>
    <s v="TBD"/>
    <s v="TBD"/>
    <s v="N/A"/>
    <s v="Structural"/>
    <s v="Design"/>
    <x v="3"/>
    <s v="Banana River Lagoon"/>
    <s v="Not provided"/>
    <s v="Not provided"/>
    <s v="2021"/>
  </r>
  <r>
    <x v="5"/>
    <s v="Not provided"/>
    <s v="SB-01"/>
    <s v="Jackson Exfiltration"/>
    <s v="Not provided."/>
    <s v="Exfiltration Trench"/>
    <x v="0"/>
    <x v="3"/>
    <n v="9"/>
    <n v="2.2000000000000002"/>
    <x v="0"/>
    <n v="24.7"/>
    <s v="Not provided"/>
    <s v="Not provided"/>
    <s v="Not provided"/>
    <s v="Not provided"/>
    <s v="N/A"/>
    <s v="Structural"/>
    <s v="Completed"/>
    <x v="0"/>
    <s v="Banana River Lagoon"/>
    <s v="Not provided"/>
    <s v="Not provided"/>
    <s v="Not provided"/>
  </r>
  <r>
    <x v="5"/>
    <s v="Not provided"/>
    <s v="SB-02"/>
    <s v="Jackson Exfiltration"/>
    <s v="Not provided."/>
    <s v="Exfiltration Trench"/>
    <x v="0"/>
    <x v="3"/>
    <n v="6"/>
    <n v="0.8"/>
    <x v="0"/>
    <n v="8.1999999999999993"/>
    <s v="Not provided"/>
    <s v="Not provided"/>
    <s v="Not provided"/>
    <s v="Not provided"/>
    <s v="N/A"/>
    <s v="Structural"/>
    <s v="Completed"/>
    <x v="0"/>
    <s v="Banana River Lagoon"/>
    <s v="Not provided"/>
    <s v="Not provided"/>
    <s v="Not provided"/>
  </r>
  <r>
    <x v="5"/>
    <s v="Not provided"/>
    <s v="SB-03"/>
    <s v="Jackson Exfiltration"/>
    <s v="Not provided."/>
    <s v="Exfiltration Trench"/>
    <x v="0"/>
    <x v="3"/>
    <n v="6"/>
    <n v="1.7"/>
    <x v="0"/>
    <n v="8.6"/>
    <s v="Not provided"/>
    <s v="Not provided"/>
    <s v="Not provided"/>
    <s v="Not provided"/>
    <s v="N/A"/>
    <s v="Structural"/>
    <s v="Completed"/>
    <x v="0"/>
    <s v="Banana River Lagoon"/>
    <s v="Not provided"/>
    <s v="Not provided"/>
    <s v="Not provided"/>
  </r>
  <r>
    <x v="5"/>
    <s v="Not provided"/>
    <s v="SB-04"/>
    <s v="Avocado Continuous Deflective Separation (CDS) Unit"/>
    <s v="Not provided."/>
    <s v="Hydrodynamic Separators"/>
    <x v="0"/>
    <x v="3"/>
    <n v="0"/>
    <n v="3.2"/>
    <x v="0"/>
    <n v="8.6"/>
    <s v="Not provided"/>
    <s v="Not provided"/>
    <s v="Not provided"/>
    <s v="Not provided"/>
    <s v="N/A"/>
    <s v="Structural"/>
    <s v="Completed"/>
    <x v="0"/>
    <s v="Banana River Lagoon"/>
    <s v="Not provided"/>
    <s v="Not provided"/>
    <s v="Not provided"/>
  </r>
  <r>
    <x v="5"/>
    <s v="Not provided"/>
    <s v="SB-05"/>
    <s v="Jackson Exfiltration"/>
    <s v="Not provided."/>
    <s v="Exfiltration Trench"/>
    <x v="0"/>
    <x v="3"/>
    <n v="3"/>
    <n v="0.4"/>
    <x v="0"/>
    <n v="11.7"/>
    <s v="Not provided"/>
    <s v="Not provided"/>
    <s v="Not provided"/>
    <s v="Not provided"/>
    <s v="N/A"/>
    <s v="Structural"/>
    <s v="Completed"/>
    <x v="0"/>
    <s v="Banana River Lagoon"/>
    <s v="Not provided"/>
    <s v="Not provided"/>
    <s v="Not provided"/>
  </r>
  <r>
    <x v="5"/>
    <s v="DEP"/>
    <s v="SB-06"/>
    <s v="Coconut Exfiltration"/>
    <s v="Not provided."/>
    <s v="Exfiltration Trench"/>
    <x v="0"/>
    <x v="3"/>
    <n v="27"/>
    <n v="4.5999999999999996"/>
    <x v="0"/>
    <n v="39.700000000000003"/>
    <s v="Not provided"/>
    <s v="Not provided"/>
    <s v="DEP"/>
    <s v="Not provided"/>
    <s v="G0082"/>
    <s v="Structural"/>
    <s v="Completed"/>
    <x v="0"/>
    <s v="Banana River Lagoon"/>
    <s v="Not provided"/>
    <s v="Not provided"/>
    <s v="Not provided"/>
  </r>
  <r>
    <x v="5"/>
    <s v="DEP"/>
    <s v="SB-07"/>
    <s v="Desoto Exfiltration"/>
    <s v="Not provided."/>
    <s v="Exfiltration Trench"/>
    <x v="0"/>
    <x v="3"/>
    <n v="97"/>
    <n v="13.7"/>
    <x v="0"/>
    <n v="108.2"/>
    <s v="Not provided"/>
    <s v="Not provided"/>
    <s v="DEP"/>
    <s v="Not provided"/>
    <s v="G0082"/>
    <s v="Structural"/>
    <s v="Completed"/>
    <x v="0"/>
    <s v="Banana River Lagoon"/>
    <s v="Not provided"/>
    <s v="Not provided"/>
    <s v="Not provided"/>
  </r>
  <r>
    <x v="5"/>
    <s v="DEP"/>
    <s v="SB-08"/>
    <s v="Desoto Exfiltration"/>
    <s v="Not provided."/>
    <s v="Exfiltration Trench"/>
    <x v="0"/>
    <x v="3"/>
    <n v="25"/>
    <n v="3.5"/>
    <x v="0"/>
    <n v="7.8"/>
    <s v="Not provided"/>
    <s v="Not provided"/>
    <s v="DEP"/>
    <s v="Not provided"/>
    <s v="G0082"/>
    <s v="Structural"/>
    <s v="Completed"/>
    <x v="0"/>
    <s v="Banana River Lagoon"/>
    <s v="Not provided"/>
    <s v="Not provided"/>
    <s v="Not provided"/>
  </r>
  <r>
    <x v="5"/>
    <s v="DEP"/>
    <s v="SB-09"/>
    <s v="Jamaica Blvd. Ponds"/>
    <s v="Not provided."/>
    <s v="Wet Detention Pond"/>
    <x v="0"/>
    <x v="3"/>
    <n v="600"/>
    <n v="160.19999999999999"/>
    <x v="0"/>
    <n v="216.2"/>
    <s v="Not provided"/>
    <s v="Not provided"/>
    <s v="DEP"/>
    <s v="Not provided"/>
    <s v="WM840"/>
    <s v="Structural"/>
    <s v="Completed"/>
    <x v="0"/>
    <s v="Banana River Lagoon"/>
    <s v="Not provided"/>
    <s v="Not provided"/>
    <s v="Not provided"/>
  </r>
  <r>
    <x v="5"/>
    <s v="DEP"/>
    <s v="SB-10"/>
    <s v="Jamaica Pond Reuse"/>
    <s v="Not provided."/>
    <s v="Stormwater Reuse"/>
    <x v="0"/>
    <x v="3"/>
    <n v="277"/>
    <n v="25"/>
    <x v="0"/>
    <n v="216.2"/>
    <s v="Not provided"/>
    <s v="Not provided"/>
    <s v="DEP"/>
    <s v="Not provided"/>
    <s v="WM840"/>
    <s v="Structural"/>
    <s v="Completed"/>
    <x v="0"/>
    <s v="Banana River Lagoon"/>
    <s v="Not provided"/>
    <s v="Not provided"/>
    <s v="Not provided"/>
  </r>
  <r>
    <x v="5"/>
    <s v="DEP"/>
    <s v="SB-11"/>
    <s v="Desoto Exfiltration"/>
    <s v="Not provided."/>
    <s v="Exfiltration Trench"/>
    <x v="0"/>
    <x v="3"/>
    <n v="17"/>
    <n v="2.4"/>
    <x v="0"/>
    <n v="3.5"/>
    <s v="Not provided"/>
    <s v="Not provided"/>
    <s v="DEP"/>
    <s v="Not provided"/>
    <s v="G0082"/>
    <s v="Structural"/>
    <s v="Completed"/>
    <x v="0"/>
    <s v="Banana River Lagoon"/>
    <s v="Not provided"/>
    <s v="Not provided"/>
    <s v="Not provided"/>
  </r>
  <r>
    <x v="5"/>
    <s v="DEP"/>
    <s v="SB-12"/>
    <s v="Desoto Baffle Boxes"/>
    <s v="Not provided."/>
    <s v="Baffle Boxes- Second Generation"/>
    <x v="0"/>
    <x v="3"/>
    <n v="82"/>
    <n v="9.5"/>
    <x v="0"/>
    <n v="57.8"/>
    <s v="Not provided"/>
    <s v="Not provided"/>
    <s v="DEP"/>
    <s v="Not provided"/>
    <s v="G0081"/>
    <s v="Structural"/>
    <s v="Completed"/>
    <x v="0"/>
    <s v="Banana River Lagoon"/>
    <s v="Not provided"/>
    <s v="Not provided"/>
    <s v="Not provided"/>
  </r>
  <r>
    <x v="5"/>
    <s v="DEP"/>
    <s v="SB-13"/>
    <s v="Cassia Phase 1-22"/>
    <s v="Not provided."/>
    <s v="Baffle Boxes- Second Generation"/>
    <x v="0"/>
    <x v="3"/>
    <n v="61"/>
    <n v="8.1999999999999993"/>
    <x v="0"/>
    <n v="32.5"/>
    <n v="1796800"/>
    <s v="Not provided"/>
    <s v="DEP"/>
    <s v="DEP - $1,796,800"/>
    <s v="G0162"/>
    <s v="Structural"/>
    <s v="Completed"/>
    <x v="0"/>
    <s v="Banana River Lagoon"/>
    <s v="Not provided"/>
    <s v="Not provided"/>
    <s v="Not provided"/>
  </r>
  <r>
    <x v="5"/>
    <s v="DEP"/>
    <s v="SB-14"/>
    <s v="Cassia Phase 1-23"/>
    <s v="Not provided."/>
    <s v="Baffle Boxes- Second Generation"/>
    <x v="0"/>
    <x v="3"/>
    <n v="30"/>
    <n v="5.6"/>
    <x v="0"/>
    <n v="12.9"/>
    <s v="Not provided"/>
    <s v="Not provided"/>
    <s v="DEP"/>
    <s v="Not provided"/>
    <s v="G0162"/>
    <s v="Structural"/>
    <s v="Completed"/>
    <x v="0"/>
    <s v="Banana River Lagoon"/>
    <s v="Not provided"/>
    <s v="Not provided"/>
    <s v="Not provided"/>
  </r>
  <r>
    <x v="5"/>
    <s v="DEP"/>
    <s v="SB-15"/>
    <s v="Cassia Phase 1-24"/>
    <s v="Part of SB-13."/>
    <s v="On-line Retention BMPs"/>
    <x v="0"/>
    <x v="3"/>
    <n v="18"/>
    <n v="3.5"/>
    <x v="0"/>
    <n v="12.8"/>
    <s v="Not provided"/>
    <s v="Not provided"/>
    <s v="DEP"/>
    <s v="Not provided"/>
    <s v="G0162"/>
    <s v="Structural"/>
    <s v="Completed"/>
    <x v="0"/>
    <s v="Banana River Lagoon"/>
    <s v="Not provided"/>
    <s v="Not provided"/>
    <s v="Not provided"/>
  </r>
  <r>
    <x v="5"/>
    <s v="DEP"/>
    <s v="SB-16"/>
    <s v="Cassia Phase 1-25"/>
    <s v="Part of SB-13."/>
    <s v="On-line Retention BMPs"/>
    <x v="0"/>
    <x v="3"/>
    <n v="13"/>
    <n v="1.8"/>
    <x v="0"/>
    <n v="19.7"/>
    <s v="Not provided"/>
    <s v="Not provided"/>
    <s v="DEP"/>
    <s v="Not provided"/>
    <s v="G0162"/>
    <s v="Structural"/>
    <s v="Completed"/>
    <x v="0"/>
    <s v="Banana River Lagoon"/>
    <s v="Not provided"/>
    <s v="Not provided"/>
    <s v="Not provided"/>
  </r>
  <r>
    <x v="5"/>
    <s v="DEP"/>
    <s v="SB-17"/>
    <s v="Cassia Phase 1-26"/>
    <s v="Part of SB-13."/>
    <s v="On-line Retention BMPs"/>
    <x v="0"/>
    <x v="3"/>
    <n v="12"/>
    <n v="2.6"/>
    <x v="0"/>
    <n v="14.1"/>
    <s v="Not provided"/>
    <s v="Not provided"/>
    <s v="DEP"/>
    <s v="Not provided"/>
    <s v="G0162"/>
    <s v="Structural"/>
    <s v="Completed"/>
    <x v="0"/>
    <s v="Banana River Lagoon"/>
    <s v="Not provided"/>
    <s v="Not provided"/>
    <s v="Not provided"/>
  </r>
  <r>
    <x v="5"/>
    <s v="Not provided"/>
    <s v="SB-18"/>
    <s v="North Basin Stormwater Retrofit"/>
    <s v="Not provided."/>
    <s v="On-line Retention BMPs"/>
    <x v="0"/>
    <x v="3"/>
    <n v="318"/>
    <n v="80.5"/>
    <x v="0"/>
    <n v="97.9"/>
    <s v="Not provided"/>
    <s v="Not provided"/>
    <s v="Not provided"/>
    <s v="Not provided"/>
    <s v="N/A"/>
    <s v="Structural"/>
    <s v="Completed"/>
    <x v="0"/>
    <s v="Banana River Lagoon"/>
    <s v="Not provided"/>
    <s v="Not provided"/>
    <s v="Not provided"/>
  </r>
  <r>
    <x v="5"/>
    <s v="Not provided"/>
    <s v="SB-19"/>
    <s v="Street Sweeping"/>
    <s v="Not provided."/>
    <s v="Street Sweeping"/>
    <x v="0"/>
    <x v="1"/>
    <n v="47"/>
    <n v="30"/>
    <x v="0"/>
    <s v="N/A"/>
    <s v="Not provided"/>
    <s v="Not provided"/>
    <s v="Not provided"/>
    <s v="Not provided"/>
    <s v="N/A"/>
    <s v="Non-structural"/>
    <s v="Ongoing"/>
    <x v="0"/>
    <s v="Banana River Lagoon"/>
    <s v="Not provided"/>
    <s v="Not provided"/>
    <s v="Not provided"/>
  </r>
  <r>
    <x v="5"/>
    <s v="Not provided"/>
    <s v="SB-20"/>
    <s v="Education Efforts"/>
    <s v="FYN; landscape, irrigation, fertilizer, and pet waste ordinances; public service announcements (PSAs); pamphlets; website; Illicit Discharge Program."/>
    <s v="Education Efforts"/>
    <x v="0"/>
    <x v="1"/>
    <n v="1002"/>
    <n v="197"/>
    <x v="0"/>
    <s v="N/A"/>
    <s v="Not provided"/>
    <s v="Not provided"/>
    <s v="Not provided"/>
    <s v="Not provided"/>
    <s v="N/A"/>
    <s v="Non-structural"/>
    <s v="Ongoing"/>
    <x v="0"/>
    <s v="Banana River Lagoon"/>
    <s v="N/A"/>
    <s v="N/A"/>
    <s v="Not provided"/>
  </r>
  <r>
    <x v="5"/>
    <s v="DEP"/>
    <s v="SB-21"/>
    <s v="Cassia Phase 3 - C3A"/>
    <s v="Retention swales."/>
    <s v="On-line Retention BMPs"/>
    <x v="0"/>
    <x v="3"/>
    <n v="3"/>
    <n v="0.6"/>
    <x v="0"/>
    <n v="0.24"/>
    <s v="Not provided"/>
    <s v="Not provided"/>
    <s v="City/ DEP"/>
    <s v="Not provided"/>
    <s v="G0162"/>
    <s v="Structural"/>
    <s v="Completed"/>
    <x v="0"/>
    <s v="Banana River Lagoon"/>
    <s v="Not provided"/>
    <s v="Not provided"/>
    <s v="2012"/>
  </r>
  <r>
    <x v="5"/>
    <s v="DEP"/>
    <s v="SB-22"/>
    <s v="Cassia Phase 3 - C3B"/>
    <s v="Retention swales."/>
    <s v="On-line Retention BMPs"/>
    <x v="0"/>
    <x v="3"/>
    <n v="2"/>
    <n v="0.5"/>
    <x v="0"/>
    <n v="0.15"/>
    <s v="Not provided"/>
    <s v="Not provided"/>
    <s v="City/ DEP"/>
    <s v="Not provided"/>
    <s v="G0162"/>
    <s v="Structural"/>
    <s v="Completed"/>
    <x v="0"/>
    <s v="Banana River Lagoon"/>
    <s v="Not provided"/>
    <s v="Not provided"/>
    <s v="2012"/>
  </r>
  <r>
    <x v="5"/>
    <s v="DEP"/>
    <s v="SB-23"/>
    <s v="Cassia Phase 3 - C3C"/>
    <s v="Retention swales."/>
    <s v="On-line Retention BMPs"/>
    <x v="0"/>
    <x v="3"/>
    <n v="2"/>
    <n v="0.5"/>
    <x v="0"/>
    <n v="0.16"/>
    <s v="Not provided"/>
    <s v="Not provided"/>
    <s v="City/ DEP"/>
    <s v="Not provided"/>
    <s v="G0162"/>
    <s v="Structural"/>
    <s v="Completed"/>
    <x v="0"/>
    <s v="Banana River Lagoon"/>
    <s v="Not provided"/>
    <s v="Not provided"/>
    <s v="2012"/>
  </r>
  <r>
    <x v="5"/>
    <s v="DEP"/>
    <s v="SB-24"/>
    <s v="Cassia Phase 3 - C3D"/>
    <s v="Retention swales."/>
    <s v="On-line Retention BMPs"/>
    <x v="0"/>
    <x v="3"/>
    <n v="3"/>
    <n v="0.8"/>
    <x v="0"/>
    <n v="0.2"/>
    <s v="Not provided"/>
    <s v="Not provided"/>
    <s v="City/ DEP"/>
    <s v="Not provided"/>
    <s v="G0162"/>
    <s v="Structural"/>
    <s v="Completed"/>
    <x v="0"/>
    <s v="Banana River Lagoon"/>
    <s v="Not provided"/>
    <s v="Not provided"/>
    <s v="2012"/>
  </r>
  <r>
    <x v="5"/>
    <s v="DEP"/>
    <s v="SB-25"/>
    <s v="Cassia Phase 3 - C3E"/>
    <s v="Retention swales."/>
    <s v="On-line Retention BMPs"/>
    <x v="0"/>
    <x v="3"/>
    <n v="3"/>
    <n v="0.7"/>
    <x v="0"/>
    <n v="0.2"/>
    <s v="Not provided"/>
    <s v="Not provided"/>
    <s v="City/ DEP"/>
    <s v="Not provided"/>
    <s v="G0162"/>
    <s v="Structural"/>
    <s v="Completed"/>
    <x v="0"/>
    <s v="Banana River Lagoon"/>
    <s v="Not provided"/>
    <s v="Not provided"/>
    <s v="2012"/>
  </r>
  <r>
    <x v="5"/>
    <s v="DEP"/>
    <s v="SB-26"/>
    <s v="Cassia Phase 3 - C3F"/>
    <s v="Retention swales."/>
    <s v="On-line Retention BMPs"/>
    <x v="0"/>
    <x v="3"/>
    <n v="11"/>
    <n v="3"/>
    <x v="0"/>
    <n v="2"/>
    <s v="Not provided"/>
    <s v="Not provided"/>
    <s v="City/ DEP"/>
    <s v="Not provided"/>
    <s v="G0162"/>
    <s v="Structural"/>
    <s v="Completed"/>
    <x v="0"/>
    <s v="Banana River Lagoon"/>
    <s v="Not provided"/>
    <s v="Not provided"/>
    <s v="2012"/>
  </r>
  <r>
    <x v="5"/>
    <s v="DEP"/>
    <s v="SB-27"/>
    <s v="Cassia Phase 3 - C3G"/>
    <s v="Retention swales."/>
    <s v="On-line Retention BMPs"/>
    <x v="0"/>
    <x v="3"/>
    <n v="8"/>
    <n v="2.2999999999999998"/>
    <x v="0"/>
    <n v="1.3"/>
    <s v="Not provided"/>
    <s v="Not provided"/>
    <s v="City/ DEP"/>
    <s v="Not provided"/>
    <s v="G0162"/>
    <s v="Structural"/>
    <s v="Completed"/>
    <x v="0"/>
    <s v="Banana River Lagoon"/>
    <s v="Not provided"/>
    <s v="Not provided"/>
    <s v="2012"/>
  </r>
  <r>
    <x v="5"/>
    <s v="DEP"/>
    <s v="SB-28"/>
    <s v="Cassia Phase 3 - C5A"/>
    <s v="Retention swales."/>
    <s v="On-line Retention BMPs"/>
    <x v="0"/>
    <x v="3"/>
    <n v="2"/>
    <n v="0.5"/>
    <x v="0"/>
    <n v="0.2"/>
    <s v="Not provided"/>
    <s v="Not provided"/>
    <s v="City/ DEP"/>
    <s v="Not provided"/>
    <s v="G0162"/>
    <s v="Structural"/>
    <s v="Completed"/>
    <x v="0"/>
    <s v="Banana River Lagoon"/>
    <s v="Not provided"/>
    <s v="Not provided"/>
    <s v="2012"/>
  </r>
  <r>
    <x v="5"/>
    <s v="DEP"/>
    <s v="SB-29"/>
    <s v="Cassia Phase 3 - C5B"/>
    <s v="Retention swales."/>
    <s v="On-line Retention BMPs"/>
    <x v="0"/>
    <x v="3"/>
    <n v="24"/>
    <n v="5.4"/>
    <x v="0"/>
    <n v="5.9"/>
    <s v="Not provided"/>
    <s v="Not provided"/>
    <s v="City/ DEP"/>
    <s v="Not provided"/>
    <s v="G0162"/>
    <s v="Structural"/>
    <s v="Completed"/>
    <x v="0"/>
    <s v="Banana River Lagoon"/>
    <s v="Not provided"/>
    <s v="Not provided"/>
    <s v="2012"/>
  </r>
  <r>
    <x v="5"/>
    <s v="DEP"/>
    <s v="SB-30"/>
    <s v="Cassia Phase 3 - C7A"/>
    <s v="Retention swales."/>
    <s v="On-line Retention BMPs"/>
    <x v="0"/>
    <x v="3"/>
    <n v="3"/>
    <n v="0.4"/>
    <x v="0"/>
    <n v="0.4"/>
    <s v="Not provided"/>
    <s v="Not provided"/>
    <s v="City/ DEP"/>
    <s v="Not provided"/>
    <s v="G0162"/>
    <s v="Structural"/>
    <s v="Completed"/>
    <x v="0"/>
    <s v="Banana River Lagoon"/>
    <s v="Not provided"/>
    <s v="Not provided"/>
    <s v="2012"/>
  </r>
  <r>
    <x v="5"/>
    <s v="DEP"/>
    <s v="SB-31"/>
    <s v="Cassia Phase 3 - C7B"/>
    <s v="Retention swales."/>
    <s v="On-line Retention BMPs"/>
    <x v="0"/>
    <x v="3"/>
    <n v="25"/>
    <n v="3.5"/>
    <x v="0"/>
    <n v="4.0999999999999996"/>
    <s v="Not provided"/>
    <s v="Not provided"/>
    <s v="City/ DEP"/>
    <s v="Not provided"/>
    <s v="G0162"/>
    <s v="Structural"/>
    <s v="Completed"/>
    <x v="0"/>
    <s v="Banana River Lagoon"/>
    <s v="Not provided"/>
    <s v="Not provided"/>
    <s v="2012"/>
  </r>
  <r>
    <x v="5"/>
    <s v="DEP"/>
    <s v="SB-32"/>
    <s v="Cassia Phase 3 - C9A"/>
    <s v="Retention swales."/>
    <s v="On-line Retention BMPs"/>
    <x v="0"/>
    <x v="3"/>
    <n v="4"/>
    <n v="0.6"/>
    <x v="0"/>
    <n v="0.5"/>
    <s v="Not provided"/>
    <s v="Not provided"/>
    <s v="City/ DEP"/>
    <s v="Not provided"/>
    <s v="G0162"/>
    <s v="Structural"/>
    <s v="Completed"/>
    <x v="0"/>
    <s v="Banana River Lagoon"/>
    <s v="Not provided"/>
    <s v="Not provided"/>
    <s v="2012"/>
  </r>
  <r>
    <x v="5"/>
    <s v="DEP"/>
    <s v="SB-33"/>
    <s v="Cassia Phase 3 - C9B"/>
    <s v="Retention swales."/>
    <s v="On-line Retention BMPs"/>
    <x v="0"/>
    <x v="3"/>
    <n v="19"/>
    <n v="2.8"/>
    <x v="0"/>
    <n v="2.1"/>
    <s v="Not provided"/>
    <s v="Not provided"/>
    <s v="City/ DEP"/>
    <s v="Not provided"/>
    <s v="G0162"/>
    <s v="Structural"/>
    <s v="Completed"/>
    <x v="0"/>
    <s v="Banana River Lagoon"/>
    <s v="Not provided"/>
    <s v="Not provided"/>
    <s v="2012"/>
  </r>
  <r>
    <x v="5"/>
    <s v="DEP"/>
    <s v="SB-34"/>
    <s v="Cassia Phase 3 - C13A"/>
    <s v="Retention swales."/>
    <s v="On-line Retention BMPs"/>
    <x v="0"/>
    <x v="3"/>
    <n v="7"/>
    <n v="1.9"/>
    <x v="0"/>
    <n v="1.2"/>
    <s v="Not provided"/>
    <s v="Not provided"/>
    <s v="City/ DEP"/>
    <s v="Not provided"/>
    <s v="G0162"/>
    <s v="Structural"/>
    <s v="Completed"/>
    <x v="0"/>
    <s v="Banana River Lagoon"/>
    <s v="Not provided"/>
    <s v="Not provided"/>
    <s v="2012"/>
  </r>
  <r>
    <x v="5"/>
    <s v="DEP"/>
    <s v="SB-35"/>
    <s v="Cassia Phase 3 - C13B"/>
    <s v="Retention swales."/>
    <s v="On-line Retention BMPs"/>
    <x v="0"/>
    <x v="3"/>
    <n v="1"/>
    <n v="0.3"/>
    <x v="0"/>
    <n v="0.1"/>
    <s v="Not provided"/>
    <s v="Not provided"/>
    <s v="City/ DEP"/>
    <s v="Not provided"/>
    <s v="G0162"/>
    <s v="Structural"/>
    <s v="Completed"/>
    <x v="0"/>
    <s v="Banana River Lagoon"/>
    <s v="Not provided"/>
    <s v="Not provided"/>
    <s v="2012"/>
  </r>
  <r>
    <x v="5"/>
    <s v="DEP"/>
    <s v="SB-36"/>
    <s v="Cassia Phase 3 - C13C"/>
    <s v="Retention swales."/>
    <s v="On-line Retention BMPs"/>
    <x v="0"/>
    <x v="3"/>
    <n v="9"/>
    <n v="1.7"/>
    <x v="0"/>
    <n v="3.1"/>
    <s v="Not provided"/>
    <s v="Not provided"/>
    <s v="City/ DEP"/>
    <s v="Not provided"/>
    <s v="G0162"/>
    <s v="Structural"/>
    <s v="Completed"/>
    <x v="0"/>
    <s v="Banana River Lagoon"/>
    <s v="Not provided"/>
    <s v="Not provided"/>
    <s v="2012"/>
  </r>
  <r>
    <x v="5"/>
    <s v="DEP"/>
    <s v="SB-37"/>
    <s v="Cassia Phase 3 - C13D"/>
    <s v="Retention swales."/>
    <s v="On-line Retention BMPs"/>
    <x v="0"/>
    <x v="3"/>
    <n v="7"/>
    <n v="1.6"/>
    <x v="0"/>
    <n v="0.5"/>
    <s v="Not provided"/>
    <s v="Not provided"/>
    <s v="City/ DEP"/>
    <s v="Not provided"/>
    <s v="G0162"/>
    <s v="Structural"/>
    <s v="Completed"/>
    <x v="0"/>
    <s v="Banana River Lagoon"/>
    <s v="Not provided"/>
    <s v="Not provided"/>
    <s v="2012"/>
  </r>
  <r>
    <x v="5"/>
    <s v="DEP"/>
    <s v="SB-38"/>
    <s v="Cassia Phase 3 - C13E"/>
    <s v="Retention swales."/>
    <s v="On-line Retention BMPs"/>
    <x v="0"/>
    <x v="3"/>
    <n v="9"/>
    <n v="2.2000000000000002"/>
    <x v="0"/>
    <n v="0.9"/>
    <s v="Not provided"/>
    <s v="Not provided"/>
    <s v="City/ DEP"/>
    <s v="Not provided"/>
    <s v="G0162"/>
    <s v="Structural"/>
    <s v="Completed"/>
    <x v="0"/>
    <s v="Banana River Lagoon"/>
    <s v="Not provided"/>
    <s v="Not provided"/>
    <s v="2012"/>
  </r>
  <r>
    <x v="5"/>
    <s v="DEP"/>
    <s v="SB-39"/>
    <s v="Cassia Phase 3 - C13F"/>
    <s v="Retention swales."/>
    <s v="On-line Retention BMPs"/>
    <x v="0"/>
    <x v="3"/>
    <n v="11"/>
    <n v="2.6"/>
    <x v="0"/>
    <n v="1.6"/>
    <s v="Not provided"/>
    <s v="Not provided"/>
    <s v="City/ DEP"/>
    <s v="Not provided"/>
    <s v="G0162"/>
    <s v="Structural"/>
    <s v="Completed"/>
    <x v="0"/>
    <s v="Banana River Lagoon"/>
    <s v="Not provided"/>
    <s v="Not provided"/>
    <s v="2012"/>
  </r>
  <r>
    <x v="5"/>
    <s v="DEP"/>
    <s v="SB-40"/>
    <s v="Cassia Phase 3 - C13G"/>
    <s v="Retention swales."/>
    <s v="On-line Retention BMPs"/>
    <x v="0"/>
    <x v="3"/>
    <n v="15"/>
    <n v="3.8"/>
    <x v="0"/>
    <n v="3.3"/>
    <s v="Not provided"/>
    <s v="Not provided"/>
    <s v="City/ DEP"/>
    <s v="Not provided"/>
    <s v="G0162"/>
    <s v="Structural"/>
    <s v="Completed"/>
    <x v="0"/>
    <s v="Banana River Lagoon"/>
    <s v="Not provided"/>
    <s v="Not provided"/>
    <s v="2012"/>
  </r>
  <r>
    <x v="5"/>
    <s v="Not provided"/>
    <s v="SB-41"/>
    <s v="Roosevelt Avenue"/>
    <s v="Off-line retention swales."/>
    <s v="Off-line Retention BMPs"/>
    <x v="0"/>
    <x v="5"/>
    <n v="10"/>
    <n v="2"/>
    <x v="0"/>
    <n v="32"/>
    <n v="43482"/>
    <s v="Not provided"/>
    <s v="Not provided"/>
    <n v="43482"/>
    <s v="N/A"/>
    <s v="Structural"/>
    <s v="Not provided"/>
    <x v="3"/>
    <s v="Banana River Lagoon"/>
    <s v="Not provided"/>
    <s v="Not provided"/>
    <s v="Not provided"/>
  </r>
  <r>
    <x v="5"/>
    <s v="Not provided"/>
    <s v="SB-42"/>
    <s v="Roosevelt Avenue"/>
    <s v="Off-line retention pipes."/>
    <s v="Exfiltration Trench"/>
    <x v="0"/>
    <x v="5"/>
    <s v="Not provided"/>
    <s v="Not provided"/>
    <x v="0"/>
    <n v="3"/>
    <n v="34350"/>
    <s v="Not provided"/>
    <s v="Not provided"/>
    <n v="34350"/>
    <s v="N/A"/>
    <s v="Structural"/>
    <s v="Not provided"/>
    <x v="3"/>
    <s v="Banana River Lagoon"/>
    <s v="Not provided"/>
    <s v="Not provided"/>
    <s v="Not provided"/>
  </r>
  <r>
    <x v="5"/>
    <s v="DEP"/>
    <s v="SB-43"/>
    <s v="Desoto Park"/>
    <s v="Wet detention pond that also features stormwater reuse and biosorption activated media (BAM)."/>
    <s v="Wet Detention Pond"/>
    <x v="0"/>
    <x v="9"/>
    <n v="461"/>
    <n v="96"/>
    <x v="0"/>
    <n v="293"/>
    <n v="950000"/>
    <s v="Not provided"/>
    <s v="City/ DEP"/>
    <n v="703000"/>
    <s v="NF011"/>
    <s v="Structural"/>
    <s v="Not provided"/>
    <x v="3"/>
    <s v="Banana River Lagoon"/>
    <s v="Not provided"/>
    <s v="Not provided"/>
    <s v="2018"/>
  </r>
  <r>
    <x v="5"/>
    <s v="TBD"/>
    <s v="SB-44"/>
    <s v="Lori Laine Trunk Replacement"/>
    <s v="Replace Main Lori Laine Trunk"/>
    <s v="Stormwater System Rehabilitation"/>
    <x v="3"/>
    <x v="19"/>
    <s v="TBD"/>
    <s v="TBD"/>
    <x v="0"/>
    <s v="N/A"/>
    <n v="2195137"/>
    <s v="Not provided"/>
    <s v="TBD"/>
    <s v="TBD"/>
    <s v="N/A"/>
    <s v="Structural"/>
    <s v="Planned"/>
    <x v="4"/>
    <s v="Banana River Lagoon"/>
    <s v="Not provided"/>
    <s v="Not provided"/>
    <s v="Not provided"/>
  </r>
  <r>
    <x v="5"/>
    <s v="TBD"/>
    <s v="SB-45"/>
    <s v="Lori Laine Outfall Treatment"/>
    <s v="Treat Stormwater at Lori Laine Outfall"/>
    <s v="Baffle Boxes- Second Generation"/>
    <x v="3"/>
    <x v="8"/>
    <s v="TBD"/>
    <s v="TBD"/>
    <x v="0"/>
    <n v="184"/>
    <n v="173707"/>
    <s v="Not provided"/>
    <s v="TBD"/>
    <s v="TBD"/>
    <s v="N/A"/>
    <s v="Structural"/>
    <s v="Planned"/>
    <x v="4"/>
    <s v="Banana River Lagoon"/>
    <s v="Not provided"/>
    <s v="Not provided"/>
    <s v="Not provided"/>
  </r>
  <r>
    <x v="5"/>
    <s v="TBD"/>
    <s v="SB-46"/>
    <s v="Elwood/Temple Facility Upgrade"/>
    <s v="Change existing dry pond to wet detention pond and divert stormwater to pond"/>
    <s v="Wet Detention Pond"/>
    <x v="3"/>
    <x v="19"/>
    <n v="65"/>
    <n v="23"/>
    <x v="0"/>
    <n v="35.06"/>
    <n v="43580"/>
    <s v="Not provided"/>
    <s v="TBD"/>
    <s v="TBD"/>
    <s v="N/A"/>
    <s v="Structural"/>
    <s v="Planned"/>
    <x v="4"/>
    <s v="Banana River Lagoon"/>
    <s v="Not provided"/>
    <s v="Not provided"/>
    <s v="Not provided"/>
  </r>
  <r>
    <x v="5"/>
    <s v="TBD"/>
    <s v="SB-47"/>
    <s v="Jackson Ct. Treatment Facility"/>
    <s v="Construct Wet Detention Pond"/>
    <s v="Wet Detention Pond"/>
    <x v="3"/>
    <x v="20"/>
    <n v="46"/>
    <n v="23"/>
    <x v="0"/>
    <n v="12.13"/>
    <n v="232156"/>
    <s v="Not provided"/>
    <s v="TBD"/>
    <s v="TBD"/>
    <s v="N/A"/>
    <s v="Structural"/>
    <s v="Planned"/>
    <x v="4"/>
    <s v="Banana River Lagoon"/>
    <s v="Not provided"/>
    <s v="Not provided"/>
    <s v="Not provided"/>
  </r>
  <r>
    <x v="5"/>
    <s v="TBD"/>
    <s v="SB-48"/>
    <s v="Schechter Community Center Bioretention"/>
    <s v="Add Bioretention to Parking lot area"/>
    <s v="LID- Rain Gardens"/>
    <x v="3"/>
    <x v="20"/>
    <s v="TBD"/>
    <s v="TBD"/>
    <x v="0"/>
    <n v="1.94"/>
    <n v="116840"/>
    <s v="Not provided"/>
    <s v="TBD"/>
    <s v="TBD"/>
    <s v="N/A"/>
    <s v="Structural"/>
    <s v="Planned"/>
    <x v="4"/>
    <s v="Banana River Lagoon"/>
    <s v="Not provided"/>
    <s v="Not provided"/>
    <s v="Not provided"/>
  </r>
  <r>
    <x v="5"/>
    <s v="TBD"/>
    <s v="SB-49"/>
    <s v="Robert Way Diversion/Library Dry Retention"/>
    <s v="Divert Robert Way into dry detention pond"/>
    <s v="Dry Detention Pond"/>
    <x v="3"/>
    <x v="20"/>
    <s v="TBD"/>
    <s v="TBD"/>
    <x v="0"/>
    <n v="14.1"/>
    <n v="150960"/>
    <s v="Not provided"/>
    <s v="TBD"/>
    <s v="TBD"/>
    <s v="N/A"/>
    <s v="Structural"/>
    <s v="Planned"/>
    <x v="4"/>
    <s v="Banana River Lagoon"/>
    <s v="Not provided"/>
    <s v="Not provided"/>
    <s v="Not provided"/>
  </r>
  <r>
    <x v="5"/>
    <s v="TBD"/>
    <s v="SB-50"/>
    <s v="Robin Way Diversion/Library Dry Retention"/>
    <s v="Divert Robin Way into dry detention pond"/>
    <s v="Dry Detention Pond"/>
    <x v="3"/>
    <x v="21"/>
    <s v="TBD"/>
    <s v="TBD"/>
    <x v="0"/>
    <n v="19.13"/>
    <n v="151026"/>
    <s v="Not provided"/>
    <s v="TBD"/>
    <s v="TBD"/>
    <s v="N/A"/>
    <s v="Structural"/>
    <s v="Planned"/>
    <x v="4"/>
    <s v="Banana River Lagoon"/>
    <s v="Not provided"/>
    <s v="Not provided"/>
    <s v="Not provided"/>
  </r>
  <r>
    <x v="5"/>
    <s v="TBD"/>
    <s v="SB-51"/>
    <s v="Roosevelt BAM Filter"/>
    <s v="Add BAM Filter to Roosevelt outfall Baffle Box"/>
    <s v="Baffle Boxes- Second Generation with Media"/>
    <x v="3"/>
    <x v="21"/>
    <s v="TBD"/>
    <s v="TBD"/>
    <x v="0"/>
    <n v="240"/>
    <n v="93696"/>
    <s v="Not provided"/>
    <s v="TBD"/>
    <s v="TBD"/>
    <s v="N/A"/>
    <s v="Structural"/>
    <s v="Planned"/>
    <x v="4"/>
    <s v="Banana River Lagoon"/>
    <s v="Not provided"/>
    <s v="Not provided"/>
    <s v="Not provided"/>
  </r>
  <r>
    <x v="5"/>
    <s v="TBD"/>
    <s v="SB-52"/>
    <s v="South Ditch BAM Swales"/>
    <s v="Add BAM Swales along South Ditch Trunkline"/>
    <s v="Biosorption Activated Media (BAM)"/>
    <x v="3"/>
    <x v="22"/>
    <n v="72"/>
    <n v="11"/>
    <x v="0"/>
    <n v="16.91"/>
    <n v="148580"/>
    <s v="Not provided"/>
    <s v="TBD"/>
    <s v="TBD"/>
    <s v="N/A"/>
    <s v="Structural"/>
    <s v="Planned"/>
    <x v="4"/>
    <s v="Banana River Lagoon"/>
    <s v="Not provided"/>
    <s v="Not provided"/>
    <s v="Not provided"/>
  </r>
  <r>
    <x v="5"/>
    <s v="TBD"/>
    <s v="SB-53"/>
    <s v="Sports Park Treatment"/>
    <s v="Install In-Ditch BAM"/>
    <s v="Biosorption Activated Media (BAM)"/>
    <x v="3"/>
    <x v="22"/>
    <s v="TBD"/>
    <s v="TBD"/>
    <x v="0"/>
    <n v="157"/>
    <n v="102292"/>
    <s v="Not provided"/>
    <s v="TBD"/>
    <s v="TBD"/>
    <s v="N/A"/>
    <s v="Structural"/>
    <s v="Planned"/>
    <x v="4"/>
    <s v="Banana River Lagoon"/>
    <s v="Not provided"/>
    <s v="Not provided"/>
    <s v="Not provided"/>
  </r>
  <r>
    <x v="5"/>
    <s v="TBD"/>
    <s v="SB-54"/>
    <s v="Glenwood Road Narrowing"/>
    <s v="Adding Roadside Swales to Glenwood"/>
    <s v="Grass Swales without Swale Blocks or Raised Culverts"/>
    <x v="3"/>
    <x v="23"/>
    <s v="TBD"/>
    <s v="TBD"/>
    <x v="0"/>
    <n v="6"/>
    <n v="241868"/>
    <s v="Not provided"/>
    <s v="TBD"/>
    <s v="TBD"/>
    <s v="N/A"/>
    <s v="Structural"/>
    <s v="Planned"/>
    <x v="4"/>
    <s v="Banana River Lagoon"/>
    <s v="Not provided"/>
    <s v="Not provided"/>
    <s v="Not provided"/>
  </r>
  <r>
    <x v="5"/>
    <s v="TBD"/>
    <s v="SB-55"/>
    <s v="North Drainage BAM Filter"/>
    <s v="Add BAM filter to North Drainage Baffle Box"/>
    <s v="Baffle Boxes- Second Generation with Media"/>
    <x v="3"/>
    <x v="24"/>
    <s v="TBD"/>
    <s v="TBD"/>
    <x v="0"/>
    <s v="TBD"/>
    <n v="138661"/>
    <s v="Not provided"/>
    <s v="TBD"/>
    <s v="TBD"/>
    <s v="N/A"/>
    <s v="Structural"/>
    <s v="Planned"/>
    <x v="4"/>
    <s v="Banana River Lagoon"/>
    <s v="Not provided"/>
    <s v="Not provided"/>
    <s v="Not provided"/>
  </r>
  <r>
    <x v="5"/>
    <s v="TBD"/>
    <s v="SB-56"/>
    <s v="Emerald Court Inlet Baskets"/>
    <s v="Insert Inlet Trap at the end of Emerald Court"/>
    <s v="Catch Basin Inserts/Inlet Filter Cleanout"/>
    <x v="3"/>
    <x v="24"/>
    <s v="TBD"/>
    <s v="TBD"/>
    <x v="0"/>
    <n v="2"/>
    <n v="20815"/>
    <s v="Not provided"/>
    <s v="TBD"/>
    <s v="TBD"/>
    <s v="N/A"/>
    <s v="Non-structural"/>
    <s v="Planned"/>
    <x v="4"/>
    <s v="Banana River Lagoon"/>
    <s v="Not provided"/>
    <s v="Not provided"/>
    <s v="Not provided"/>
  </r>
  <r>
    <x v="5"/>
    <s v="TBD"/>
    <s v="SB-57"/>
    <s v="City Hall Pond Beemats/Living Shoreline"/>
    <s v="Install BeeMats and living shoreline along City Hall Pond area"/>
    <s v="Floating Islands/ Managed Aquatic Plant Systems (MAPS)"/>
    <x v="3"/>
    <x v="24"/>
    <n v="71"/>
    <n v="13"/>
    <x v="0"/>
    <s v="N/A"/>
    <n v="40480"/>
    <s v="Not provided"/>
    <s v="TBD"/>
    <s v="TBD"/>
    <s v="N/A"/>
    <s v="Structural"/>
    <s v="Planned"/>
    <x v="4"/>
    <s v="Banana River Lagoon"/>
    <s v="Not provided"/>
    <s v="Not provided"/>
    <s v="Not provided"/>
  </r>
  <r>
    <x v="5"/>
    <s v="TBD"/>
    <s v="SB-58"/>
    <s v="Jamacia Pond Outfall BAM Filter"/>
    <s v="Adding BAM filters to Jamaica Pond outfalls"/>
    <s v="Biosorption Activated Media (BAM)"/>
    <x v="3"/>
    <x v="24"/>
    <s v="TBD"/>
    <s v="TBD"/>
    <x v="0"/>
    <s v="TBD"/>
    <n v="69575"/>
    <s v="Not provided"/>
    <s v="TBD"/>
    <s v="TBD"/>
    <s v="N/A"/>
    <s v="Structural"/>
    <s v="Planned"/>
    <x v="4"/>
    <s v="Banana River Lagoon"/>
    <s v="Not provided"/>
    <s v="Not provided"/>
    <s v="Not provided"/>
  </r>
  <r>
    <x v="6"/>
    <s v="N/A"/>
    <s v="FDOT-01"/>
    <s v="Street Sweeping"/>
    <s v="Street sweeping."/>
    <s v="Street Sweeping"/>
    <x v="0"/>
    <x v="1"/>
    <n v="49"/>
    <n v="31.2"/>
    <x v="2"/>
    <s v="Not provided"/>
    <s v="Not provided"/>
    <s v="Not provided"/>
    <s v="Florida Legislature"/>
    <s v="Not provided"/>
    <s v="N/A"/>
    <s v="Non-structural"/>
    <s v="Ongoing"/>
    <x v="0"/>
    <s v="Banana River Lagoon"/>
    <s v="N/A"/>
    <s v="N/A"/>
    <n v="2013"/>
  </r>
  <r>
    <x v="6"/>
    <s v="N/A"/>
    <s v="FDOT-02"/>
    <s v="Education Efforts"/>
    <s v="Pamphlets, illicit discharge program."/>
    <s v="Education Efforts"/>
    <x v="0"/>
    <x v="1"/>
    <n v="1"/>
    <n v="0.5"/>
    <x v="2"/>
    <s v="N/A"/>
    <s v="Not provided"/>
    <s v="Not provided"/>
    <s v="Florida Legislature"/>
    <s v="Not provided"/>
    <s v="N/A"/>
    <s v="Non-structural"/>
    <s v="Ongoing"/>
    <x v="0"/>
    <s v="Banana River Lagoon"/>
    <s v="N/A"/>
    <s v="N/A"/>
    <n v="2004"/>
  </r>
  <r>
    <x v="6"/>
    <s v="N/A"/>
    <s v="FDOT-03"/>
    <s v="Fertilizer Cessation"/>
    <s v="Elimination of fertilizer application in rights-of-way."/>
    <s v="Fertilizer Cessation"/>
    <x v="0"/>
    <x v="13"/>
    <n v="102"/>
    <n v="0"/>
    <x v="2"/>
    <n v="103"/>
    <s v="Not provided"/>
    <s v="Not provided"/>
    <s v="Florida Legislature"/>
    <s v="Not provided"/>
    <s v="N/A"/>
    <s v="Non-structural"/>
    <s v="Completed"/>
    <x v="0"/>
    <s v="Banana River Lagoon"/>
    <s v="N/A"/>
    <s v="N/A"/>
    <n v="2012"/>
  </r>
  <r>
    <x v="6"/>
    <s v="N/A"/>
    <s v="FDOT-04"/>
    <s v="FM: 237139 D5_70120-3518-01"/>
    <s v="Pond 7."/>
    <s v="Wet Detention Pond"/>
    <x v="0"/>
    <x v="3"/>
    <n v="63"/>
    <n v="15.8"/>
    <x v="0"/>
    <n v="4.7"/>
    <s v="Not provided"/>
    <s v="Not provided"/>
    <s v="Florida Legislature"/>
    <s v="Not provided"/>
    <s v="N/A"/>
    <s v="Structural"/>
    <s v="Completed"/>
    <x v="0"/>
    <s v="Banana River Lagoon"/>
    <n v="28.5441"/>
    <n v="-80.922321999999994"/>
    <n v="2000"/>
  </r>
  <r>
    <x v="6"/>
    <s v="N/A"/>
    <s v="FDOT-05"/>
    <s v="FM: 237454 D5_70100-3553-01"/>
    <s v="French drains."/>
    <s v="On-line Retention BMPs"/>
    <x v="0"/>
    <x v="3"/>
    <n v="23"/>
    <n v="11.3"/>
    <x v="0"/>
    <n v="5"/>
    <s v="Not provided"/>
    <s v="Not provided"/>
    <s v="Florida Legislature"/>
    <s v="Not provided"/>
    <s v="N/A"/>
    <s v="Structural"/>
    <s v="Completed"/>
    <x v="0"/>
    <s v="Banana River Lagoon"/>
    <n v="28.357659000000002"/>
    <n v="-80.664201000000006"/>
    <n v="1997"/>
  </r>
  <r>
    <x v="6"/>
    <s v="N/A"/>
    <s v="FDOT-06"/>
    <s v="FM: 237447 D5_70008-3505-02"/>
    <s v="Pond 2."/>
    <s v="Wet Detention Pond"/>
    <x v="0"/>
    <x v="3"/>
    <n v="9"/>
    <n v="5"/>
    <x v="0"/>
    <n v="3.4"/>
    <s v="Not provided"/>
    <s v="Not provided"/>
    <s v="Florida Legislature"/>
    <s v="Not provided"/>
    <s v="N/A"/>
    <s v="Structural"/>
    <s v="Completed"/>
    <x v="0"/>
    <s v="Banana River Lagoon"/>
    <n v="28.139733"/>
    <n v="-80.599216999999996"/>
    <n v="1995"/>
  </r>
  <r>
    <x v="6"/>
    <s v="N/A"/>
    <s v="FDOT-07"/>
    <s v="FM: 237447 D5_70008-3505-03"/>
    <s v="Pond 3."/>
    <s v="On-line Retention BMPs"/>
    <x v="0"/>
    <x v="3"/>
    <n v="7"/>
    <n v="4.2"/>
    <x v="0"/>
    <n v="2.8"/>
    <s v="Not provided"/>
    <s v="Not provided"/>
    <s v="Florida Legislature"/>
    <s v="Not provided"/>
    <s v="N/A"/>
    <s v="Structural"/>
    <s v="Completed"/>
    <x v="0"/>
    <s v="Banana River Lagoon"/>
    <n v="28.144908000000001"/>
    <n v="-80.598887000000005"/>
    <n v="1995"/>
  </r>
  <r>
    <x v="6"/>
    <s v="N/A"/>
    <s v="FDOT-08"/>
    <s v="FM: 237447 D5_70008-3505-04"/>
    <s v="French drains."/>
    <s v="On-line Retention BMPs"/>
    <x v="0"/>
    <x v="3"/>
    <n v="12"/>
    <n v="6.8"/>
    <x v="0"/>
    <n v="3.8"/>
    <s v="Not provided"/>
    <s v="Not provided"/>
    <s v="Florida Legislature"/>
    <s v="Not provided"/>
    <s v="N/A"/>
    <s v="Structural"/>
    <s v="Completed"/>
    <x v="0"/>
    <s v="Banana River Lagoon"/>
    <n v="28.147299"/>
    <n v="-80.599070999999995"/>
    <n v="1995"/>
  </r>
  <r>
    <x v="6"/>
    <s v="N/A"/>
    <s v="FDOT-09"/>
    <s v="FM: 237482 D5_70060-3533-01"/>
    <s v="French drains."/>
    <s v="On-line Retention BMPs"/>
    <x v="0"/>
    <x v="3"/>
    <n v="1"/>
    <n v="0.8"/>
    <x v="0"/>
    <n v="0.4"/>
    <s v="Not provided"/>
    <s v="Not provided"/>
    <s v="Florida Legislature"/>
    <s v="Not provided"/>
    <s v="N/A"/>
    <s v="Structural"/>
    <s v="Completed"/>
    <x v="0"/>
    <s v="Banana River Lagoon"/>
    <n v="28.265895"/>
    <n v="-80.606020999999998"/>
    <n v="1995"/>
  </r>
  <r>
    <x v="6"/>
    <s v="N/A"/>
    <s v="FDOT-10"/>
    <s v="FM: 237453 D5_70008-3507-01"/>
    <s v="Pond 1."/>
    <s v="Wet Detention Pond"/>
    <x v="0"/>
    <x v="3"/>
    <n v="26"/>
    <n v="9.5"/>
    <x v="0"/>
    <n v="8.6999999999999993"/>
    <s v="Not provided"/>
    <s v="Not provided"/>
    <s v="Florida Legislature"/>
    <s v="Not provided"/>
    <s v="N/A"/>
    <s v="Structural"/>
    <s v="Completed"/>
    <x v="0"/>
    <s v="Banana River Lagoon"/>
    <n v="28.157042000000001"/>
    <n v="-80.599922000000007"/>
    <n v="1997"/>
  </r>
  <r>
    <x v="6"/>
    <s v="N/A"/>
    <s v="FDOT-11"/>
    <s v="FM: 237453 D5_70008-3507-02"/>
    <s v="Pond 2."/>
    <s v="Wet Detention Pond"/>
    <x v="0"/>
    <x v="3"/>
    <n v="24"/>
    <n v="7.4"/>
    <x v="0"/>
    <n v="10.7"/>
    <s v="Not provided"/>
    <s v="Not provided"/>
    <s v="Florida Legislature"/>
    <s v="Not provided"/>
    <s v="N/A"/>
    <s v="Structural"/>
    <s v="Completed"/>
    <x v="0"/>
    <s v="Banana River Lagoon"/>
    <n v="28.157042000000001"/>
    <n v="-80.604068999999996"/>
    <n v="1997"/>
  </r>
  <r>
    <x v="6"/>
    <s v="N/A"/>
    <s v="FDOT-12"/>
    <s v="FM: 237712 D5_70060-3519-01"/>
    <s v="French drains."/>
    <s v="On-line Retention BMPs"/>
    <x v="0"/>
    <x v="3"/>
    <n v="36"/>
    <n v="8.9"/>
    <x v="0"/>
    <n v="2.5"/>
    <s v="Not provided"/>
    <s v="Not provided"/>
    <s v="Florida Legislature"/>
    <s v="Not provided"/>
    <s v="N/A"/>
    <s v="Structural"/>
    <s v="Completed"/>
    <x v="0"/>
    <s v="Banana River Lagoon"/>
    <n v="28.320333999999999"/>
    <n v="-80.609013000000004"/>
    <n v="2001"/>
  </r>
  <r>
    <x v="6"/>
    <s v="N/A"/>
    <s v="FDOT-13"/>
    <s v="FM: 422691-01 D5_422691-01"/>
    <s v="French drains."/>
    <s v="On-line Retention BMPs"/>
    <x v="0"/>
    <x v="3"/>
    <n v="15"/>
    <n v="3.8"/>
    <x v="0"/>
    <n v="1.3"/>
    <s v="Not provided"/>
    <s v="Not provided"/>
    <s v="Florida Legislature"/>
    <s v="Not provided"/>
    <s v="N/A"/>
    <s v="Structural"/>
    <s v="Completed"/>
    <x v="0"/>
    <s v="Banana River Lagoon"/>
    <n v="28.320732"/>
    <n v="-80.608808999999994"/>
    <n v="2007"/>
  </r>
  <r>
    <x v="6"/>
    <s v="N/A"/>
    <s v="FDOT-14"/>
    <s v="Street Sweeping"/>
    <s v="Street sweeping."/>
    <s v="Street Sweeping"/>
    <x v="0"/>
    <x v="1"/>
    <n v="354"/>
    <n v="193"/>
    <x v="0"/>
    <s v="N/A"/>
    <s v="Not provided"/>
    <s v="Not provided"/>
    <s v="Florida Legislature"/>
    <s v="Not provided"/>
    <s v="N/A"/>
    <s v="Non-structural"/>
    <s v="Ongoing"/>
    <x v="0"/>
    <s v="Banana River Lagoon"/>
    <s v="N/A"/>
    <s v="N/A"/>
    <n v="2015"/>
  </r>
  <r>
    <x v="6"/>
    <s v="N/A"/>
    <s v="FDOT-15"/>
    <s v="Education Efforts"/>
    <s v="Pamphlets, illicit discharge program."/>
    <s v="Education Efforts"/>
    <x v="0"/>
    <x v="1"/>
    <n v="25"/>
    <n v="8"/>
    <x v="0"/>
    <s v="N/A"/>
    <s v="Not provided"/>
    <s v="Not provided"/>
    <s v="Florida Legislature"/>
    <s v="Not provided"/>
    <s v="N/A"/>
    <s v="Non-structural"/>
    <s v="Ongoing"/>
    <x v="0"/>
    <s v="Banana River Lagoon"/>
    <s v="N/A"/>
    <s v="N/A"/>
    <n v="2004"/>
  </r>
  <r>
    <x v="6"/>
    <s v="N/A"/>
    <s v="FDOT-16"/>
    <s v="Fertilizer Cessation"/>
    <s v="Fertilizer cessation."/>
    <s v="Fertilizer Cessation"/>
    <x v="0"/>
    <x v="13"/>
    <n v="1544"/>
    <n v="56"/>
    <x v="0"/>
    <s v="N/A"/>
    <s v="Not provided"/>
    <s v="Not provided"/>
    <s v="Florida Legislature"/>
    <s v="Not provided"/>
    <s v="N/A"/>
    <s v="Non-structural"/>
    <s v="Completed"/>
    <x v="0"/>
    <s v="Banana River Lagoon"/>
    <s v="N/A"/>
    <s v="N/A"/>
    <n v="2016"/>
  </r>
  <r>
    <x v="7"/>
    <s v="Not provided"/>
    <s v="KSC-01"/>
    <s v="KSC Landscape Fertilizer Reduction"/>
    <s v="Not provided."/>
    <s v="Fertilizer Reduction"/>
    <x v="0"/>
    <x v="1"/>
    <n v="1872"/>
    <n v="265.39999999999998"/>
    <x v="2"/>
    <n v="200"/>
    <s v="Not provided"/>
    <s v="Not provided"/>
    <s v="Not provided"/>
    <s v="Not provided"/>
    <s v="N/A"/>
    <s v="Non-structural"/>
    <s v="Ongoing"/>
    <x v="0"/>
    <s v="Banana River Lagoon"/>
    <s v="Not provided"/>
    <s v="Not provided"/>
    <s v="Not provided"/>
  </r>
  <r>
    <x v="7"/>
    <s v="Not provided"/>
    <s v="KSC-02"/>
    <s v="KSC Citrus Grove Termination Jerome Rd. East"/>
    <s v="Not provided."/>
    <s v="Land Use Change"/>
    <x v="0"/>
    <x v="16"/>
    <n v="0"/>
    <n v="0"/>
    <x v="2"/>
    <n v="49.4"/>
    <s v="N/A"/>
    <s v="N/A"/>
    <s v="N/A"/>
    <s v="N/A"/>
    <s v="N/A"/>
    <s v="Non-structural"/>
    <s v="Completed"/>
    <x v="0"/>
    <s v="Banana River Lagoon"/>
    <s v="Not provided"/>
    <s v="Not provided"/>
    <s v="Not provided"/>
  </r>
  <r>
    <x v="7"/>
    <s v="Not provided"/>
    <s v="KSC-03"/>
    <s v="KSC Citrus Grove Termination  TEL-IV"/>
    <s v="Not provided."/>
    <s v="Land Use Change"/>
    <x v="0"/>
    <x v="16"/>
    <n v="0"/>
    <n v="0"/>
    <x v="2"/>
    <n v="20.5"/>
    <s v="N/A"/>
    <s v="N/A"/>
    <s v="N/A"/>
    <s v="N/A"/>
    <s v="N/A"/>
    <s v="Non-structural"/>
    <s v="Completed"/>
    <x v="0"/>
    <s v="Banana River Lagoon"/>
    <s v="Not provided"/>
    <s v="Not provided"/>
    <s v="Not provided"/>
  </r>
  <r>
    <x v="7"/>
    <s v="Not provided"/>
    <s v="KSC-04"/>
    <s v="Vertical Processing Facility M7-1469"/>
    <s v="Not provided."/>
    <s v="Land Use Change"/>
    <x v="0"/>
    <x v="16"/>
    <n v="24"/>
    <n v="9.4"/>
    <x v="2"/>
    <n v="2.2999999999999998"/>
    <s v="N/A"/>
    <s v="N/A"/>
    <s v="N/A"/>
    <s v="N/A"/>
    <s v="N/A"/>
    <s v="Non-structural"/>
    <s v="Completed"/>
    <x v="0"/>
    <s v="Banana River Lagoon"/>
    <s v="Not provided"/>
    <s v="Not provided"/>
    <s v="Not provided"/>
  </r>
  <r>
    <x v="7"/>
    <s v="Not provided"/>
    <s v="KSC-05"/>
    <s v="Spacecraft Assembly Encapsulation Facility 2 M7-1210"/>
    <s v="Not provided."/>
    <s v="Land Use Change"/>
    <x v="0"/>
    <x v="16"/>
    <n v="15"/>
    <n v="4.9000000000000004"/>
    <x v="2"/>
    <n v="1.2"/>
    <s v="N/A"/>
    <s v="N/A"/>
    <s v="N/A"/>
    <s v="N/A"/>
    <s v="N/A"/>
    <s v="Non-structural"/>
    <s v="Completed"/>
    <x v="0"/>
    <s v="Banana River Lagoon"/>
    <s v="Not provided"/>
    <s v="Not provided"/>
    <s v="Not provided"/>
  </r>
  <r>
    <x v="7"/>
    <s v="Not provided"/>
    <s v="KSC-06"/>
    <s v="Central Heat Plant M6-595"/>
    <s v="Not provided."/>
    <s v="Land Use Change"/>
    <x v="0"/>
    <x v="16"/>
    <n v="3"/>
    <n v="1"/>
    <x v="2"/>
    <n v="0.2"/>
    <s v="N/A"/>
    <s v="N/A"/>
    <s v="N/A"/>
    <s v="N/A"/>
    <s v="N/A"/>
    <s v="Non-structural"/>
    <s v="Completed"/>
    <x v="0"/>
    <s v="Banana River Lagoon"/>
    <s v="Not provided"/>
    <s v="Not provided"/>
    <s v="Not provided"/>
  </r>
  <r>
    <x v="7"/>
    <s v="Not provided"/>
    <s v="KSC-07"/>
    <s v="Utility Shops K6-1246"/>
    <s v="Not provided."/>
    <s v="Land Use Change"/>
    <x v="0"/>
    <x v="16"/>
    <n v="3"/>
    <n v="1"/>
    <x v="2"/>
    <n v="0.3"/>
    <s v="N/A"/>
    <s v="N/A"/>
    <s v="N/A"/>
    <s v="N/A"/>
    <s v="N/A"/>
    <s v="Non-structural"/>
    <s v="Completed"/>
    <x v="0"/>
    <s v="Banana River Lagoon"/>
    <s v="Not provided"/>
    <s v="Not provided"/>
    <s v="Not provided"/>
  </r>
  <r>
    <x v="7"/>
    <s v="Not provided"/>
    <s v="KSC-08"/>
    <s v="Fire Station 2 K6-1198"/>
    <s v="Not provided."/>
    <s v="Land Use Change"/>
    <x v="0"/>
    <x v="16"/>
    <n v="5"/>
    <n v="1.5"/>
    <x v="2"/>
    <n v="0.4"/>
    <s v="N/A"/>
    <s v="N/A"/>
    <s v="N/A"/>
    <s v="N/A"/>
    <s v="N/A"/>
    <s v="Non-structural"/>
    <s v="Completed"/>
    <x v="0"/>
    <s v="Banana River Lagoon"/>
    <s v="Not provided"/>
    <s v="Not provided"/>
    <s v="Not provided"/>
  </r>
  <r>
    <x v="7"/>
    <s v="Not provided"/>
    <s v="KSC-09"/>
    <s v="Vehicle Loading Ramp  M7-0651"/>
    <s v="Not provided."/>
    <s v="Land Use Change"/>
    <x v="0"/>
    <x v="16"/>
    <n v="0"/>
    <n v="0.1"/>
    <x v="2"/>
    <n v="0"/>
    <s v="N/A"/>
    <s v="N/A"/>
    <s v="N/A"/>
    <s v="N/A"/>
    <s v="N/A"/>
    <s v="Non-structural"/>
    <s v="Completed"/>
    <x v="0"/>
    <s v="Banana River Lagoon"/>
    <s v="Not provided"/>
    <s v="Not provided"/>
    <s v="Not provided"/>
  </r>
  <r>
    <x v="7"/>
    <s v="Not provided"/>
    <s v="KSC-10"/>
    <s v="Hypergol Module Storage East  M7-1412"/>
    <s v="Not provided."/>
    <s v="Land Use Change"/>
    <x v="0"/>
    <x v="16"/>
    <n v="6"/>
    <n v="2.1"/>
    <x v="2"/>
    <n v="0.5"/>
    <s v="N/A"/>
    <s v="N/A"/>
    <s v="N/A"/>
    <s v="N/A"/>
    <s v="N/A"/>
    <s v="Non-structural"/>
    <s v="Completed"/>
    <x v="0"/>
    <s v="Banana River Lagoon"/>
    <s v="Not provided"/>
    <s v="Not provided"/>
    <s v="Not provided"/>
  </r>
  <r>
    <x v="7"/>
    <s v="Not provided"/>
    <s v="KSC-11"/>
    <s v="Hypergol Module Storage West M7-1410"/>
    <s v="Not provided."/>
    <s v="Land Use Change"/>
    <x v="0"/>
    <x v="16"/>
    <n v="8"/>
    <n v="2.6"/>
    <x v="2"/>
    <n v="0.6"/>
    <s v="N/A"/>
    <s v="N/A"/>
    <s v="N/A"/>
    <s v="N/A"/>
    <s v="N/A"/>
    <s v="Non-structural"/>
    <s v="Completed"/>
    <x v="0"/>
    <s v="Banana River Lagoon"/>
    <s v="Not provided"/>
    <s v="Not provided"/>
    <s v="Not provided"/>
  </r>
  <r>
    <x v="7"/>
    <s v="Not provided"/>
    <s v="KSC-12"/>
    <s v="Regional Stormwater Management System"/>
    <s v="Not provided."/>
    <s v="Wet Detention Pond"/>
    <x v="0"/>
    <x v="16"/>
    <n v="2541"/>
    <n v="1022.1"/>
    <x v="2"/>
    <n v="593.20000000000005"/>
    <s v="Not provided"/>
    <s v="Not provided"/>
    <s v="Not provided"/>
    <s v="Not provided"/>
    <s v="N/A"/>
    <s v="Structural"/>
    <s v="Completed"/>
    <x v="0"/>
    <s v="Banana River Lagoon"/>
    <s v="Not provided"/>
    <s v="Not provided"/>
    <s v="Not provided"/>
  </r>
  <r>
    <x v="7"/>
    <s v="Not provided"/>
    <s v="KSC-13"/>
    <s v="ARF Stormwater System"/>
    <s v="Not provided."/>
    <s v="On-line Retention BMPs"/>
    <x v="0"/>
    <x v="16"/>
    <n v="320"/>
    <n v="67.8"/>
    <x v="2"/>
    <n v="55.4"/>
    <s v="Not provided"/>
    <s v="Not provided"/>
    <s v="Not provided"/>
    <s v="Not provided"/>
    <s v="N/A"/>
    <s v="Structural"/>
    <s v="Completed"/>
    <x v="0"/>
    <s v="Banana River Lagoon"/>
    <s v="Not provided"/>
    <s v="Not provided"/>
    <s v="Not provided"/>
  </r>
  <r>
    <x v="7"/>
    <s v="Not provided"/>
    <s v="KSC-14"/>
    <s v="VAB South Wetland Treatment System"/>
    <s v="Not provided."/>
    <s v="Wetland Treatment"/>
    <x v="0"/>
    <x v="16"/>
    <n v="672"/>
    <n v="330.3"/>
    <x v="2"/>
    <n v="188.5"/>
    <s v="Not provided"/>
    <s v="Not provided"/>
    <s v="Not provided"/>
    <s v="Not provided"/>
    <s v="N/A"/>
    <s v="Structural"/>
    <s v="Completed"/>
    <x v="0"/>
    <s v="Banana River Lagoon"/>
    <s v="Not provided"/>
    <s v="Not provided"/>
    <s v="Not provided"/>
  </r>
  <r>
    <x v="7"/>
    <s v="Not provided"/>
    <s v="KSC-15"/>
    <s v="Schwartz Road Landfill"/>
    <s v="Not provided."/>
    <s v="100% On-site Retention"/>
    <x v="0"/>
    <x v="16"/>
    <n v="1341"/>
    <n v="257.10000000000002"/>
    <x v="2"/>
    <n v="122.5"/>
    <s v="Not provided"/>
    <s v="Not provided"/>
    <s v="Not provided"/>
    <s v="Not provided"/>
    <s v="N/A"/>
    <s v="Structural"/>
    <s v="Completed"/>
    <x v="0"/>
    <s v="Banana River Lagoon"/>
    <s v="Not provided"/>
    <s v="Not provided"/>
    <s v="Not provided"/>
  </r>
  <r>
    <x v="7"/>
    <s v="Not provided"/>
    <s v="KSC-16"/>
    <s v="Closed Basin 4 (Spoil Site - Static Test Road)"/>
    <s v="Not provided."/>
    <s v="100% On-site Retention"/>
    <x v="0"/>
    <x v="16"/>
    <n v="844"/>
    <n v="160.6"/>
    <x v="2"/>
    <n v="68.2"/>
    <s v="Not provided"/>
    <s v="Not provided"/>
    <s v="Not provided"/>
    <s v="Not provided"/>
    <s v="N/A"/>
    <s v="Non-structural"/>
    <s v="Completed"/>
    <x v="0"/>
    <s v="Banana River Lagoon"/>
    <s v="Not provided"/>
    <s v="Not provided"/>
    <s v="Not provided"/>
  </r>
  <r>
    <x v="7"/>
    <s v="Not provided"/>
    <s v="KSC-17"/>
    <s v="Impounded Areas"/>
    <s v="Not provided."/>
    <s v="100% On-site Retention"/>
    <x v="0"/>
    <x v="16"/>
    <n v="2444"/>
    <n v="149.6"/>
    <x v="2"/>
    <n v="1655.3"/>
    <n v="62406"/>
    <s v="Not provided"/>
    <s v="Not provided"/>
    <n v="62406"/>
    <s v="N/A"/>
    <s v="Structural"/>
    <s v="Completed"/>
    <x v="0"/>
    <s v="Banana River Lagoon"/>
    <s v="Not provided"/>
    <s v="Not provided"/>
    <s v="Not provided"/>
  </r>
  <r>
    <x v="7"/>
    <s v="Not provided"/>
    <s v="KSC-18"/>
    <s v="Depressional Storage (22nd St. to 28th St.)"/>
    <s v="Not provided."/>
    <s v="100% On-site Retention"/>
    <x v="0"/>
    <x v="16"/>
    <n v="4139"/>
    <n v="228.3"/>
    <x v="2"/>
    <n v="1008.1"/>
    <n v="491976"/>
    <s v="Not provided"/>
    <s v="Not provided"/>
    <n v="491976"/>
    <s v="N/A"/>
    <s v="Structural"/>
    <s v="Completed"/>
    <x v="0"/>
    <s v="Banana River Lagoon"/>
    <s v="Not provided"/>
    <s v="Not provided"/>
    <s v="Not provided"/>
  </r>
  <r>
    <x v="7"/>
    <s v="Not provided"/>
    <s v="KSC-19"/>
    <s v="Depressional Storage (Jerome Rd. to 22nd St.)"/>
    <s v="Not provided."/>
    <s v="100% On-site Retention"/>
    <x v="0"/>
    <x v="16"/>
    <n v="4064"/>
    <n v="283.60000000000002"/>
    <x v="2"/>
    <n v="982"/>
    <n v="477506"/>
    <s v="Not provided"/>
    <s v="Not provided"/>
    <n v="477506"/>
    <s v="N/A"/>
    <s v="Structural"/>
    <s v="Completed"/>
    <x v="0"/>
    <s v="Banana River Lagoon"/>
    <s v="Not provided"/>
    <s v="Not provided"/>
    <s v="Not provided"/>
  </r>
  <r>
    <x v="7"/>
    <s v="Not provided"/>
    <s v="KSC-20"/>
    <s v="Demolition of Facilities M7-1521 and M7-1522"/>
    <s v="Not provided."/>
    <s v="Land Use Change"/>
    <x v="0"/>
    <x v="16"/>
    <n v="7"/>
    <n v="1.8"/>
    <x v="2"/>
    <n v="0.5"/>
    <s v="N/A"/>
    <s v="N/A"/>
    <s v="N/A"/>
    <s v="N/A"/>
    <s v="N/A"/>
    <s v="Non-structural"/>
    <s v="Completed"/>
    <x v="1"/>
    <s v="Banana River Lagoon"/>
    <s v="Not provided"/>
    <s v="Not provided"/>
    <s v="Not provided"/>
  </r>
  <r>
    <x v="7"/>
    <s v="Not provided"/>
    <s v="KSC-21"/>
    <s v="Demolition of Facility M6-0339"/>
    <s v="Not provided."/>
    <s v="Land Use Change"/>
    <x v="0"/>
    <x v="16"/>
    <n v="7"/>
    <n v="2.2999999999999998"/>
    <x v="2"/>
    <n v="0.5"/>
    <s v="N/A"/>
    <s v="N/A"/>
    <s v="N/A"/>
    <s v="N/A"/>
    <s v="N/A"/>
    <s v="Non-structural"/>
    <s v="Completed"/>
    <x v="1"/>
    <s v="Banana River Lagoon"/>
    <s v="Not provided"/>
    <s v="Not provided"/>
    <s v="Not provided"/>
  </r>
  <r>
    <x v="7"/>
    <s v="Not provided"/>
    <s v="KSC-22"/>
    <s v="Demolition of Facility M7-0862"/>
    <s v="Not provided."/>
    <s v="Land Use Change"/>
    <x v="0"/>
    <x v="0"/>
    <n v="0"/>
    <n v="0.1"/>
    <x v="2"/>
    <n v="0.02"/>
    <s v="N/A"/>
    <s v="N/A"/>
    <s v="N/A"/>
    <s v="N/A"/>
    <s v="N/A"/>
    <s v="Non-structural"/>
    <s v="Completed"/>
    <x v="2"/>
    <s v="Banana River Lagoon"/>
    <s v="Not provided"/>
    <s v="Not provided"/>
    <s v="Not provided"/>
  </r>
  <r>
    <x v="7"/>
    <s v="Not provided"/>
    <s v="KSC-23"/>
    <s v="Demolition of Facility M7-1012"/>
    <s v="Not provided."/>
    <s v="Land Use Change"/>
    <x v="0"/>
    <x v="0"/>
    <n v="0"/>
    <n v="0"/>
    <x v="2"/>
    <n v="7.0000000000000001E-3"/>
    <s v="N/A"/>
    <s v="N/A"/>
    <s v="N/A"/>
    <s v="N/A"/>
    <s v="N/A"/>
    <s v="Non-structural"/>
    <s v="Completed"/>
    <x v="2"/>
    <s v="Banana River Lagoon"/>
    <s v="Not provided"/>
    <s v="Not provided"/>
    <s v="Not provided"/>
  </r>
  <r>
    <x v="7"/>
    <s v="Not provided"/>
    <s v="KSC-24"/>
    <s v="Demolition of Facility M7-1061"/>
    <s v="Not provided."/>
    <s v="Land Use Change"/>
    <x v="0"/>
    <x v="0"/>
    <n v="15"/>
    <n v="3.9"/>
    <x v="2"/>
    <n v="1.3"/>
    <s v="N/A"/>
    <s v="N/A"/>
    <s v="N/A"/>
    <s v="N/A"/>
    <s v="N/A"/>
    <s v="Non-structural"/>
    <s v="Completed"/>
    <x v="2"/>
    <s v="Banana River Lagoon"/>
    <s v="Not provided"/>
    <s v="Not provided"/>
    <s v="Not provided"/>
  </r>
  <r>
    <x v="7"/>
    <s v="Not provided"/>
    <s v="KSC-25"/>
    <s v="Demolition of Facility M7-1112"/>
    <s v="Not provided."/>
    <s v="Land Use Change"/>
    <x v="0"/>
    <x v="0"/>
    <n v="2"/>
    <n v="0.5"/>
    <x v="2"/>
    <n v="0.11"/>
    <s v="N/A"/>
    <s v="N/A"/>
    <s v="N/A"/>
    <s v="N/A"/>
    <s v="N/A"/>
    <s v="Non-structural"/>
    <s v="Completed"/>
    <x v="2"/>
    <s v="Banana River Lagoon"/>
    <s v="Not provided"/>
    <s v="Not provided"/>
    <s v="Not provided"/>
  </r>
  <r>
    <x v="7"/>
    <s v="Not provided"/>
    <s v="KSC-26"/>
    <s v="Demolition of Facility M7-0961"/>
    <s v="Not provided."/>
    <s v="Land Use Change"/>
    <x v="0"/>
    <x v="0"/>
    <n v="16"/>
    <n v="4.0999999999999996"/>
    <x v="2"/>
    <n v="1.04"/>
    <s v="N/A"/>
    <s v="N/A"/>
    <s v="N/A"/>
    <s v="N/A"/>
    <s v="N/A"/>
    <s v="Non-structural"/>
    <s v="Completed"/>
    <x v="2"/>
    <s v="Banana River Lagoon"/>
    <s v="Not provided"/>
    <s v="Not provided"/>
    <s v="Not provided"/>
  </r>
  <r>
    <x v="7"/>
    <s v="Not provided"/>
    <s v="KSC-27"/>
    <s v="Demolition of Facility K7-2468"/>
    <s v="Not provided."/>
    <s v="Land Use Change"/>
    <x v="0"/>
    <x v="0"/>
    <n v="0"/>
    <n v="0"/>
    <x v="2"/>
    <n v="0.1"/>
    <s v="N/A"/>
    <s v="N/A"/>
    <s v="N/A"/>
    <s v="N/A"/>
    <s v="N/A"/>
    <s v="Non-structural"/>
    <s v="Completed"/>
    <x v="2"/>
    <s v="Banana River Lagoon"/>
    <s v="Not provided"/>
    <s v="Not provided"/>
    <s v="Not provided"/>
  </r>
  <r>
    <x v="7"/>
    <s v="Not provided"/>
    <s v="KSC-28"/>
    <s v="Cut 13 Dredging"/>
    <s v="Maintenance dredging."/>
    <s v="Muck Removal/Restoration Dredging"/>
    <x v="2"/>
    <x v="4"/>
    <n v="0"/>
    <n v="0"/>
    <x v="2"/>
    <n v="37"/>
    <n v="14000000"/>
    <s v="Not provided"/>
    <s v="Not provided"/>
    <n v="14000000"/>
    <s v="N/A"/>
    <s v="Non-structural"/>
    <s v="In progress"/>
    <x v="5"/>
    <s v="Banana River Lagoon"/>
    <n v="28.413374999999998"/>
    <n v="80.644490000000005"/>
    <n v="2017"/>
  </r>
  <r>
    <x v="0"/>
    <s v="N/A"/>
    <s v="BC-01"/>
    <s v="Education Efforts"/>
    <s v="Florida Yards and Neighbors (FYN); landscape, irrigation, fertilizer, and pet waste ordinances; public service announcements (PSAs); pamphlets; website; Illicit Discharge Program."/>
    <s v="Education Efforts"/>
    <x v="0"/>
    <x v="1"/>
    <n v="79"/>
    <n v="14"/>
    <x v="2"/>
    <s v="N/A"/>
    <s v="N/A"/>
    <n v="40000"/>
    <s v="Utility Fee"/>
    <s v="N/A"/>
    <s v="N/A"/>
    <s v="Non-structural"/>
    <s v="Ongoing"/>
    <x v="0"/>
    <s v="Banana River Lagoon"/>
    <s v="Not provided"/>
    <s v="Not provided"/>
    <s v="Not provided"/>
  </r>
  <r>
    <x v="0"/>
    <s v="SJRWMD/ Environmentally Endangered Lands (EELS)"/>
    <s v="BC-02"/>
    <s v="Pine Island Phase I and II"/>
    <s v="Regional Stormwater Management System  includes two wet ponds (80-acres &amp; 23 acres) with gravity flow and pump station."/>
    <s v="Regional Stormwater Treatment"/>
    <x v="0"/>
    <x v="0"/>
    <n v="160"/>
    <n v="102"/>
    <x v="2"/>
    <n v="15.3"/>
    <n v="3140824"/>
    <n v="19235"/>
    <s v="EPA/ DEP TMDL"/>
    <n v="1677079"/>
    <s v="G0288/ G0344"/>
    <s v="Structural"/>
    <s v="Completed"/>
    <x v="0"/>
    <s v="Banana River Lagoon"/>
    <s v="Not provided"/>
    <s v="Not provided"/>
    <s v="Not provided"/>
  </r>
  <r>
    <x v="0"/>
    <s v="DEP"/>
    <s v="BC-03"/>
    <s v="Florida Blvd. Pond"/>
    <s v="Construction of a 2.3 acre wet detention pond to proivide treatment to a residential area in Merritt Island."/>
    <s v="Wet Detention Pond"/>
    <x v="0"/>
    <x v="3"/>
    <n v="324"/>
    <n v="126.4"/>
    <x v="0"/>
    <n v="73.599999999999994"/>
    <n v="350384"/>
    <s v="Not provided"/>
    <s v="DEP"/>
    <s v="DEP - $350,384"/>
    <s v="WM744"/>
    <s v="Structural"/>
    <s v="Completed"/>
    <x v="0"/>
    <s v="Banana River Lagoon"/>
    <s v="Not provided"/>
    <s v="Not provided"/>
    <s v="Not provided"/>
  </r>
  <r>
    <x v="0"/>
    <s v="DEP"/>
    <s v="BC-04"/>
    <s v="Hampton North (Riverside)"/>
    <s v="Upgrading a 1st generation to a 2nd generatrion baffle box by adding the nutrient separating screen."/>
    <s v="Baffle Boxes- First Generation (hydrodynamic separator)"/>
    <x v="0"/>
    <x v="3"/>
    <n v="1"/>
    <n v="1.4"/>
    <x v="0"/>
    <n v="15.3"/>
    <n v="27000"/>
    <n v="1500"/>
    <s v="DEP"/>
    <s v="DEP - $27,000"/>
    <s v="G0268"/>
    <s v="Structural"/>
    <s v="Completed"/>
    <x v="0"/>
    <s v="Banana River Lagoon"/>
    <s v="Not provided"/>
    <s v="Not provided"/>
    <s v="Not provided"/>
  </r>
  <r>
    <x v="0"/>
    <s v="DEP"/>
    <s v="BC-05"/>
    <s v="Hampton South (Needle Blvd)"/>
    <s v="Upgrading a 1st generation to a 2nd generatrion baffle box by adding the nutrient separating screen."/>
    <s v="Baffle Boxes- First Generation (hydrodynamic separator)"/>
    <x v="0"/>
    <x v="3"/>
    <n v="1"/>
    <n v="1.6"/>
    <x v="0"/>
    <n v="18.100000000000001"/>
    <n v="29000"/>
    <n v="1500"/>
    <s v="DEP"/>
    <s v="DEP - $29,000"/>
    <s v="G0268"/>
    <s v="Structural"/>
    <s v="Completed"/>
    <x v="0"/>
    <s v="Banana River Lagoon"/>
    <s v="Not provided"/>
    <s v="Not provided"/>
    <s v="Not provided"/>
  </r>
  <r>
    <x v="0"/>
    <s v="DEP"/>
    <s v="BC-06"/>
    <s v="Albatross"/>
    <s v="Upgrading a 1st generation to a 2nd generatrion baffle box by adding the nutrient separating screen."/>
    <s v="Baffle Boxes- First Generation (hydrodynamic separator)"/>
    <x v="0"/>
    <x v="3"/>
    <n v="1"/>
    <n v="1.5"/>
    <x v="0"/>
    <n v="21.8"/>
    <n v="33000"/>
    <n v="1500"/>
    <s v="DEP"/>
    <s v="DEP - $33,000"/>
    <s v="G0268"/>
    <s v="Structural"/>
    <s v="Completed"/>
    <x v="0"/>
    <s v="Banana River Lagoon"/>
    <s v="Not provided"/>
    <s v="Not provided"/>
    <s v="Not provided"/>
  </r>
  <r>
    <x v="0"/>
    <s v="DEP"/>
    <s v="BC-07"/>
    <s v="Surfside"/>
    <s v="Upgrading a 1st generation to a 2nd generatrion baffle box by adding the nutrient separating screen."/>
    <s v="Baffle Boxes- First Generation (hydrodynamic separator)"/>
    <x v="0"/>
    <x v="3"/>
    <n v="2"/>
    <n v="2.2000000000000002"/>
    <x v="0"/>
    <n v="22.8"/>
    <n v="31500"/>
    <n v="1500"/>
    <s v="DEP"/>
    <s v="DEP - $31,500"/>
    <s v="G0268"/>
    <s v="Structural"/>
    <s v="Completed"/>
    <x v="0"/>
    <s v="Banana River Lagoon"/>
    <s v="Not provided"/>
    <s v="Not provided"/>
    <s v="Not provided"/>
  </r>
  <r>
    <x v="0"/>
    <s v="DEP"/>
    <s v="BC-08"/>
    <s v="West Scots"/>
    <s v="Upgrading a 1st generation to a 2nd generatrion baffle box by adding the nutrient separating screen."/>
    <s v="Baffle Boxes- Second Generation"/>
    <x v="0"/>
    <x v="3"/>
    <n v="30"/>
    <n v="5.9"/>
    <x v="0"/>
    <n v="9.6999999999999993"/>
    <n v="41000"/>
    <n v="1500"/>
    <s v="DEP"/>
    <s v="DEP - $41,000"/>
    <s v="G0268"/>
    <s v="Structural"/>
    <s v="Completed"/>
    <x v="0"/>
    <s v="Banana River Lagoon"/>
    <s v="Not provided"/>
    <s v="Not provided"/>
    <s v="Not provided"/>
  </r>
  <r>
    <x v="0"/>
    <s v="DEP"/>
    <s v="BC-09"/>
    <s v="Johns Circle"/>
    <s v="Upgrading a 1st generation to a 2nd generatrion baffle box by adding the nutrient separating screen."/>
    <s v="Baffle Boxes- First Generation (hydrodynamic separator)"/>
    <x v="0"/>
    <x v="3"/>
    <n v="2"/>
    <n v="1.8"/>
    <x v="0"/>
    <n v="19.5"/>
    <n v="31000"/>
    <n v="1500"/>
    <s v="DEP"/>
    <s v="DEP - $31,000"/>
    <s v="G0268"/>
    <s v="Structural"/>
    <s v="Completed"/>
    <x v="0"/>
    <s v="Banana River Lagoon"/>
    <s v="Not provided"/>
    <s v="Not provided"/>
    <s v="Not provided"/>
  </r>
  <r>
    <x v="0"/>
    <s v="DEP"/>
    <s v="BC-10"/>
    <s v="Farrington Drive"/>
    <s v="Upgrading a 1st generation to a 2nd generatrion baffle box by adding the nutrient separating screen."/>
    <s v="Baffle Boxes- Second Generation"/>
    <x v="0"/>
    <x v="3"/>
    <n v="24"/>
    <n v="4.9000000000000004"/>
    <x v="0"/>
    <n v="7.8"/>
    <n v="37500"/>
    <n v="1500"/>
    <s v="DEP"/>
    <s v="DEP - $37,500"/>
    <s v="G0268"/>
    <s v="Structural"/>
    <s v="Completed"/>
    <x v="0"/>
    <s v="Banana River Lagoon"/>
    <s v="Not provided"/>
    <s v="Not provided"/>
    <s v="Not provided"/>
  </r>
  <r>
    <x v="0"/>
    <s v="DEP"/>
    <s v="BC-11"/>
    <s v="Porpoise Street"/>
    <s v="Upgrading a 1st generation to a 2nd generatrion baffle box by adding the nutrient separating screen."/>
    <s v="Baffle Boxes- Second Generation"/>
    <x v="0"/>
    <x v="3"/>
    <n v="25"/>
    <n v="4.9000000000000004"/>
    <x v="0"/>
    <n v="7.8"/>
    <n v="42000"/>
    <n v="1500"/>
    <s v="DEP"/>
    <s v="DEP - $42,000"/>
    <s v="G0268"/>
    <s v="Structural"/>
    <s v="Completed"/>
    <x v="0"/>
    <s v="Banana River Lagoon"/>
    <s v="Not provided"/>
    <s v="Not provided"/>
    <s v="Not provided"/>
  </r>
  <r>
    <x v="0"/>
    <s v="DEP"/>
    <s v="BC-12"/>
    <s v="Angler Street"/>
    <s v="Upgrading a 1st generation to a 2nd generatrion baffle box by adding the nutrient separating screen."/>
    <s v="Baffle Boxes- First Generation (hydrodynamic separator)"/>
    <x v="0"/>
    <x v="3"/>
    <n v="1"/>
    <n v="0.9"/>
    <x v="0"/>
    <n v="10.199999999999999"/>
    <n v="30700"/>
    <n v="1500"/>
    <s v="DEP"/>
    <s v="DEP - $30,700"/>
    <s v="G0268"/>
    <s v="Structural"/>
    <s v="Completed"/>
    <x v="0"/>
    <s v="Banana River Lagoon"/>
    <s v="Not provided"/>
    <s v="Not provided"/>
    <s v="Not provided"/>
  </r>
  <r>
    <x v="0"/>
    <s v="DEP"/>
    <s v="BC-13"/>
    <s v="Diana Shores"/>
    <s v="Installing a Vortech Unit to treat runoff form an old residential, multi family and commercial area."/>
    <s v="Hydrodynamic Separators"/>
    <x v="0"/>
    <x v="3"/>
    <n v="0"/>
    <n v="17"/>
    <x v="0"/>
    <n v="38.6"/>
    <n v="102000"/>
    <n v="1500"/>
    <s v="DEP"/>
    <s v="DEP - $102,000"/>
    <s v="G0268"/>
    <s v="Structural"/>
    <s v="Completed"/>
    <x v="0"/>
    <s v="Banana River Lagoon"/>
    <s v="Not provided"/>
    <s v="Not provided"/>
    <s v="Not provided"/>
  </r>
  <r>
    <x v="0"/>
    <s v="N/A"/>
    <s v="BC-14"/>
    <s v="Education Efforts"/>
    <s v="FYN; landscape, irrigation, fertilizer, and pet waste ordinances; public service announcements (PSAs); pamphlets; website; Illicit Discharge Program."/>
    <s v="Education Efforts"/>
    <x v="0"/>
    <x v="1"/>
    <n v="3854"/>
    <n v="825"/>
    <x v="0"/>
    <s v="N/A"/>
    <s v="Not provided"/>
    <s v="Not provided"/>
    <s v="N/A"/>
    <s v="N/A"/>
    <s v="N/A"/>
    <s v="Non-structural"/>
    <s v="Ongoing"/>
    <x v="0"/>
    <s v="Banana River Lagoon"/>
    <s v="N/A"/>
    <s v="N/A"/>
    <s v="Not provided"/>
  </r>
  <r>
    <x v="0"/>
    <s v="N/A"/>
    <s v="BC-15"/>
    <s v="Street Sweeping"/>
    <s v="Street sweeping on 786 miles eight times per year."/>
    <s v="Street Sweeping"/>
    <x v="0"/>
    <x v="1"/>
    <n v="525"/>
    <n v="336"/>
    <x v="2"/>
    <s v="N/A"/>
    <s v="N/A"/>
    <n v="50000"/>
    <s v="N/A"/>
    <s v="N/A"/>
    <s v="N/A"/>
    <s v="Non-structural"/>
    <s v="Ongoing"/>
    <x v="0"/>
    <s v="Banana River Lagoon"/>
    <s v="N/A"/>
    <s v="N/A"/>
    <s v="Not provided"/>
  </r>
  <r>
    <x v="0"/>
    <s v="DEP"/>
    <s v="BC-16"/>
    <s v="Fortenberry Pond"/>
    <s v="22.3 Acre Regional Stormwater Detention Pond designed to accommodate water quality treatment for pre-existing development as well as for future build-out of commercial properties through the purchase of stormwater credits."/>
    <s v="Wet Detention Pond"/>
    <x v="0"/>
    <x v="0"/>
    <n v="847"/>
    <n v="364.6"/>
    <x v="0"/>
    <n v="164.5"/>
    <n v="10900000"/>
    <n v="35000"/>
    <s v="DEP TMDL"/>
    <s v="DEP TMDL - $340,533"/>
    <s v="S0646"/>
    <s v="Structural"/>
    <s v="Completed"/>
    <x v="0"/>
    <s v="Banana River Lagoon"/>
    <s v="Not provided"/>
    <s v="Not provided"/>
    <s v="Not provided"/>
  </r>
  <r>
    <x v="0"/>
    <s v="DEP"/>
    <s v="BC-17"/>
    <s v="Merritt Island Airport Pond"/>
    <s v="Redirection of run-off from a drainage basin with no treatment through a swale and to a pond that was expanded to provide water quality."/>
    <s v="Wet Detention Pond"/>
    <x v="0"/>
    <x v="3"/>
    <n v="458"/>
    <n v="160"/>
    <x v="0"/>
    <n v="148.19999999999999"/>
    <n v="652056"/>
    <s v="Not provided"/>
    <s v="DEP"/>
    <s v="DEP - $652,056"/>
    <s v="S0439"/>
    <s v="Structural"/>
    <s v="Completed"/>
    <x v="0"/>
    <s v="Banana River Lagoon"/>
    <s v="Not provided"/>
    <s v="Not provided"/>
    <s v="Not provided"/>
  </r>
  <r>
    <x v="0"/>
    <s v="Not provided"/>
    <s v="BC-18"/>
    <s v="Florida Boulevard"/>
    <s v="Installation of floating vegetation islands to remove nitrogen from an existing wet detention pond."/>
    <s v="Floating Islands/ Managed Aquatic Plant Systems (MAPS)"/>
    <x v="0"/>
    <x v="3"/>
    <n v="117"/>
    <n v="14.3"/>
    <x v="0"/>
    <n v="73.599999999999994"/>
    <n v="40772"/>
    <n v="18295"/>
    <s v="Not provided"/>
    <n v="40772"/>
    <s v="Not provided"/>
    <s v="Structural"/>
    <s v="Completed"/>
    <x v="0"/>
    <s v="Banana River Lagoon"/>
    <s v="Not provided"/>
    <s v="Not provided"/>
    <s v="Not provided"/>
  </r>
  <r>
    <x v="3"/>
    <s v="TBD"/>
    <s v="IHB-37"/>
    <s v="Gleason Park Irrigation Phase 3"/>
    <s v="Expansion of irrigation in Gleason Park to cover SE area of park."/>
    <s v="Reclaimed Water"/>
    <x v="0"/>
    <x v="7"/>
    <s v="TBD"/>
    <s v="TBD"/>
    <x v="0"/>
    <n v="129"/>
    <n v="12000"/>
    <s v="Not provided"/>
    <s v="City of IHB Stormwater Utility"/>
    <s v="N/A"/>
    <s v="N/A"/>
    <s v="Structural"/>
    <s v="Completed"/>
    <x v="6"/>
    <s v="Banana River Lagoon"/>
    <s v="Not provided"/>
    <s v="Not provided"/>
    <s v="Not provided"/>
  </r>
  <r>
    <x v="0"/>
    <s v="MIRA/ SJRWMD/ SOIRL/ DEP"/>
    <s v="BC-44"/>
    <s v="MIRA Phase 2 Septic to Sewer (S. Tropical Tr.)"/>
    <s v="Connect 80 commercial properties to sewer."/>
    <s v="OSTDS Phase Out"/>
    <x v="0"/>
    <x v="8"/>
    <s v="TBD"/>
    <s v="N/A"/>
    <x v="0"/>
    <s v="N/A"/>
    <s v="Not provided"/>
    <s v="Not provided"/>
    <s v="SJRWMD/ SOIRL/ DEP"/>
    <s v="Not provided"/>
    <n v="28731"/>
    <s v="Structural"/>
    <s v="Completed"/>
    <x v="6"/>
    <s v="Banana River Lagoon"/>
    <s v="Not provided"/>
    <s v="Not provided"/>
    <s v="Not provided"/>
  </r>
  <r>
    <x v="0"/>
    <s v="SOIRL/ Brevard Zoo"/>
    <s v="BC-45"/>
    <s v="Bettinger Oyster Bar"/>
    <s v="Construct 120-linear foot oyster bar."/>
    <s v="Creating/ Enhancing Oyster Reefs"/>
    <x v="0"/>
    <x v="7"/>
    <s v="TBD"/>
    <s v="TBD"/>
    <x v="0"/>
    <s v="Not provided"/>
    <n v="101680"/>
    <s v="Not provided"/>
    <s v="Not provided"/>
    <n v="10680"/>
    <s v="N/A"/>
    <s v="Structural"/>
    <s v="Completed"/>
    <x v="6"/>
    <s v="Banana River Lagoon"/>
    <s v="Not provided"/>
    <s v="Not provided"/>
    <s v="Not provided"/>
  </r>
  <r>
    <x v="0"/>
    <s v="SOIRL/ Brevard Zoo"/>
    <s v="BC-46"/>
    <s v="Gitlin Oyster Bar"/>
    <s v="Construct 180 linear foot oyster reef."/>
    <s v="Creating/ Enhancing Oyster Reefs"/>
    <x v="0"/>
    <x v="7"/>
    <s v="TBD"/>
    <s v="TBD"/>
    <x v="0"/>
    <s v="Not provided"/>
    <n v="16020"/>
    <s v="Not provided"/>
    <s v="SOIRL"/>
    <n v="16020"/>
    <s v="N/A"/>
    <s v="Structural"/>
    <s v="Completed"/>
    <x v="6"/>
    <s v="Banana River Lagoon"/>
    <s v="Not provided"/>
    <s v="Not provided"/>
    <s v="Not provided"/>
  </r>
  <r>
    <x v="0"/>
    <s v="SOIRL/ Brevard Zoo"/>
    <s v="BC-47"/>
    <s v="Marina Isles Oyster Restoration"/>
    <s v="Construct 1500 linear foot oyster reef."/>
    <s v="Creating/ Enhancing Oyster Reefs"/>
    <x v="0"/>
    <x v="7"/>
    <s v="TBD"/>
    <s v="TBD"/>
    <x v="0"/>
    <s v="Not provided"/>
    <n v="26700"/>
    <s v="Not provided"/>
    <s v="SOIRL"/>
    <n v="26700"/>
    <s v="N/A"/>
    <s v="Structural"/>
    <s v="Completed"/>
    <x v="6"/>
    <s v="Banana River Lagoon"/>
    <s v="Not provided"/>
    <s v="Not provided"/>
    <s v="Not provided"/>
  </r>
  <r>
    <x v="0"/>
    <s v="SOIRL/ MRC"/>
    <s v="BC-48"/>
    <s v="Cocoa Beach Living Shoreline"/>
    <s v="Plant 200 mangroves and 1000 spartina along shoreline of Cocoa Beach Country Club."/>
    <s v="Creating/ Enhancing Living Shoreline"/>
    <x v="0"/>
    <x v="9"/>
    <s v="TBD"/>
    <s v="TBD"/>
    <x v="0"/>
    <s v="Not provided"/>
    <n v="16080"/>
    <s v="Not provided"/>
    <s v="SOIRL"/>
    <n v="16080"/>
    <s v="N/A"/>
    <s v="Structural"/>
    <s v="Completed"/>
    <x v="6"/>
    <s v="Banana River Lagoon"/>
    <s v="Not provided"/>
    <s v="Not provided"/>
    <s v="Not provided"/>
  </r>
  <r>
    <x v="0"/>
    <s v="SOIRL/ Cocoa Beach"/>
    <s v="BC-49"/>
    <s v="Cocoa Beach Muck Dredging Phase III"/>
    <s v="Remove 300,000 cubic yards of muck."/>
    <s v="Muck Removal/Restoration Dredging"/>
    <x v="0"/>
    <x v="7"/>
    <s v="TBD"/>
    <s v="TBD"/>
    <x v="0"/>
    <s v="Not provided"/>
    <n v="2236566"/>
    <s v="Not provided"/>
    <s v="SOIRL/ DEP/ SJRWMD"/>
    <s v="Not provided"/>
    <s v="N/A"/>
    <s v="Non-structural"/>
    <s v="Completed"/>
    <x v="6"/>
    <s v="Banana River Lagoon"/>
    <s v="Not provided"/>
    <s v="Not provided"/>
    <s v="Not provided"/>
  </r>
  <r>
    <x v="0"/>
    <s v="SOIRL"/>
    <s v="BC-50"/>
    <s v="Education Efforts"/>
    <s v="Fertilizer, grass clippings, and septic system maintenance."/>
    <s v="Education Efforts"/>
    <x v="2"/>
    <x v="23"/>
    <s v="TBD"/>
    <s v="TBD"/>
    <x v="2"/>
    <s v="N/A"/>
    <n v="375000"/>
    <s v="Not provided"/>
    <s v="SOIRL"/>
    <n v="375000"/>
    <s v="N/A"/>
    <s v="Non-structural"/>
    <s v="Underway"/>
    <x v="6"/>
    <s v="Banana River Lagoon"/>
    <s v="Not provided"/>
    <s v="Not provided"/>
    <s v="Not provided"/>
  </r>
  <r>
    <x v="0"/>
    <s v="SOIRL"/>
    <s v="BC-50a"/>
    <s v="Education Efforts"/>
    <s v="Fertilizer, grass clippings, and septic system maintenance."/>
    <s v="Education Efforts"/>
    <x v="2"/>
    <x v="23"/>
    <s v="TBD"/>
    <s v="TBD"/>
    <x v="0"/>
    <s v="N/A"/>
    <n v="375000"/>
    <s v="Not provided"/>
    <s v="SOIRL"/>
    <n v="375000"/>
    <s v="N/A"/>
    <s v="Non-structural"/>
    <s v="Underway"/>
    <x v="6"/>
    <s v="Banana River Lagoon"/>
    <s v="Not provided"/>
    <s v="Not provided"/>
    <s v="Not provided"/>
  </r>
  <r>
    <x v="0"/>
    <s v="DEP"/>
    <s v="BC-51"/>
    <s v="Andrix Blvd. - BB#973"/>
    <s v="Biosorption Activated Media installed within existing Merritt Island drainage ditch system to remove nitrogen from groundwater baseflow."/>
    <s v="Biosorption Activated Media (BAM)"/>
    <x v="0"/>
    <x v="7"/>
    <s v="TBD"/>
    <s v="TBD"/>
    <x v="0"/>
    <s v="Not provided"/>
    <n v="55000"/>
    <n v="1500"/>
    <s v="Legislative Funding"/>
    <n v="35000"/>
    <s v="LP0511A"/>
    <s v="Structural"/>
    <s v="Completed"/>
    <x v="6"/>
    <s v="Banana River Lagoon"/>
    <s v="Not provided"/>
    <s v="Not provided"/>
    <s v="Not provided"/>
  </r>
  <r>
    <x v="0"/>
    <s v="MIRA/ SJRWMD/ SOIRL/ DEP"/>
    <s v="BC-52"/>
    <s v="MIRA Phase 2 Bioswale Treatment Train (Merritt Ridge Pond)"/>
    <s v="Modification of existing wet pond to include bioswale with BAM."/>
    <s v="BMP Treatment Train"/>
    <x v="0"/>
    <x v="7"/>
    <s v="TBD"/>
    <s v="TBD"/>
    <x v="0"/>
    <n v="210"/>
    <s v="Not provided"/>
    <s v="Not provided"/>
    <s v="Not provided"/>
    <s v="Not provided"/>
    <n v="28731"/>
    <s v="Structural"/>
    <s v="Completed"/>
    <x v="6"/>
    <s v="Banana River Lagoon"/>
    <s v="Not provided"/>
    <s v="Not provided"/>
    <s v="Not provided"/>
  </r>
  <r>
    <x v="0"/>
    <s v="MIRA/ SJRWMD/ SOIRL/ DEP"/>
    <s v="BC-53"/>
    <s v="MIRA Phase 3 Septic to Sewer (Cone Rd)"/>
    <s v="Connect 30+ commercial properties to sewer."/>
    <s v="OSTDS Phase Out"/>
    <x v="2"/>
    <x v="8"/>
    <s v="TBD"/>
    <s v="TBD"/>
    <x v="0"/>
    <s v="N/A"/>
    <s v="Not provided"/>
    <s v="Not provided"/>
    <s v="Not provided"/>
    <s v="Not provided"/>
    <n v="28731"/>
    <s v="Structural"/>
    <s v="Underway"/>
    <x v="6"/>
    <s v="Banana River Lagoon"/>
    <s v="Not provided"/>
    <s v="Not provided"/>
    <s v="Not provided"/>
  </r>
  <r>
    <x v="0"/>
    <s v="SOIRL"/>
    <s v="BC-54"/>
    <s v="Grass Clippings Campaign Phase 1"/>
    <s v="Marketing and surveying."/>
    <s v="Education Efforts"/>
    <x v="0"/>
    <x v="7"/>
    <s v="TBD"/>
    <s v="TBD"/>
    <x v="2"/>
    <s v="N/A"/>
    <n v="6666.66"/>
    <s v="N/A"/>
    <s v="SOIRL"/>
    <n v="20000"/>
    <s v="N/A"/>
    <s v="Non-structural"/>
    <s v="Completed"/>
    <x v="6"/>
    <s v="Banana River Lagoon"/>
    <s v="Not provided"/>
    <s v="Not provided"/>
    <s v="Not provided"/>
  </r>
  <r>
    <x v="0"/>
    <s v="SOIRL"/>
    <s v="BC-54a"/>
    <s v="Grass Clippings Campaign Phase 1"/>
    <s v="Marketing and surveying."/>
    <s v="Education Efforts"/>
    <x v="0"/>
    <x v="8"/>
    <s v="TBD"/>
    <s v="TBD"/>
    <x v="0"/>
    <s v="N/A"/>
    <n v="6667.66"/>
    <s v="N/A"/>
    <s v="SOIRL"/>
    <n v="20001"/>
    <s v="N/A"/>
    <s v="Non-structural"/>
    <s v="Completed"/>
    <x v="6"/>
    <s v="Banana River Lagoon"/>
    <s v="Not provided"/>
    <s v="Not provided"/>
    <s v="Not provided"/>
  </r>
  <r>
    <x v="2"/>
    <s v="N/A"/>
    <s v="CC-41"/>
    <s v="Carbon (Micro C) Feed System Installation"/>
    <s v="WWTF Effluent Polishing System."/>
    <s v="WWTF Upgrade"/>
    <x v="2"/>
    <x v="17"/>
    <s v="TBD"/>
    <s v="TBD"/>
    <x v="0"/>
    <s v="N/A"/>
    <s v="TBD"/>
    <s v="TBD"/>
    <s v="City"/>
    <s v="TBD"/>
    <s v="N/A"/>
    <s v="Structural"/>
    <s v="Underway"/>
    <x v="6"/>
    <s v="Banana River Lagoon"/>
    <n v="28.392531999999999"/>
    <n v="80.617655999999997"/>
    <s v="Not provided"/>
  </r>
  <r>
    <x v="8"/>
    <s v="Not provided"/>
    <s v="PAFB-01"/>
    <s v="Youth Center Bldg. 3656"/>
    <s v="Added on-line retention."/>
    <s v="On-line Retention BMPs"/>
    <x v="0"/>
    <x v="3"/>
    <n v="3"/>
    <n v="0.9"/>
    <x v="0"/>
    <n v="1.7"/>
    <s v="Not provided"/>
    <s v="Not provided"/>
    <s v="Not provided"/>
    <s v="Not provided"/>
    <s v="N/A"/>
    <s v="Structural"/>
    <s v="Completed"/>
    <x v="0"/>
    <s v="Banana River Lagoon"/>
    <s v="Not provided"/>
    <s v="Not provided"/>
    <s v="Not provided"/>
  </r>
  <r>
    <x v="8"/>
    <s v="Not provided"/>
    <s v="PAFB-02"/>
    <s v="Building 543 Replace Main Gate"/>
    <s v="Added on-line retention."/>
    <s v="On-line Retention BMPs"/>
    <x v="0"/>
    <x v="3"/>
    <n v="0"/>
    <n v="0.1"/>
    <x v="0"/>
    <n v="0.2"/>
    <s v="Not provided"/>
    <s v="Not provided"/>
    <s v="Not provided"/>
    <s v="Not provided"/>
    <s v="N/A"/>
    <s v="Structural"/>
    <s v="Completed"/>
    <x v="0"/>
    <s v="Banana River Lagoon"/>
    <s v="Not provided"/>
    <s v="Not provided"/>
    <s v="Not provided"/>
  </r>
  <r>
    <x v="8"/>
    <s v="USACE"/>
    <s v="PAFB-03"/>
    <s v="Basin 6B No Discharge"/>
    <s v="No discharge."/>
    <s v="100% On-site Retention"/>
    <x v="0"/>
    <x v="2"/>
    <n v="46"/>
    <n v="12.5"/>
    <x v="0"/>
    <n v="3.2"/>
    <s v="Not provided"/>
    <s v="Not provided"/>
    <s v="USAF"/>
    <s v="Not provided"/>
    <s v="N/A"/>
    <s v="Non-structural"/>
    <s v="Completed"/>
    <x v="0"/>
    <s v="Banana River Lagoon"/>
    <s v="28o14'16.93&quot; N"/>
    <s v="80o36'17.54&quot; W"/>
    <s v="Not provided"/>
  </r>
  <r>
    <x v="8"/>
    <s v="USACE"/>
    <s v="PAFB-04"/>
    <s v="Basin 6C No Discharge"/>
    <s v="No discharge."/>
    <s v="100% On-site Retention"/>
    <x v="0"/>
    <x v="2"/>
    <n v="164"/>
    <n v="43.5"/>
    <x v="0"/>
    <n v="11.3"/>
    <s v="Not provided"/>
    <s v="Not provided"/>
    <s v="USAF"/>
    <s v="Not provided"/>
    <s v="N/A"/>
    <s v="Non-structural"/>
    <s v="Completed"/>
    <x v="0"/>
    <s v="Banana River Lagoon"/>
    <s v="28o14'16.93&quot; N"/>
    <s v="80o36'17.54&quot; W"/>
    <s v="Not provided"/>
  </r>
  <r>
    <x v="8"/>
    <s v="Not provided"/>
    <s v="PAFB-05"/>
    <s v="Education Efforts"/>
    <s v="In addition to no fertilizer use on base, 212 personnel/ residents received initial stormwater awareness training in the monthly newcomers meetings; additional 347 personnel received stormwater awareness using the ESOHTN website or in-person training; 204 Illicit Discharge Detection and Elimination (IDDE) informational brochures were distributed to residents, businesses and base personnel in 2017. Two stormwater-related articles were published for distribution through the base newpaper and website in 2017."/>
    <s v="Enhanced Public Education"/>
    <x v="0"/>
    <x v="1"/>
    <n v="367"/>
    <n v="97"/>
    <x v="0"/>
    <s v="N/A"/>
    <s v="Not provided"/>
    <s v="Not provided"/>
    <s v="USAF"/>
    <s v="Not provided"/>
    <s v="N/A"/>
    <s v="Non-structural"/>
    <s v="Ongoing"/>
    <x v="0"/>
    <s v="Banana River Lagoon"/>
    <s v="N/A"/>
    <s v="N/A"/>
    <s v="Not provided"/>
  </r>
  <r>
    <x v="8"/>
    <s v="Not provided"/>
    <s v="PAFB-06"/>
    <s v="Golf Course Pond Stormwater Reuse"/>
    <s v="Golf course pond stormwater reuse for irrigation."/>
    <s v="Stormwater Reuse"/>
    <x v="0"/>
    <x v="3"/>
    <n v="3677"/>
    <n v="969.9"/>
    <x v="0"/>
    <n v="348.9"/>
    <n v="850000"/>
    <s v="Not provided"/>
    <s v="USAF"/>
    <n v="850000"/>
    <s v="N/A"/>
    <s v="Structural"/>
    <s v="Completed"/>
    <x v="0"/>
    <s v="Banana River Lagoon"/>
    <s v="Not provided"/>
    <s v="Not provided"/>
    <s v="Not provided"/>
  </r>
  <r>
    <x v="8"/>
    <s v="Not provided"/>
    <s v="PAFB-07"/>
    <s v="Street Sweeping"/>
    <s v="Removed 8.5 tons of sediment and disposed of it at a landfill."/>
    <s v="Street Sweeping"/>
    <x v="0"/>
    <x v="1"/>
    <n v="11"/>
    <n v="7"/>
    <x v="0"/>
    <n v="14705"/>
    <s v="Not provided"/>
    <n v="119000"/>
    <s v="USAF"/>
    <s v="Not provided"/>
    <s v="N/A"/>
    <s v="Non-structural"/>
    <s v="Completed"/>
    <x v="5"/>
    <s v="Banana River Lagoon"/>
    <s v="N/A"/>
    <s v="N/A"/>
    <s v="2016"/>
  </r>
  <r>
    <x v="8"/>
    <s v="Not provided"/>
    <s v="PAFB-08"/>
    <s v="Demo AFTEC Bldg."/>
    <s v="Demolition/ loss of impervious area."/>
    <s v="Land use change"/>
    <x v="0"/>
    <x v="1"/>
    <n v="0"/>
    <n v="12.84"/>
    <x v="0"/>
    <s v="Not provided"/>
    <s v="N/A"/>
    <s v="N/A"/>
    <s v="N/A"/>
    <s v="N/A"/>
    <s v="N/A"/>
    <s v="Non-structural"/>
    <s v="Completed"/>
    <x v="5"/>
    <s v="Banana River Lagoon"/>
    <s v="Not provided"/>
    <s v="Not provided"/>
    <s v="Not provided"/>
  </r>
  <r>
    <x v="8"/>
    <s v="Not provided"/>
    <s v="PAFB-09"/>
    <s v="Fuel Farm Baffle Box"/>
    <s v="PAFB 2nd generation baffle box located north of the Fuel Farm - Subbasins 13A and 13B."/>
    <s v="Baffle Boxes- Second Generation"/>
    <x v="0"/>
    <x v="5"/>
    <n v="228"/>
    <n v="43"/>
    <x v="0"/>
    <s v="Not provided"/>
    <s v="Not provided"/>
    <s v="Not provided"/>
    <s v="USAF"/>
    <s v="Not provided"/>
    <s v="N/A"/>
    <s v="Structural"/>
    <s v="Completed"/>
    <x v="5"/>
    <s v="Banana River Lagoon"/>
    <s v="Not provided"/>
    <s v="Not provided"/>
    <s v="Not provided"/>
  </r>
  <r>
    <x v="8"/>
    <s v="Not provided"/>
    <s v="PAFB-10"/>
    <s v="South Patrick Drive Baffle Box"/>
    <s v="No longer a PAFB project."/>
    <s v="Baffle Boxes- Second Generation"/>
    <x v="1"/>
    <x v="1"/>
    <s v="N/A"/>
    <s v="N/A"/>
    <x v="1"/>
    <s v="N/A"/>
    <s v="N/A"/>
    <s v="N/A"/>
    <s v="N/A"/>
    <s v="N/A"/>
    <s v="N/A"/>
    <s v="Structural"/>
    <s v="Underway"/>
    <x v="5"/>
    <s v="Banana River Lagoon"/>
    <s v="N/A"/>
    <s v="N/A"/>
    <s v="N/A"/>
  </r>
  <r>
    <x v="8"/>
    <s v="Not provided"/>
    <s v="PAFB-11"/>
    <s v="Canal/ Basin Clean Out"/>
    <s v="170 inlets/ pipes/ swales/ ponds were inspected and 89 maintenance operations of stormwater systems were performed in 2017."/>
    <s v="On-line Retention BMPs"/>
    <x v="0"/>
    <x v="4"/>
    <n v="71"/>
    <n v="29"/>
    <x v="0"/>
    <s v="N/A"/>
    <n v="134500"/>
    <n v="134500"/>
    <s v="USAF"/>
    <n v="134500"/>
    <s v="N/A"/>
    <s v="Structural"/>
    <s v="Completed"/>
    <x v="5"/>
    <s v="Banana River Lagoon"/>
    <s v="N/A"/>
    <s v="N/A"/>
    <s v="2017"/>
  </r>
  <r>
    <x v="8"/>
    <s v="USACE"/>
    <s v="PAFB-12"/>
    <s v="Ponds Without Discharge"/>
    <s v="Documenting no discharge from existing retention ponds. Subbasins 11A, 18A, and 18B."/>
    <s v="Impoundment"/>
    <x v="0"/>
    <x v="4"/>
    <n v="424"/>
    <n v="52"/>
    <x v="0"/>
    <n v="87"/>
    <s v="Not provided"/>
    <s v="Not provided"/>
    <s v="USAF"/>
    <s v="Not provided"/>
    <s v="N/A"/>
    <s v="Structural"/>
    <s v="Completed"/>
    <x v="5"/>
    <s v="Banana River Lagoon"/>
    <s v="28o15'12.62&quot; N"/>
    <s v="80o36'14.73&quot; W"/>
    <s v="Not provided"/>
  </r>
  <r>
    <x v="8"/>
    <s v="USACE"/>
    <s v="PAFB-13"/>
    <s v="Dry Detention Ponds after 2000"/>
    <s v="Documenting treatment from existing completed ERP projects that were not included in the PLSM model."/>
    <s v="Dry Detention Pond"/>
    <x v="0"/>
    <x v="5"/>
    <n v="195"/>
    <n v="45"/>
    <x v="0"/>
    <n v="144.23684280000001"/>
    <s v="Not provided"/>
    <s v="Not provided"/>
    <s v="USAF"/>
    <s v="Not provided"/>
    <s v="N/A"/>
    <s v="Structural"/>
    <s v="Completed"/>
    <x v="5"/>
    <s v="Banana River Lagoon"/>
    <s v="Not provided"/>
    <s v="Not provided"/>
    <s v="Not provided"/>
  </r>
  <r>
    <x v="8"/>
    <s v="USACE"/>
    <s v="PAFB-14"/>
    <s v="Golf Course MAPS Install"/>
    <s v="Install 4 MAPS at the golf course within the retention ponds."/>
    <s v="Floating Islands/ Managed Aquatic Plant Systems (MAPS)"/>
    <x v="2"/>
    <x v="9"/>
    <s v="TBD"/>
    <s v="TBD"/>
    <x v="0"/>
    <n v="3"/>
    <s v="Not provided"/>
    <n v="2000"/>
    <s v="USAF"/>
    <s v="Not provided"/>
    <s v="N/A"/>
    <s v="Structural"/>
    <s v="Not provided"/>
    <x v="3"/>
    <s v="Banana River Lagoon"/>
    <s v="28o12'53.08&quot; N"/>
    <s v="80o36'36.47&quot; W"/>
    <s v="2017"/>
  </r>
  <r>
    <x v="8"/>
    <s v="USACE"/>
    <s v="PAFB-15"/>
    <s v="TMDL Monitoring and Data Collection"/>
    <s v="Collected stormwater and baseflow nutrient concentrations and rainfall data from 5 monitoring stations; collected baseflow and stormwater runoff flow volume data and groundwater elevation data from 9 monitoring stations."/>
    <s v="Monitoring/Data Collection"/>
    <x v="0"/>
    <x v="9"/>
    <s v="N/A"/>
    <s v="N/A"/>
    <x v="0"/>
    <s v="N/A"/>
    <n v="1850000"/>
    <n v="370000"/>
    <s v="USAF"/>
    <n v="1850000"/>
    <s v="N/A"/>
    <s v="Non-structural"/>
    <s v="Not provided"/>
    <x v="3"/>
    <s v="Banana River Lagoon"/>
    <s v="N/A"/>
    <s v="N/A"/>
    <s v="2011"/>
  </r>
  <r>
    <x v="8"/>
    <s v="FEMA/ Installation Restoration Program (IRP)/  U.S. Air Force Civil Engineering Center (AFCEC)"/>
    <s v="PAFB-16"/>
    <s v="Shoreline Stabilization Projects"/>
    <s v="6 Projects:_x000a_West of Runway 11: 490 LF of riprap, 780 LF of marsh sill barrier (living shoreline), and planting native marsh grasses between the existing shoreline and breakwater._x000a_Eastern Portion of Landfill No. 5 along Survival Canal: 2,570 LF of riprap, 256 LF of living shoreline, and plantings of native species in the upland areas._x000a_North Housing: repair and supplement existing rock rip-rap with the installation of 20 marsh sills_x000a_Fuel Farm to Runway 11: repair and supplement existing rock rip-rap with the installation of 17 marsh sills_x000a_FamCamp: supplement existing open sand areas with the installation of 26 marsh sills_x000a_Airfield: install 280 feet of new rock rip-rap, supplemental sand placement along the shoreline, fill 0.58 acre of shoreline, and installation of 56 marsh sills"/>
    <s v="Shoreline Stabilization"/>
    <x v="2"/>
    <x v="7"/>
    <s v="TBD"/>
    <s v="TBD"/>
    <x v="0"/>
    <n v="249"/>
    <n v="11676000"/>
    <s v="TBD"/>
    <s v="USAF/ Air Force Environmental Restoration Account (AFERA)"/>
    <n v="11676000"/>
    <s v="N/A"/>
    <s v="Structural"/>
    <s v="Not provided"/>
    <x v="3"/>
    <s v="Banana River Lagoon"/>
    <s v="N/A"/>
    <s v="N/A"/>
    <s v="2017"/>
  </r>
  <r>
    <x v="8"/>
    <s v="Not provided"/>
    <s v="PAFB-17"/>
    <s v="Public Education"/>
    <s v="Six outreach events were held: Annual Spring Beach Cleanup; PAFB Riverside Cleanup; Earth Day Memorial Tree Planting; Earth Day Outreach at the BX; Space Wing Family Day; and PAFB Fall Beach Cleanup._x000a_"/>
    <s v="Enhanced Public Education"/>
    <x v="0"/>
    <x v="4"/>
    <s v="N/A"/>
    <s v="N/A"/>
    <x v="0"/>
    <s v="N/A"/>
    <s v="Not provided"/>
    <s v="N/A"/>
    <s v="USAF"/>
    <s v="Not provided"/>
    <s v="N/A"/>
    <s v="Non-structural"/>
    <s v="Not provided"/>
    <x v="3"/>
    <s v="Banana River Lagoon"/>
    <s v="N/A"/>
    <s v="N/A"/>
    <n v="2017"/>
  </r>
  <r>
    <x v="8"/>
    <s v="Not provided"/>
    <s v="PAFB-18"/>
    <s v="Manatee Cove Marina entrance Dredging Project"/>
    <s v="Removed 2,500 cubic yards of sand from the Manatee Cove Marina entrance."/>
    <s v="Muck Removal/Restoration Dredging"/>
    <x v="0"/>
    <x v="4"/>
    <s v="TBD"/>
    <s v="TBD"/>
    <x v="0"/>
    <s v="N/A"/>
    <s v="Not provided"/>
    <s v="Not provided"/>
    <s v="USAF"/>
    <s v="TBD"/>
    <s v="N/A"/>
    <s v="Non-structural"/>
    <s v="Not provided"/>
    <x v="3"/>
    <s v="Banana River Lagoon"/>
    <s v="28o12'49.28&quot; N"/>
    <s v="80o37'00.42&quot; W"/>
    <n v="2017"/>
  </r>
  <r>
    <x v="8"/>
    <s v="N/A"/>
    <s v="PAFB-19"/>
    <s v="Wetlands as Filters"/>
    <s v="Jurisdictional wetlands consist of four canals that directly connect to the Banana River totaling 35.7 surface acres."/>
    <s v="Natural Wetlands as Filters"/>
    <x v="1"/>
    <x v="1"/>
    <s v="N/A"/>
    <s v="N/A"/>
    <x v="0"/>
    <s v="TBD"/>
    <s v="N/A"/>
    <s v="N/A"/>
    <s v="N/A"/>
    <s v="N/A"/>
    <s v="N/A"/>
    <s v="Non-structural"/>
    <s v="Not provided"/>
    <x v="3"/>
    <s v="Banana River Lagoon"/>
    <s v="N/A"/>
    <s v="N/A"/>
    <s v="TBD"/>
  </r>
  <r>
    <x v="9"/>
    <m/>
    <m/>
    <m/>
    <m/>
    <m/>
    <x v="4"/>
    <x v="25"/>
    <m/>
    <m/>
    <x v="4"/>
    <m/>
    <m/>
    <m/>
    <m/>
    <m/>
    <m/>
    <m/>
    <m/>
    <x v="7"/>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109A2B9-CFA4-4644-AD5E-59EFACD568D1}" name="PivotTable15" cacheId="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P1:P2" firstHeaderRow="1" firstDataRow="1" firstDataCol="0"/>
  <pivotFields count="1">
    <pivotField dataField="1" showAll="0"/>
  </pivotFields>
  <rowItems count="1">
    <i/>
  </rowItems>
  <colItems count="1">
    <i/>
  </colItems>
  <dataFields count="1">
    <dataField name="Count of Proj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1ABEFEC-B5F0-42A5-B30A-60DE712A1506}" name="PivotTable14" cacheId="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M1:M2" firstHeaderRow="1" firstDataRow="1" firstDataCol="0"/>
  <pivotFields count="1">
    <pivotField dataField="1" showAll="0"/>
  </pivotFields>
  <rowItems count="1">
    <i/>
  </rowItems>
  <colItems count="1">
    <i/>
  </colItems>
  <dataFields count="1">
    <dataField name="Sum of ProjID" fld="0" baseField="0" baseItem="123097856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4645076-76B3-4248-B4AB-78F827AE8FE2}" name="PivotTable3" cacheId="10"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5:C19" firstHeaderRow="0" firstDataRow="1" firstDataCol="1" rowPageCount="1" colPageCount="1"/>
  <pivotFields count="24">
    <pivotField axis="axisRow" showAll="0">
      <items count="11">
        <item x="0"/>
        <item x="4"/>
        <item x="2"/>
        <item x="1"/>
        <item x="3"/>
        <item x="5"/>
        <item x="6"/>
        <item x="7"/>
        <item x="8"/>
        <item x="9"/>
        <item t="default"/>
      </items>
    </pivotField>
    <pivotField showAll="0"/>
    <pivotField showAll="0"/>
    <pivotField showAll="0"/>
    <pivotField showAll="0"/>
    <pivotField showAll="0"/>
    <pivotField axis="axisPage" multipleItemSelectionAllowed="1" showAll="0">
      <items count="6">
        <item h="1" x="1"/>
        <item x="0"/>
        <item h="1" x="3"/>
        <item h="1" x="2"/>
        <item h="1" x="4"/>
        <item t="default"/>
      </items>
    </pivotField>
    <pivotField showAll="0"/>
    <pivotField dataField="1" showAll="0"/>
    <pivotField dataField="1" showAll="0"/>
    <pivotField axis="axisRow">
      <items count="6">
        <item h="1" sd="0" x="1"/>
        <item n="A Total " x="2"/>
        <item n="B Total" x="0"/>
        <item h="1" x="3"/>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0"/>
    <field x="0"/>
  </rowFields>
  <rowItems count="14">
    <i>
      <x v="1"/>
    </i>
    <i r="1">
      <x/>
    </i>
    <i r="1">
      <x v="1"/>
    </i>
    <i r="1">
      <x v="6"/>
    </i>
    <i r="1">
      <x v="7"/>
    </i>
    <i>
      <x v="2"/>
    </i>
    <i r="1">
      <x/>
    </i>
    <i r="1">
      <x v="2"/>
    </i>
    <i r="1">
      <x v="3"/>
    </i>
    <i r="1">
      <x v="4"/>
    </i>
    <i r="1">
      <x v="5"/>
    </i>
    <i r="1">
      <x v="6"/>
    </i>
    <i r="1">
      <x v="8"/>
    </i>
    <i t="grand">
      <x/>
    </i>
  </rowItems>
  <colFields count="1">
    <field x="-2"/>
  </colFields>
  <colItems count="2">
    <i>
      <x/>
    </i>
    <i i="1">
      <x v="1"/>
    </i>
  </colItems>
  <pageFields count="1">
    <pageField fld="6" hier="-1"/>
  </pageFields>
  <dataFields count="2">
    <dataField name="Sum of TNReduction(lbs/yr)" fld="8" baseField="10" baseItem="1"/>
    <dataField name="Sum of TPReduction(lbs/yr)" fld="9" baseField="10" baseItem="1"/>
  </dataFields>
  <formats count="41">
    <format dxfId="52">
      <pivotArea type="all" dataOnly="0" outline="0" fieldPosition="0"/>
    </format>
    <format dxfId="51">
      <pivotArea outline="0" collapsedLevelsAreSubtotals="1" fieldPosition="0"/>
    </format>
    <format dxfId="50">
      <pivotArea field="10" type="button" dataOnly="0" labelOnly="1" outline="0" axis="axisRow" fieldPosition="0"/>
    </format>
    <format dxfId="49">
      <pivotArea dataOnly="0" labelOnly="1" fieldPosition="0">
        <references count="1">
          <reference field="10" count="3">
            <x v="1"/>
            <x v="2"/>
            <x v="3"/>
          </reference>
        </references>
      </pivotArea>
    </format>
    <format dxfId="48">
      <pivotArea dataOnly="0" labelOnly="1" grandRow="1" outline="0" fieldPosition="0"/>
    </format>
    <format dxfId="47">
      <pivotArea type="all" dataOnly="0" outline="0" fieldPosition="0"/>
    </format>
    <format dxfId="46">
      <pivotArea outline="0" collapsedLevelsAreSubtotals="1" fieldPosition="0"/>
    </format>
    <format dxfId="45">
      <pivotArea field="10" type="button" dataOnly="0" labelOnly="1" outline="0" axis="axisRow" fieldPosition="0"/>
    </format>
    <format dxfId="44">
      <pivotArea dataOnly="0" labelOnly="1" fieldPosition="0">
        <references count="1">
          <reference field="10" count="3">
            <x v="1"/>
            <x v="2"/>
            <x v="3"/>
          </reference>
        </references>
      </pivotArea>
    </format>
    <format dxfId="43">
      <pivotArea dataOnly="0" labelOnly="1" grandRow="1" outline="0" fieldPosition="0"/>
    </format>
    <format dxfId="42">
      <pivotArea type="all" dataOnly="0" outline="0" fieldPosition="0"/>
    </format>
    <format dxfId="41">
      <pivotArea outline="0" collapsedLevelsAreSubtotals="1" fieldPosition="0"/>
    </format>
    <format dxfId="40">
      <pivotArea field="10" type="button" dataOnly="0" labelOnly="1" outline="0" axis="axisRow" fieldPosition="0"/>
    </format>
    <format dxfId="39">
      <pivotArea dataOnly="0" labelOnly="1" fieldPosition="0">
        <references count="1">
          <reference field="10" count="3">
            <x v="1"/>
            <x v="2"/>
            <x v="3"/>
          </reference>
        </references>
      </pivotArea>
    </format>
    <format dxfId="38">
      <pivotArea dataOnly="0" labelOnly="1" grandRow="1" outline="0" fieldPosition="0"/>
    </format>
    <format dxfId="37">
      <pivotArea field="10" type="button" dataOnly="0" labelOnly="1" outline="0" axis="axisRow" fieldPosition="0"/>
    </format>
    <format dxfId="36">
      <pivotArea dataOnly="0" labelOnly="1" fieldPosition="0">
        <references count="1">
          <reference field="10" count="3">
            <x v="1"/>
            <x v="2"/>
            <x v="3"/>
          </reference>
        </references>
      </pivotArea>
    </format>
    <format dxfId="35">
      <pivotArea dataOnly="0" labelOnly="1" grandRow="1" outline="0" fieldPosition="0"/>
    </format>
    <format dxfId="34">
      <pivotArea outline="0" collapsedLevelsAreSubtotals="1" fieldPosition="0"/>
    </format>
    <format dxfId="33">
      <pivotArea collapsedLevelsAreSubtotals="1" fieldPosition="0">
        <references count="1">
          <reference field="10" count="1">
            <x v="1"/>
          </reference>
        </references>
      </pivotArea>
    </format>
    <format dxfId="32">
      <pivotArea dataOnly="0" labelOnly="1" fieldPosition="0">
        <references count="1">
          <reference field="10" count="1">
            <x v="1"/>
          </reference>
        </references>
      </pivotArea>
    </format>
    <format dxfId="31">
      <pivotArea collapsedLevelsAreSubtotals="1" fieldPosition="0">
        <references count="1">
          <reference field="10" count="1">
            <x v="2"/>
          </reference>
        </references>
      </pivotArea>
    </format>
    <format dxfId="30">
      <pivotArea dataOnly="0" labelOnly="1" fieldPosition="0">
        <references count="1">
          <reference field="10" count="1">
            <x v="2"/>
          </reference>
        </references>
      </pivotArea>
    </format>
    <format dxfId="29">
      <pivotArea dataOnly="0" labelOnly="1" fieldPosition="0">
        <references count="1">
          <reference field="10" count="1">
            <x v="3"/>
          </reference>
        </references>
      </pivotArea>
    </format>
    <format dxfId="28">
      <pivotArea collapsedLevelsAreSubtotals="1" fieldPosition="0">
        <references count="1">
          <reference field="10" count="1">
            <x v="2"/>
          </reference>
        </references>
      </pivotArea>
    </format>
    <format dxfId="27">
      <pivotArea dataOnly="0" labelOnly="1" fieldPosition="0">
        <references count="1">
          <reference field="10" count="1">
            <x v="2"/>
          </reference>
        </references>
      </pivotArea>
    </format>
    <format dxfId="26">
      <pivotArea collapsedLevelsAreSubtotals="1" fieldPosition="0">
        <references count="1">
          <reference field="10" count="1">
            <x v="1"/>
          </reference>
        </references>
      </pivotArea>
    </format>
    <format dxfId="25">
      <pivotArea dataOnly="0" labelOnly="1" fieldPosition="0">
        <references count="1">
          <reference field="10" count="1">
            <x v="1"/>
          </reference>
        </references>
      </pivotArea>
    </format>
    <format dxfId="24">
      <pivotArea dataOnly="0" labelOnly="1" fieldPosition="0">
        <references count="1">
          <reference field="10" count="1">
            <x v="2"/>
          </reference>
        </references>
      </pivotArea>
    </format>
    <format dxfId="23">
      <pivotArea dataOnly="0" labelOnly="1" grandRow="1" outline="0" fieldPosition="0"/>
    </format>
    <format dxfId="22">
      <pivotArea type="all" dataOnly="0" outline="0" fieldPosition="0"/>
    </format>
    <format dxfId="21">
      <pivotArea outline="0" collapsedLevelsAreSubtotals="1" fieldPosition="0"/>
    </format>
    <format dxfId="20">
      <pivotArea field="10" type="button" dataOnly="0" labelOnly="1" outline="0" axis="axisRow" fieldPosition="0"/>
    </format>
    <format dxfId="19">
      <pivotArea dataOnly="0" labelOnly="1" fieldPosition="0">
        <references count="1">
          <reference field="10" count="2">
            <x v="1"/>
            <x v="2"/>
          </reference>
        </references>
      </pivotArea>
    </format>
    <format dxfId="18">
      <pivotArea dataOnly="0" labelOnly="1" grandRow="1" outline="0" fieldPosition="0"/>
    </format>
    <format dxfId="17">
      <pivotArea type="all" dataOnly="0" outline="0" fieldPosition="0"/>
    </format>
    <format dxfId="16">
      <pivotArea outline="0" collapsedLevelsAreSubtotals="1" fieldPosition="0"/>
    </format>
    <format dxfId="15">
      <pivotArea field="10" type="button" dataOnly="0" labelOnly="1" outline="0" axis="axisRow" fieldPosition="0"/>
    </format>
    <format dxfId="14">
      <pivotArea dataOnly="0" labelOnly="1" fieldPosition="0">
        <references count="1">
          <reference field="10" count="2">
            <x v="1"/>
            <x v="2"/>
          </reference>
        </references>
      </pivotArea>
    </format>
    <format dxfId="13">
      <pivotArea dataOnly="0" labelOnly="1" grandRow="1" outline="0" fieldPosition="0"/>
    </format>
    <format dxfId="12">
      <pivotArea dataOnly="0" labelOnly="1" fieldPosition="0">
        <references count="1">
          <reference field="10" count="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90EC344-335D-41AB-B44B-4A39A2D8CE0F}" name="PivotTable1" cacheId="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29" firstHeaderRow="1" firstDataRow="1" firstDataCol="1" rowPageCount="1" colPageCount="1"/>
  <pivotFields count="25">
    <pivotField showAll="0"/>
    <pivotField showAll="0"/>
    <pivotField showAll="0"/>
    <pivotField showAll="0"/>
    <pivotField showAll="0"/>
    <pivotField showAll="0"/>
    <pivotField showAll="0"/>
    <pivotField axis="axisPage" multipleItemSelectionAllowed="1" showAll="0">
      <items count="5">
        <item h="1" x="1"/>
        <item x="0"/>
        <item h="1" x="3"/>
        <item h="1" x="2"/>
        <item t="default"/>
      </items>
    </pivotField>
    <pivotField axis="axisRow" showAll="0">
      <items count="26">
        <item x="12"/>
        <item x="13"/>
        <item x="11"/>
        <item x="14"/>
        <item x="6"/>
        <item x="3"/>
        <item x="16"/>
        <item x="0"/>
        <item x="5"/>
        <item x="4"/>
        <item x="9"/>
        <item x="7"/>
        <item x="8"/>
        <item x="17"/>
        <item x="15"/>
        <item x="19"/>
        <item x="20"/>
        <item x="21"/>
        <item x="22"/>
        <item x="23"/>
        <item x="24"/>
        <item x="18"/>
        <item x="1"/>
        <item x="2"/>
        <item x="10"/>
        <item t="default"/>
      </items>
    </pivotField>
    <pivotField dataField="1" showAll="0"/>
    <pivotField showAll="0"/>
    <pivotField axis="axisRow" showAll="0">
      <items count="5">
        <item h="1" x="1"/>
        <item x="2"/>
        <item x="0"/>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1"/>
    <field x="8"/>
  </rowFields>
  <rowItems count="26">
    <i>
      <x v="1"/>
    </i>
    <i r="1">
      <x v="1"/>
    </i>
    <i r="1">
      <x v="6"/>
    </i>
    <i r="1">
      <x v="7"/>
    </i>
    <i r="1">
      <x v="9"/>
    </i>
    <i r="1">
      <x v="10"/>
    </i>
    <i r="1">
      <x v="11"/>
    </i>
    <i r="1">
      <x v="22"/>
    </i>
    <i>
      <x v="2"/>
    </i>
    <i r="1">
      <x/>
    </i>
    <i r="1">
      <x v="1"/>
    </i>
    <i r="1">
      <x v="2"/>
    </i>
    <i r="1">
      <x v="3"/>
    </i>
    <i r="1">
      <x v="4"/>
    </i>
    <i r="1">
      <x v="5"/>
    </i>
    <i r="1">
      <x v="6"/>
    </i>
    <i r="1">
      <x v="7"/>
    </i>
    <i r="1">
      <x v="8"/>
    </i>
    <i r="1">
      <x v="9"/>
    </i>
    <i r="1">
      <x v="10"/>
    </i>
    <i r="1">
      <x v="11"/>
    </i>
    <i r="1">
      <x v="12"/>
    </i>
    <i r="1">
      <x v="21"/>
    </i>
    <i r="1">
      <x v="22"/>
    </i>
    <i r="1">
      <x v="23"/>
    </i>
    <i t="grand">
      <x/>
    </i>
  </rowItems>
  <colItems count="1">
    <i/>
  </colItems>
  <pageFields count="1">
    <pageField fld="7" hier="-1"/>
  </pageFields>
  <dataFields count="1">
    <dataField name="Sum of TNReduction(lbs/yr)" fld="9" baseField="10" baseItem="1"/>
  </dataFields>
  <formats count="2">
    <format dxfId="11">
      <pivotArea outline="0" collapsedLevelsAreSubtotals="1" fieldPosition="0"/>
    </format>
    <format dxfId="1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90AC36B4-3B42-4B54-BBC5-93F9F5D92836}" name="PivotTable1" cacheId="1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29" firstHeaderRow="1" firstDataRow="1" firstDataCol="1" rowPageCount="1" colPageCount="1"/>
  <pivotFields count="24">
    <pivotField showAll="0"/>
    <pivotField showAll="0"/>
    <pivotField showAll="0"/>
    <pivotField showAll="0"/>
    <pivotField showAll="0"/>
    <pivotField showAll="0"/>
    <pivotField axis="axisPage" multipleItemSelectionAllowed="1" showAll="0">
      <items count="6">
        <item h="1" x="1"/>
        <item x="0"/>
        <item h="1" x="3"/>
        <item h="1" x="2"/>
        <item h="1" x="4"/>
        <item t="default"/>
      </items>
    </pivotField>
    <pivotField axis="axisRow" showAll="0">
      <items count="27">
        <item x="12"/>
        <item x="13"/>
        <item x="11"/>
        <item x="14"/>
        <item x="6"/>
        <item x="3"/>
        <item x="16"/>
        <item x="0"/>
        <item x="5"/>
        <item x="4"/>
        <item x="9"/>
        <item x="7"/>
        <item x="8"/>
        <item x="17"/>
        <item x="15"/>
        <item x="19"/>
        <item x="20"/>
        <item x="21"/>
        <item x="22"/>
        <item x="23"/>
        <item x="24"/>
        <item x="18"/>
        <item x="1"/>
        <item x="2"/>
        <item x="10"/>
        <item x="25"/>
        <item t="default"/>
      </items>
    </pivotField>
    <pivotField showAll="0"/>
    <pivotField dataField="1" showAll="0"/>
    <pivotField axis="axisRow" showAll="0">
      <items count="6">
        <item h="1" x="1"/>
        <item x="2"/>
        <item x="0"/>
        <item h="1" x="3"/>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0"/>
    <field x="7"/>
  </rowFields>
  <rowItems count="26">
    <i>
      <x v="1"/>
    </i>
    <i r="1">
      <x v="1"/>
    </i>
    <i r="1">
      <x v="6"/>
    </i>
    <i r="1">
      <x v="7"/>
    </i>
    <i r="1">
      <x v="9"/>
    </i>
    <i r="1">
      <x v="10"/>
    </i>
    <i r="1">
      <x v="11"/>
    </i>
    <i r="1">
      <x v="22"/>
    </i>
    <i>
      <x v="2"/>
    </i>
    <i r="1">
      <x/>
    </i>
    <i r="1">
      <x v="1"/>
    </i>
    <i r="1">
      <x v="2"/>
    </i>
    <i r="1">
      <x v="3"/>
    </i>
    <i r="1">
      <x v="4"/>
    </i>
    <i r="1">
      <x v="5"/>
    </i>
    <i r="1">
      <x v="6"/>
    </i>
    <i r="1">
      <x v="7"/>
    </i>
    <i r="1">
      <x v="8"/>
    </i>
    <i r="1">
      <x v="9"/>
    </i>
    <i r="1">
      <x v="10"/>
    </i>
    <i r="1">
      <x v="11"/>
    </i>
    <i r="1">
      <x v="12"/>
    </i>
    <i r="1">
      <x v="21"/>
    </i>
    <i r="1">
      <x v="22"/>
    </i>
    <i r="1">
      <x v="23"/>
    </i>
    <i t="grand">
      <x/>
    </i>
  </rowItems>
  <colItems count="1">
    <i/>
  </colItems>
  <pageFields count="1">
    <pageField fld="6" hier="-1"/>
  </pageFields>
  <dataFields count="1">
    <dataField name="Sum of TPReduction(lbs/yr)" fld="9" baseField="7" baseItem="22"/>
  </dataFields>
  <formats count="2">
    <format dxfId="9">
      <pivotArea outline="0" collapsedLevelsAreSubtotals="1" fieldPosition="0"/>
    </format>
    <format dxfId="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F918D62E-6451-4F4C-A391-155CCEA4EECB}" name="PivotTable20"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J11:K16" firstHeaderRow="1" firstDataRow="1" firstDataCol="1"/>
  <pivotFields count="25">
    <pivotField showAll="0"/>
    <pivotField showAll="0"/>
    <pivotField showAll="0"/>
    <pivotField showAll="0"/>
    <pivotField showAll="0"/>
    <pivotField showAll="0"/>
    <pivotField showAll="0"/>
    <pivotField axis="axisRow" dataField="1" showAll="0">
      <items count="6">
        <item x="1"/>
        <item x="0"/>
        <item x="3"/>
        <item x="2"/>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5">
    <i>
      <x/>
    </i>
    <i>
      <x v="1"/>
    </i>
    <i>
      <x v="2"/>
    </i>
    <i>
      <x v="3"/>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BE2A0C40-B74C-4367-8E66-001C306F712A}" name="PivotTable21" cacheId="10"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3:D4" firstHeaderRow="0" firstDataRow="1" firstDataCol="0" rowPageCount="1" colPageCount="1"/>
  <pivotFields count="24">
    <pivotField showAll="0"/>
    <pivotField showAll="0"/>
    <pivotField showAll="0"/>
    <pivotField showAll="0"/>
    <pivotField showAll="0"/>
    <pivotField showAll="0"/>
    <pivotField axis="axisPage" multipleItemSelectionAllowed="1" showAll="0">
      <items count="6">
        <item h="1" x="1"/>
        <item x="0"/>
        <item h="1" x="3"/>
        <item h="1" x="2"/>
        <item h="1" x="4"/>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6" hier="-1"/>
  </pageFields>
  <dataFields count="4">
    <dataField name="Sum of CostAnnualO&amp;M" fld="13" baseField="0" baseItem="1" numFmtId="165"/>
    <dataField name="Sum of CostEstimate" fld="12" baseField="0" baseItem="1" numFmtId="165"/>
    <dataField name="Sum of TNReduction(lbs/yr)" fld="8" baseField="0" baseItem="1" numFmtId="3"/>
    <dataField name="Sum of TPReduction(lbs/yr)" fld="9" baseField="0" baseItem="1" numFmtId="3"/>
  </dataFields>
  <formats count="4">
    <format dxfId="3">
      <pivotArea outline="0" collapsedLevelsAreSubtotals="1" fieldPosition="0">
        <references count="1">
          <reference field="4294967294" count="1" selected="0">
            <x v="0"/>
          </reference>
        </references>
      </pivotArea>
    </format>
    <format dxfId="2">
      <pivotArea outline="0" collapsedLevelsAreSubtotals="1" fieldPosition="0">
        <references count="1">
          <reference field="4294967294" count="1" selected="0">
            <x v="1"/>
          </reference>
        </references>
      </pivotArea>
    </format>
    <format dxfId="1">
      <pivotArea outline="0" collapsedLevelsAreSubtotals="1" fieldPosition="0">
        <references count="1">
          <reference field="4294967294" count="1" selected="0">
            <x v="2"/>
          </reference>
        </references>
      </pivotArea>
    </format>
    <format dxfId="0">
      <pivotArea outline="0" collapsedLevelsAreSubtotals="1" fieldPosition="0">
        <references count="1">
          <reference field="4294967294" count="1" selected="0">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700-000001000000}" name="PivotTable22" cacheId="6"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J3:M4" firstHeaderRow="0" firstDataRow="1" firstDataCol="0" rowPageCount="1" colPageCount="1"/>
  <pivotFields count="17">
    <pivotField showAll="0"/>
    <pivotField showAll="0"/>
    <pivotField showAll="0"/>
    <pivotField showAll="0"/>
    <pivotField showAll="0"/>
    <pivotField showAll="0"/>
    <pivotField axis="axisPage" multipleItemSelectionAllowed="1" showAll="0">
      <items count="6">
        <item h="1" x="1"/>
        <item h="1" x="0"/>
        <item x="3"/>
        <item x="2"/>
        <item h="1" x="4"/>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s>
  <rowItems count="1">
    <i/>
  </rowItems>
  <colFields count="1">
    <field x="-2"/>
  </colFields>
  <colItems count="4">
    <i>
      <x/>
    </i>
    <i i="1">
      <x v="1"/>
    </i>
    <i i="2">
      <x v="2"/>
    </i>
    <i i="3">
      <x v="3"/>
    </i>
  </colItems>
  <pageFields count="1">
    <pageField fld="6" hier="-1"/>
  </pageFields>
  <dataFields count="4">
    <dataField name="Sum of Cost Estimate" fld="12" baseField="0" baseItem="1"/>
    <dataField name="Sum of Cost Annual O&amp;M" fld="13" baseField="0" baseItem="1"/>
    <dataField name="Sum of TN Reduction (lbs/yr)" fld="8" baseField="0" baseItem="1" numFmtId="3"/>
    <dataField name="Sum of TP Reduction (lbs/yr)" fld="9" baseField="0" baseItem="1" numFmtId="3"/>
  </dataFields>
  <formats count="4">
    <format dxfId="7">
      <pivotArea type="all" dataOnly="0" outline="0" fieldPosition="0"/>
    </format>
    <format dxfId="6">
      <pivotArea outline="0" collapsedLevelsAreSubtotals="1" fieldPosition="0"/>
    </format>
    <format dxfId="5">
      <pivotArea dataOnly="0" labelOnly="1" outline="0" fieldPosition="0">
        <references count="1">
          <reference field="4294967294" count="2">
            <x v="0"/>
            <x v="1"/>
          </reference>
        </references>
      </pivotArea>
    </format>
    <format dxfId="4">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700-000002000000}" name="PivotTable3" cacheId="10"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1:F20" firstHeaderRow="1" firstDataRow="2" firstDataCol="1"/>
  <pivotFields count="24">
    <pivotField showAll="0"/>
    <pivotField showAll="0"/>
    <pivotField showAll="0"/>
    <pivotField showAll="0"/>
    <pivotField showAll="0"/>
    <pivotField showAll="0"/>
    <pivotField axis="axisCol" showAll="0">
      <items count="6">
        <item x="1"/>
        <item x="0"/>
        <item x="3"/>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0">
        <item x="0"/>
        <item x="1"/>
        <item x="2"/>
        <item x="5"/>
        <item x="3"/>
        <item x="4"/>
        <item h="1" x="7"/>
        <item x="6"/>
        <item m="1" x="8"/>
        <item t="default"/>
      </items>
    </pivotField>
    <pivotField showAll="0"/>
    <pivotField showAll="0"/>
    <pivotField showAll="0"/>
    <pivotField showAll="0"/>
  </pivotFields>
  <rowFields count="1">
    <field x="19"/>
  </rowFields>
  <rowItems count="8">
    <i>
      <x/>
    </i>
    <i>
      <x v="1"/>
    </i>
    <i>
      <x v="2"/>
    </i>
    <i>
      <x v="3"/>
    </i>
    <i>
      <x v="4"/>
    </i>
    <i>
      <x v="5"/>
    </i>
    <i>
      <x v="7"/>
    </i>
    <i t="grand">
      <x/>
    </i>
  </rowItems>
  <colFields count="1">
    <field x="6"/>
  </colFields>
  <colItems count="5">
    <i>
      <x/>
    </i>
    <i>
      <x v="1"/>
    </i>
    <i>
      <x v="2"/>
    </i>
    <i>
      <x v="3"/>
    </i>
    <i t="grand">
      <x/>
    </i>
  </colItems>
  <dataFields count="1">
    <dataField name="Count of Year Project Added" fld="1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0" dT="2020-02-19T21:57:50.01" personId="{64A5AAD1-0634-445E-B52B-4579069EB02F}" id="{481CE28E-FE82-4B6A-B307-329186CDC93B}">
    <text>Revised from Brevard County</text>
  </threadedComment>
  <threadedComment ref="J33" dT="2020-02-14T21:32:39.13" personId="{64A5AAD1-0634-445E-B52B-4579069EB02F}" id="{AE903278-C0DB-40B8-8BEE-B21A173C98BD}">
    <text>Kept as TBD</text>
  </threadedComment>
  <threadedComment ref="K33" dT="2020-02-14T21:32:39.13" personId="{64A5AAD1-0634-445E-B52B-4579069EB02F}" id="{7BAA1B8D-61B7-4D21-8CD0-9FE316162D04}">
    <text>Kept as TBD</text>
  </threadedComment>
  <threadedComment ref="B34" dT="2020-02-19T21:57:26.81" personId="{64A5AAD1-0634-445E-B52B-4579069EB02F}" id="{3203C33C-197E-48AC-8274-80B777911E49}">
    <text>Revised from Brevard County</text>
  </threadedComment>
  <threadedComment ref="B35" dT="2020-02-19T21:45:25.28" personId="{64A5AAD1-0634-445E-B52B-4579069EB02F}" id="{B6E945A7-0536-4D6F-802C-B07D955FE4EE}">
    <text>Revised from Brevard County</text>
  </threadedComment>
  <threadedComment ref="P36" dT="2020-02-14T20:54:56.50" personId="{64A5AAD1-0634-445E-B52B-4579069EB02F}" id="{4800C61B-8A96-41F0-8211-5222CA271FF9}">
    <text>Stacy marked this as the same as BC-01 with a strikethrough in her submittal. (BC)</text>
  </threadedComment>
  <threadedComment ref="Q36" dT="2020-02-14T20:55:41.06" personId="{64A5AAD1-0634-445E-B52B-4579069EB02F}" id="{07F7A486-FFC1-49E5-B544-F629C780015D}">
    <text>Stacy marked this as the same as BC-01 with a strikethrough in her submittal. (4,200,000)</text>
  </threadedComment>
  <threadedComment ref="J37" dT="2020-02-14T20:59:16.15" personId="{64A5AAD1-0634-445E-B52B-4579069EB02F}" id="{E4F30DC6-35CB-419F-BE70-EDEF2584F5CD}">
    <text>Revised from TBD</text>
  </threadedComment>
  <threadedComment ref="K37" dT="2020-02-14T20:59:20.15" personId="{64A5AAD1-0634-445E-B52B-4579069EB02F}" id="{E7C2D486-EA1B-453E-8034-0D825C2CC2C4}">
    <text>Revised from TBD</text>
  </threadedComment>
  <threadedComment ref="J43" dT="2020-02-14T21:04:40.76" personId="{64A5AAD1-0634-445E-B52B-4579069EB02F}" id="{DDD691B0-81EC-4F81-B81F-C22B4B529772}">
    <text>Revised from TBD</text>
  </threadedComment>
  <threadedComment ref="K43" dT="2020-02-14T21:04:44.61" personId="{64A5AAD1-0634-445E-B52B-4579069EB02F}" id="{D6DAE576-E50C-409B-8302-72B4787BE52C}">
    <text>Revised from TBD</text>
  </threadedComment>
  <threadedComment ref="J96" dT="2019-02-07T19:22:30.74" personId="{1F1194DB-FC69-4B82-8AB8-32E4E0E5B758}" id="{D5D0D4A1-F3D4-40E9-8D5C-DCA9A1746FDE}">
    <text>2017 submitted as 330 TN and 74 TP, while underway. Calculations were not done using the BMP Trains Model and will be recalculated using approved method.</text>
  </threadedComment>
  <threadedComment ref="N96" dT="2019-02-07T19:25:42.86" personId="{1F1194DB-FC69-4B82-8AB8-32E4E0E5B758}" id="{C32EF175-1A18-4814-914B-A34B4E026221}">
    <text>October 4, 2018 metrics listed this as $4,625,328. Workbook sent to stakeholder had this as 2,975,671 stakeholder did not have this highlighted as a change.</text>
  </threadedComment>
  <threadedComment ref="P97" personId="{1F1194DB-FC69-4B82-8AB8-32E4E0E5B758}" id="{0EAB31FC-96AE-4F40-A23A-218BC6532C78}">
    <text>2018 stakeholder submission indicated possible funding sources from TMDL/ 319/ SOIRK/ SJRWMD</text>
  </threadedComment>
  <threadedComment ref="J106" dT="2020-02-14T21:24:24.48" personId="{64A5AAD1-0634-445E-B52B-4579069EB02F}" id="{3B80E70A-8D96-41FD-9A62-700EDD179773}">
    <text>Kept TBD</text>
  </threadedComment>
  <threadedComment ref="K106" dT="2020-02-14T21:24:30.16" personId="{64A5AAD1-0634-445E-B52B-4579069EB02F}" id="{F6AB361E-F7DA-4D4D-89E8-7AF02FE73EDB}">
    <text>Kept TBD</text>
  </threadedComment>
  <threadedComment ref="J123" dT="2020-02-14T21:29:54.71" personId="{64A5AAD1-0634-445E-B52B-4579069EB02F}" id="{681F1363-4195-4602-A444-1CA3B1ACE339}">
    <text>Revised from 31</text>
  </threadedComment>
  <threadedComment ref="K123" dT="2020-02-14T21:30:21.55" personId="{64A5AAD1-0634-445E-B52B-4579069EB02F}" id="{508A3A6A-3455-4FDB-A2C0-E24EB956CA10}">
    <text>Revised from 15</text>
  </threadedComment>
  <threadedComment ref="J131" dT="2020-02-14T21:32:39.13" personId="{64A5AAD1-0634-445E-B52B-4579069EB02F}" id="{A701750A-FCC3-4E39-95F4-F1FC8C92B565}">
    <text>Kept as TBD</text>
  </threadedComment>
  <threadedComment ref="K131" dT="2020-02-14T21:32:43.36" personId="{64A5AAD1-0634-445E-B52B-4579069EB02F}" id="{2B60BEEA-E093-4E35-9CEF-DD0FD991836C}">
    <text>Kept as TBD</text>
  </threadedComment>
  <threadedComment ref="J132" dT="2020-02-14T21:35:36.31" personId="{64A5AAD1-0634-445E-B52B-4579069EB02F}" id="{2F97E32B-BBD5-4438-AA0A-3AB87F8C8CF1}">
    <text>Kept as TBD</text>
  </threadedComment>
  <threadedComment ref="K132" dT="2020-02-14T21:35:39.73" personId="{64A5AAD1-0634-445E-B52B-4579069EB02F}" id="{B26B4098-1577-4059-931E-5296888337BC}">
    <text>Kept as TBD</text>
  </threadedComment>
  <threadedComment ref="J133" dT="2020-02-14T21:36:28.51" personId="{64A5AAD1-0634-445E-B52B-4579069EB02F}" id="{98F38A2B-E67D-4FE7-BFAB-D9852F99466A}">
    <text>Revised from TBD</text>
  </threadedComment>
  <threadedComment ref="K133" dT="2020-02-14T21:36:34.55" personId="{64A5AAD1-0634-445E-B52B-4579069EB02F}" id="{F61158F8-276E-4207-8A1B-7045D7AF1E7D}">
    <text>Revised from TBD</text>
  </threadedComment>
  <threadedComment ref="J134" dT="2020-02-14T21:37:30.50" personId="{64A5AAD1-0634-445E-B52B-4579069EB02F}" id="{20801D70-70D1-4149-AB74-6B778ED25821}">
    <text>Revised from TBD</text>
  </threadedComment>
  <threadedComment ref="K134" dT="2020-02-14T21:37:35.38" personId="{64A5AAD1-0634-445E-B52B-4579069EB02F}" id="{4D7995EC-1C1C-4E07-8CF3-D38D50AE32C1}">
    <text>Revised from TBD</text>
  </threadedComment>
  <threadedComment ref="J135" dT="2020-02-14T21:38:22.88" personId="{64A5AAD1-0634-445E-B52B-4579069EB02F}" id="{1D35E1B6-C7EC-422A-ABB4-6DE0BC4AA00F}">
    <text>Revised from TBD</text>
  </threadedComment>
  <threadedComment ref="K135" dT="2020-02-14T21:38:27.55" personId="{64A5AAD1-0634-445E-B52B-4579069EB02F}" id="{F8494494-9B6B-4A5D-901D-87A691CDE4CE}">
    <text>Revised from TBD</text>
  </threadedComment>
  <threadedComment ref="J136" dT="2020-02-14T21:39:26.50" personId="{64A5AAD1-0634-445E-B52B-4579069EB02F}" id="{0DD34438-B613-4AE7-AC21-AE7D75C16CBE}">
    <text>Revised from 261</text>
  </threadedComment>
  <threadedComment ref="K136" dT="2020-02-14T21:39:49.93" personId="{64A5AAD1-0634-445E-B52B-4579069EB02F}" id="{76ECA252-3AF3-4940-A02F-CF0784FF58ED}">
    <text>Revised from 63</text>
  </threadedComment>
  <threadedComment ref="J137" dT="2020-02-14T21:39:26.50" personId="{64A5AAD1-0634-445E-B52B-4579069EB02F}" id="{C6C4AA11-78D9-46D4-9588-F92A222DC743}">
    <text>Revised from 261</text>
  </threadedComment>
  <threadedComment ref="K137" dT="2020-02-14T21:39:26.50" personId="{64A5AAD1-0634-445E-B52B-4579069EB02F}" id="{2E6F00BB-9418-4E9C-9CD8-49099EEAA5A8}">
    <text>Revised from 261</text>
  </threadedComment>
  <threadedComment ref="J138" dT="2020-02-14T21:42:02.20" personId="{64A5AAD1-0634-445E-B52B-4579069EB02F}" id="{A7572CAC-7A06-4B25-8902-BA782127B75C}">
    <text>Kept as N/A</text>
  </threadedComment>
  <threadedComment ref="K138" dT="2020-02-14T21:42:08.28" personId="{64A5AAD1-0634-445E-B52B-4579069EB02F}" id="{95A441A2-82A3-4317-94ED-1BD10FAAC535}">
    <text>Kept as N/A</text>
  </threadedComment>
  <threadedComment ref="J143" dT="2020-02-19T20:09:08.64" personId="{64A5AAD1-0634-445E-B52B-4579069EB02F}" id="{40F08E56-0C43-4822-9928-089E1294CF32}">
    <text>Kept the same</text>
  </threadedComment>
  <threadedComment ref="K143" dT="2020-02-19T20:09:12.80" personId="{64A5AAD1-0634-445E-B52B-4579069EB02F}" id="{3F96E549-C0C2-4079-A0F2-F5F4327F26AC}">
    <text>Kept the same</text>
  </threadedComment>
  <threadedComment ref="J146" dT="2020-07-01T16:17:33.90" personId="{1B1C08DE-D089-41A3-9CE8-4405CF556F58}" id="{DE831C9F-6A6C-47C9-82BD-48E3CE4450B1}">
    <text>Corrected to N/A per Stacy.</text>
  </threadedComment>
  <threadedComment ref="K146" dT="2020-07-01T16:17:48.83" personId="{1B1C08DE-D089-41A3-9CE8-4405CF556F58}" id="{E55BDC6E-87EB-47D8-B34F-3E1A642DB72A}">
    <text>Corrected to N/A per Stacy.</text>
  </threadedComment>
  <threadedComment ref="J165" dT="2019-03-29T19:14:29.36" personId="{1F1194DB-FC69-4B82-8AB8-32E4E0E5B758}" id="{611763DF-CE57-4BD8-9004-380D816DFDA9}">
    <text>FDOT submitted an additional street sweeping project during the 2019 STAR project collection. Since both projects were in Zone B, the credit was combined with FDOT-14.</text>
  </threadedComment>
  <threadedComment ref="W211" dT="2020-05-18T14:05:59.31" personId="{64A5AAD1-0634-445E-B52B-4579069EB02F}" id="{DCC1A1D9-957E-4D8F-AAD1-CA2AA045E0CC}">
    <text>Provided two lat longs for this project: 28.60550007
28.58079912</text>
  </threadedComment>
  <threadedComment ref="W211" dT="2020-05-18T14:06:09.65" personId="{64A5AAD1-0634-445E-B52B-4579069EB02F}" id="{5971D97B-158D-49DE-BED3-DC0292EA7291}" parentId="{DCC1A1D9-957E-4D8F-AAD1-CA2AA045E0CC}">
    <text>Used first one</text>
  </threadedComment>
  <threadedComment ref="X211" dT="2020-05-18T14:06:45.47" personId="{64A5AAD1-0634-445E-B52B-4579069EB02F}" id="{83EF5A54-4C8C-464B-AA6C-C1624E109370}">
    <text>Provided two lat longs for this project:  -80.61352857
	-80.65352906</text>
  </threadedComment>
  <threadedComment ref="X211" dT="2020-05-18T14:07:06.94" personId="{64A5AAD1-0634-445E-B52B-4579069EB02F}" id="{4BA56F92-4120-4384-8E4F-64FA2524EC36}" parentId="{83EF5A54-4C8C-464B-AA6C-C1624E109370}">
    <text>Used first one</text>
  </threadedComment>
  <threadedComment ref="J239" dT="2020-02-19T21:47:38.72" personId="{64A5AAD1-0634-445E-B52B-4579069EB02F}" id="{96174B7A-88CC-4721-94BE-BCF694FF6BBA}">
    <text>Revised from 10</text>
  </threadedComment>
  <threadedComment ref="K239" dT="2020-02-19T21:47:48.15" personId="{64A5AAD1-0634-445E-B52B-4579069EB02F}" id="{7A9FA2E6-89B7-4AE0-8CF3-9D23BA0CEA08}">
    <text>Revised from 6</text>
  </threadedComment>
  <threadedComment ref="J241" dT="2020-02-19T21:48:14.31" personId="{64A5AAD1-0634-445E-B52B-4579069EB02F}" id="{97B480DF-167E-4A24-A78A-F28142AFE52F}">
    <text>Kept same</text>
  </threadedComment>
  <threadedComment ref="K241" dT="2020-02-19T21:48:27.42" personId="{64A5AAD1-0634-445E-B52B-4579069EB02F}" id="{1FC9AFF3-8569-47FA-818C-8039BCC8E0E2}">
    <text>Kept same</text>
  </threadedComment>
  <threadedComment ref="J245" dT="2020-02-19T21:48:53.15" personId="{64A5AAD1-0634-445E-B52B-4579069EB02F}" id="{43CBFA60-8A33-4A8B-8003-2A82BCF1F0B2}">
    <text>Kept same</text>
  </threadedComment>
  <threadedComment ref="K245" dT="2020-02-19T21:48:57.55" personId="{64A5AAD1-0634-445E-B52B-4579069EB02F}" id="{21080653-05CD-4328-9BF4-FDEA4E2F2D2A}">
    <text>Kept same</text>
  </threadedComment>
  <threadedComment ref="J293" dT="2020-02-14T21:32:39.13" personId="{64A5AAD1-0634-445E-B52B-4579069EB02F}" id="{BA255BC4-B7D5-489C-914D-9BB67DD6700D}">
    <text>Kept as TBD</text>
  </threadedComment>
  <threadedComment ref="K293" dT="2020-02-14T21:32:39.13" personId="{64A5AAD1-0634-445E-B52B-4579069EB02F}" id="{396928AF-C398-478B-8D4B-5A672544AAD0}">
    <text>Kept as TBD</text>
  </threadedComment>
</ThreadedComments>
</file>

<file path=xl/threadedComments/threadedComment2.xml><?xml version="1.0" encoding="utf-8"?>
<ThreadedComments xmlns="http://schemas.microsoft.com/office/spreadsheetml/2018/threadedcomments" xmlns:x="http://schemas.openxmlformats.org/spreadsheetml/2006/main">
  <threadedComment ref="E18" dT="2020-05-18T14:05:59.31" personId="{64A5AAD1-0634-445E-B52B-4579069EB02F}" id="{EC805189-3CA0-4991-9AC1-7F63EDC4A92A}">
    <text>Provided two lat longs for this project: 28.60550007
28.58079912</text>
  </threadedComment>
  <threadedComment ref="E18" dT="2020-05-18T14:06:09.65" personId="{64A5AAD1-0634-445E-B52B-4579069EB02F}" id="{2946C0B7-F964-4DF5-9844-E74808039C5B}" parentId="{EC805189-3CA0-4991-9AC1-7F63EDC4A92A}">
    <text>Used first one</text>
  </threadedComment>
  <threadedComment ref="F18" dT="2020-05-18T14:06:45.47" personId="{64A5AAD1-0634-445E-B52B-4579069EB02F}" id="{721D582F-DD3D-4D1E-AB5D-E2A1F466A9E5}">
    <text>Provided two lat longs for this project:  -80.61352857
	-80.65352906</text>
  </threadedComment>
  <threadedComment ref="F18" dT="2020-05-18T14:07:06.94" personId="{64A5AAD1-0634-445E-B52B-4579069EB02F}" id="{2E59734C-76E4-4F94-AE36-FBC7BCFFD197}" parentId="{721D582F-DD3D-4D1E-AB5D-E2A1F466A9E5}">
    <text>Used first one</text>
  </threadedComment>
</ThreadedComments>
</file>

<file path=xl/threadedComments/threadedComment3.xml><?xml version="1.0" encoding="utf-8"?>
<ThreadedComments xmlns="http://schemas.microsoft.com/office/spreadsheetml/2018/threadedcomments" xmlns:x="http://schemas.openxmlformats.org/spreadsheetml/2006/main">
  <threadedComment ref="F64" dT="2019-03-18T14:08:12.18" personId="{1F1194DB-FC69-4B82-8AB8-32E4E0E5B758}" id="{82F1340B-B94D-4642-AFB0-55B248E53018}">
    <text>Cocoa NIRL,</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35C597D-92D2-47D2-A032-1680CF37331E}">
  <we:reference id="wa104379727" version="1.0.0.0" store="en-US" storeType="OMEX"/>
  <we:alternateReferences>
    <we:reference id="wa104379727" version="1.0.0.0" store="wa104379727" storeType="OMEX"/>
  </we:alternateReferences>
  <we:properties/>
  <we:bindings>
    <we:binding id="Range" type="matrix" appref="{6CDDE0A1-5701-405F-88C2-FC78812CCD69}"/>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5" Type="http://schemas.openxmlformats.org/officeDocument/2006/relationships/printerSettings" Target="../printerSettings/printerSettings6.bin"/><Relationship Id="rId4"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C25"/>
  <sheetViews>
    <sheetView workbookViewId="0">
      <selection activeCell="D22" sqref="D22"/>
    </sheetView>
  </sheetViews>
  <sheetFormatPr defaultRowHeight="14.4" x14ac:dyDescent="0.3"/>
  <cols>
    <col min="1" max="1" width="26.6640625" customWidth="1"/>
    <col min="3" max="3" width="18.6640625" customWidth="1"/>
    <col min="4" max="4" width="17.6640625" customWidth="1"/>
  </cols>
  <sheetData>
    <row r="1" spans="1:29" x14ac:dyDescent="0.3">
      <c r="A1" s="141" t="s">
        <v>458</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row>
    <row r="2" spans="1:29" x14ac:dyDescent="0.3">
      <c r="A2" s="143" t="s">
        <v>577</v>
      </c>
      <c r="B2" s="143"/>
      <c r="C2" s="143"/>
      <c r="D2" s="143"/>
      <c r="E2" s="143"/>
      <c r="F2" s="142"/>
      <c r="G2" s="142"/>
      <c r="H2" s="142"/>
      <c r="I2" s="142"/>
      <c r="J2" s="142"/>
      <c r="K2" s="142"/>
      <c r="L2" s="142"/>
      <c r="M2" s="142"/>
      <c r="N2" s="142"/>
      <c r="O2" s="142"/>
      <c r="P2" s="142"/>
      <c r="Q2" s="142"/>
      <c r="R2" s="142"/>
      <c r="S2" s="142"/>
      <c r="T2" s="142"/>
      <c r="U2" s="142"/>
      <c r="V2" s="142"/>
      <c r="W2" s="142"/>
      <c r="X2" s="142"/>
      <c r="Y2" s="142"/>
      <c r="Z2" s="142"/>
      <c r="AA2" s="142"/>
      <c r="AB2" s="142"/>
      <c r="AC2" s="142"/>
    </row>
    <row r="3" spans="1:29" x14ac:dyDescent="0.3">
      <c r="A3" s="142" t="s">
        <v>578</v>
      </c>
      <c r="B3" s="142"/>
      <c r="C3" s="142"/>
      <c r="D3" s="142"/>
      <c r="E3" s="142"/>
      <c r="F3" s="142"/>
      <c r="G3" s="142"/>
      <c r="H3" s="144"/>
      <c r="I3" s="144"/>
      <c r="J3" s="144"/>
      <c r="K3" s="144"/>
      <c r="L3" s="144"/>
      <c r="M3" s="142"/>
      <c r="N3" s="142"/>
      <c r="O3" s="142"/>
      <c r="P3" s="142"/>
      <c r="Q3" s="142"/>
      <c r="R3" s="142"/>
      <c r="S3" s="142"/>
      <c r="T3" s="142"/>
      <c r="U3" s="142"/>
      <c r="V3" s="142"/>
      <c r="W3" s="142"/>
      <c r="X3" s="142"/>
      <c r="Y3" s="142"/>
      <c r="Z3" s="142"/>
      <c r="AA3" s="142"/>
      <c r="AB3" s="142"/>
      <c r="AC3" s="142"/>
    </row>
    <row r="4" spans="1:29" x14ac:dyDescent="0.3">
      <c r="A4" s="142" t="s">
        <v>627</v>
      </c>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row>
    <row r="5" spans="1:29" x14ac:dyDescent="0.3">
      <c r="A5" s="142" t="s">
        <v>634</v>
      </c>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row>
    <row r="6" spans="1:29" x14ac:dyDescent="0.3">
      <c r="A6" s="142" t="s">
        <v>715</v>
      </c>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row>
    <row r="7" spans="1:29" x14ac:dyDescent="0.3">
      <c r="A7" s="142" t="s">
        <v>798</v>
      </c>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row>
    <row r="8" spans="1:29" x14ac:dyDescent="0.3">
      <c r="A8" s="142" t="s">
        <v>867</v>
      </c>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row>
    <row r="9" spans="1:29" x14ac:dyDescent="0.3">
      <c r="A9" s="145" t="s">
        <v>891</v>
      </c>
      <c r="B9" s="145"/>
      <c r="C9" s="145"/>
      <c r="D9" s="145"/>
      <c r="E9" s="145"/>
      <c r="F9" s="145"/>
      <c r="G9" s="145"/>
      <c r="H9" s="142"/>
      <c r="I9" s="142"/>
      <c r="J9" s="142"/>
      <c r="K9" s="142"/>
      <c r="L9" s="142"/>
      <c r="M9" s="142"/>
      <c r="N9" s="142"/>
      <c r="O9" s="142"/>
      <c r="P9" s="142"/>
      <c r="Q9" s="142"/>
      <c r="R9" s="142"/>
      <c r="S9" s="142"/>
      <c r="T9" s="142"/>
      <c r="U9" s="142"/>
      <c r="V9" s="142"/>
      <c r="W9" s="142"/>
      <c r="X9" s="142"/>
      <c r="Y9" s="142"/>
      <c r="Z9" s="142"/>
      <c r="AA9" s="142"/>
      <c r="AB9" s="142"/>
      <c r="AC9" s="142"/>
    </row>
    <row r="10" spans="1:29" x14ac:dyDescent="0.3">
      <c r="A10" s="146" t="s">
        <v>925</v>
      </c>
      <c r="B10" s="146"/>
      <c r="C10" s="146"/>
      <c r="D10" s="146"/>
      <c r="E10" s="146"/>
      <c r="F10" s="146"/>
      <c r="G10" s="146"/>
      <c r="H10" s="142"/>
      <c r="I10" s="142"/>
      <c r="J10" s="142"/>
      <c r="K10" s="142"/>
      <c r="L10" s="142"/>
      <c r="M10" s="142"/>
      <c r="N10" s="142"/>
      <c r="O10" s="142"/>
      <c r="P10" s="142"/>
      <c r="Q10" s="142"/>
      <c r="R10" s="142"/>
      <c r="S10" s="142"/>
      <c r="T10" s="142"/>
      <c r="U10" s="142"/>
      <c r="V10" s="142"/>
      <c r="W10" s="142"/>
      <c r="X10" s="142"/>
      <c r="Y10" s="142"/>
      <c r="Z10" s="142"/>
      <c r="AA10" s="142"/>
      <c r="AB10" s="142"/>
      <c r="AC10" s="142"/>
    </row>
    <row r="11" spans="1:29" x14ac:dyDescent="0.3">
      <c r="A11" s="147" t="s">
        <v>960</v>
      </c>
      <c r="B11" s="147"/>
      <c r="C11" s="147"/>
      <c r="D11" s="147"/>
      <c r="E11" s="147"/>
      <c r="F11" s="147"/>
      <c r="G11" s="147"/>
      <c r="H11" s="147"/>
      <c r="I11" s="142"/>
      <c r="J11" s="142"/>
      <c r="K11" s="142"/>
      <c r="L11" s="142"/>
      <c r="M11" s="142"/>
      <c r="N11" s="142"/>
      <c r="O11" s="142"/>
      <c r="P11" s="142"/>
      <c r="Q11" s="142"/>
      <c r="R11" s="142"/>
      <c r="S11" s="142"/>
      <c r="T11" s="142"/>
      <c r="U11" s="142"/>
      <c r="V11" s="142"/>
      <c r="W11" s="142"/>
      <c r="X11" s="142"/>
      <c r="Y11" s="142"/>
      <c r="Z11" s="142"/>
      <c r="AA11" s="142"/>
      <c r="AB11" s="142"/>
      <c r="AC11" s="142"/>
    </row>
    <row r="12" spans="1:29" x14ac:dyDescent="0.3">
      <c r="A12" s="147" t="s">
        <v>1030</v>
      </c>
      <c r="B12" s="142"/>
      <c r="C12" s="142"/>
      <c r="D12" s="142"/>
      <c r="E12" s="148"/>
      <c r="F12" s="148"/>
      <c r="G12" s="148"/>
      <c r="H12" s="148"/>
      <c r="I12" s="148"/>
      <c r="J12" s="148"/>
      <c r="K12" s="142"/>
      <c r="L12" s="142"/>
      <c r="M12" s="149"/>
      <c r="N12" s="149"/>
      <c r="O12" s="149"/>
      <c r="P12" s="149"/>
      <c r="Q12" s="149"/>
      <c r="R12" s="149"/>
      <c r="S12" s="149"/>
      <c r="T12" s="149"/>
      <c r="U12" s="149"/>
      <c r="V12" s="149"/>
      <c r="W12" s="149"/>
      <c r="X12" s="149"/>
      <c r="Y12" s="142"/>
      <c r="Z12" s="142"/>
      <c r="AA12" s="142"/>
      <c r="AB12" s="142"/>
      <c r="AC12" s="142"/>
    </row>
    <row r="13" spans="1:29" x14ac:dyDescent="0.3">
      <c r="A13" s="147" t="s">
        <v>1048</v>
      </c>
      <c r="B13" s="142"/>
      <c r="C13" s="142"/>
      <c r="D13" s="150"/>
      <c r="E13" s="150"/>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row>
    <row r="14" spans="1:29" x14ac:dyDescent="0.3">
      <c r="A14" s="149" t="s">
        <v>1059</v>
      </c>
      <c r="B14" s="149"/>
      <c r="C14" s="149"/>
      <c r="D14" s="149"/>
      <c r="E14" s="149"/>
      <c r="F14" s="149"/>
      <c r="G14" s="149"/>
      <c r="H14" s="149"/>
      <c r="I14" s="149"/>
      <c r="J14" s="149"/>
      <c r="K14" s="149"/>
      <c r="L14" s="149"/>
      <c r="M14" s="149"/>
      <c r="N14" s="149"/>
      <c r="O14" s="142"/>
      <c r="P14" s="142"/>
      <c r="Q14" s="142"/>
      <c r="R14" s="142"/>
      <c r="S14" s="142"/>
      <c r="T14" s="142"/>
      <c r="U14" s="142"/>
      <c r="V14" s="142"/>
      <c r="W14" s="142"/>
      <c r="X14" s="142"/>
      <c r="Y14" s="142"/>
      <c r="Z14" s="142"/>
      <c r="AA14" s="142"/>
      <c r="AB14" s="142"/>
      <c r="AC14" s="142"/>
    </row>
    <row r="15" spans="1:29" x14ac:dyDescent="0.3">
      <c r="A15" s="151" t="s">
        <v>1062</v>
      </c>
      <c r="B15" s="151"/>
      <c r="C15" s="151"/>
      <c r="D15" s="151"/>
      <c r="E15" s="151"/>
      <c r="F15" s="151"/>
      <c r="G15" s="151"/>
      <c r="H15" s="151"/>
      <c r="I15" s="151"/>
      <c r="J15" s="151"/>
      <c r="K15" s="151"/>
      <c r="L15" s="151"/>
      <c r="M15" s="151"/>
      <c r="N15" s="151"/>
      <c r="O15" s="151"/>
      <c r="P15" s="151"/>
      <c r="Q15" s="151"/>
      <c r="R15" s="151"/>
      <c r="S15" s="151"/>
      <c r="T15" s="151"/>
      <c r="U15" s="151"/>
      <c r="V15" s="151"/>
      <c r="W15" s="142"/>
      <c r="X15" s="142"/>
      <c r="Y15" s="142"/>
      <c r="Z15" s="142"/>
      <c r="AA15" s="142"/>
      <c r="AB15" s="142"/>
      <c r="AC15" s="142"/>
    </row>
    <row r="16" spans="1:29" x14ac:dyDescent="0.3">
      <c r="A16" s="147" t="s">
        <v>1063</v>
      </c>
      <c r="B16" s="142"/>
      <c r="C16" s="142"/>
      <c r="D16" s="142"/>
      <c r="E16" s="142"/>
      <c r="F16" s="142"/>
      <c r="G16" s="142"/>
      <c r="H16" s="142"/>
      <c r="I16" s="142"/>
      <c r="J16" s="142"/>
      <c r="K16" s="142"/>
      <c r="L16" s="144"/>
      <c r="M16" s="142"/>
      <c r="N16" s="142"/>
      <c r="O16" s="142"/>
      <c r="P16" s="142"/>
      <c r="Q16" s="142"/>
      <c r="R16" s="142"/>
      <c r="S16" s="142"/>
      <c r="T16" s="142"/>
      <c r="U16" s="142"/>
      <c r="V16" s="142"/>
      <c r="W16" s="142"/>
      <c r="X16" s="142"/>
      <c r="Y16" s="142"/>
      <c r="Z16" s="142"/>
      <c r="AA16" s="142"/>
      <c r="AB16" s="142"/>
      <c r="AC16" s="142"/>
    </row>
    <row r="17" spans="1:29" x14ac:dyDescent="0.3">
      <c r="A17" s="152" t="s">
        <v>1069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row>
    <row r="19" spans="1:29" x14ac:dyDescent="0.3">
      <c r="A19" t="s">
        <v>1120</v>
      </c>
    </row>
    <row r="20" spans="1:29" ht="57.6" x14ac:dyDescent="0.3">
      <c r="A20" s="156" t="s">
        <v>1082</v>
      </c>
    </row>
    <row r="21" spans="1:29" ht="28.8" x14ac:dyDescent="0.3">
      <c r="A21" s="157" t="s">
        <v>1083</v>
      </c>
    </row>
    <row r="22" spans="1:29" ht="72" x14ac:dyDescent="0.3">
      <c r="A22" s="158" t="s">
        <v>1084</v>
      </c>
      <c r="C22" s="64" t="s">
        <v>1121</v>
      </c>
      <c r="D22" s="64" t="s">
        <v>1123</v>
      </c>
      <c r="E22" s="64" t="s">
        <v>1122</v>
      </c>
    </row>
    <row r="23" spans="1:29" ht="43.2" x14ac:dyDescent="0.3">
      <c r="A23" s="159" t="s">
        <v>1085</v>
      </c>
    </row>
    <row r="24" spans="1:29" ht="28.8" x14ac:dyDescent="0.3">
      <c r="A24" s="160" t="s">
        <v>1086</v>
      </c>
    </row>
    <row r="25" spans="1:29" x14ac:dyDescent="0.3">
      <c r="A25" s="161" t="s">
        <v>1087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D309"/>
  <sheetViews>
    <sheetView tabSelected="1" zoomScaleNormal="100" workbookViewId="0">
      <pane ySplit="1" topLeftCell="A2" activePane="bottomLeft" state="frozen"/>
      <selection pane="bottomLeft" activeCell="M150" sqref="M150"/>
    </sheetView>
  </sheetViews>
  <sheetFormatPr defaultColWidth="10.77734375" defaultRowHeight="13.2" x14ac:dyDescent="0.3"/>
  <cols>
    <col min="1" max="4" width="10.77734375" style="5"/>
    <col min="5" max="5" width="16.6640625" style="5" customWidth="1"/>
    <col min="6" max="6" width="29" style="5" customWidth="1"/>
    <col min="7" max="7" width="23.33203125" style="5" customWidth="1"/>
    <col min="8" max="8" width="10.77734375" style="5"/>
    <col min="9" max="9" width="10.77734375" style="134" customWidth="1"/>
    <col min="10" max="11" width="10.77734375" style="80" customWidth="1"/>
    <col min="12" max="12" width="10.77734375" style="5" customWidth="1"/>
    <col min="13" max="13" width="10.77734375" style="80" customWidth="1"/>
    <col min="14" max="15" width="10.77734375" style="135" customWidth="1"/>
    <col min="16" max="16" width="10.77734375" style="5" customWidth="1"/>
    <col min="17" max="17" width="10.77734375" style="135" customWidth="1"/>
    <col min="18" max="25" width="10.77734375" style="5"/>
    <col min="26" max="26" width="10.77734375" style="80"/>
    <col min="27" max="16384" width="10.77734375" style="5"/>
  </cols>
  <sheetData>
    <row r="1" spans="1:30" s="96" customFormat="1" x14ac:dyDescent="0.25">
      <c r="A1" s="89" t="s">
        <v>655</v>
      </c>
      <c r="B1" s="89" t="s">
        <v>853</v>
      </c>
      <c r="C1" s="89" t="s">
        <v>276</v>
      </c>
      <c r="D1" s="89" t="s">
        <v>854</v>
      </c>
      <c r="E1" s="89" t="s">
        <v>855</v>
      </c>
      <c r="F1" s="89" t="s">
        <v>856</v>
      </c>
      <c r="G1" s="89" t="s">
        <v>852</v>
      </c>
      <c r="H1" s="89" t="s">
        <v>857</v>
      </c>
      <c r="I1" s="90" t="s">
        <v>858</v>
      </c>
      <c r="J1" s="91" t="s">
        <v>859</v>
      </c>
      <c r="K1" s="91" t="s">
        <v>860</v>
      </c>
      <c r="L1" s="89" t="s">
        <v>272</v>
      </c>
      <c r="M1" s="91" t="s">
        <v>861</v>
      </c>
      <c r="N1" s="92" t="s">
        <v>862</v>
      </c>
      <c r="O1" s="92" t="s">
        <v>863</v>
      </c>
      <c r="P1" s="89" t="s">
        <v>864</v>
      </c>
      <c r="Q1" s="92" t="s">
        <v>865</v>
      </c>
      <c r="R1" s="89" t="s">
        <v>866</v>
      </c>
      <c r="S1" s="93" t="s">
        <v>262</v>
      </c>
      <c r="T1" s="93" t="s">
        <v>271</v>
      </c>
      <c r="U1" s="93" t="s">
        <v>344</v>
      </c>
      <c r="V1" s="93" t="s">
        <v>273</v>
      </c>
      <c r="W1" s="93" t="s">
        <v>274</v>
      </c>
      <c r="X1" s="93" t="s">
        <v>275</v>
      </c>
      <c r="Y1" s="93" t="s">
        <v>277</v>
      </c>
      <c r="Z1" s="94" t="s">
        <v>1058</v>
      </c>
      <c r="AA1" s="93" t="s">
        <v>1066</v>
      </c>
      <c r="AB1" s="93" t="s">
        <v>1067</v>
      </c>
      <c r="AC1" s="95" t="s">
        <v>1068</v>
      </c>
      <c r="AD1" s="95" t="s">
        <v>1070</v>
      </c>
    </row>
    <row r="2" spans="1:30" x14ac:dyDescent="0.3">
      <c r="A2" s="97">
        <v>2536</v>
      </c>
      <c r="B2" s="97" t="s">
        <v>0</v>
      </c>
      <c r="C2" s="98" t="s">
        <v>520</v>
      </c>
      <c r="D2" s="153" t="s">
        <v>446</v>
      </c>
      <c r="E2" s="97" t="s">
        <v>1</v>
      </c>
      <c r="F2" s="97" t="s">
        <v>521</v>
      </c>
      <c r="G2" s="97" t="s">
        <v>1</v>
      </c>
      <c r="H2" s="97" t="s">
        <v>2</v>
      </c>
      <c r="I2" s="100" t="s">
        <v>520</v>
      </c>
      <c r="J2" s="101">
        <v>79</v>
      </c>
      <c r="K2" s="101">
        <v>14</v>
      </c>
      <c r="L2" s="102" t="s">
        <v>373</v>
      </c>
      <c r="M2" s="101" t="s">
        <v>520</v>
      </c>
      <c r="N2" s="103" t="s">
        <v>520</v>
      </c>
      <c r="O2" s="110">
        <v>40000</v>
      </c>
      <c r="P2" s="97" t="s">
        <v>656</v>
      </c>
      <c r="Q2" s="103" t="s">
        <v>520</v>
      </c>
      <c r="R2" s="97" t="s">
        <v>520</v>
      </c>
      <c r="S2" s="97" t="s">
        <v>265</v>
      </c>
      <c r="T2" s="97" t="s">
        <v>2</v>
      </c>
      <c r="U2" s="97">
        <v>2013</v>
      </c>
      <c r="V2" s="97" t="s">
        <v>304</v>
      </c>
      <c r="W2" s="100" t="s">
        <v>598</v>
      </c>
      <c r="X2" s="100" t="s">
        <v>598</v>
      </c>
      <c r="Y2" s="98" t="s">
        <v>598</v>
      </c>
      <c r="Z2" s="107"/>
      <c r="AA2" s="98" t="s">
        <v>1065</v>
      </c>
      <c r="AB2" s="21" t="s">
        <v>1065</v>
      </c>
      <c r="AC2" s="21" t="s">
        <v>1073</v>
      </c>
      <c r="AD2" s="102" t="s">
        <v>1072</v>
      </c>
    </row>
    <row r="3" spans="1:30" x14ac:dyDescent="0.3">
      <c r="A3" s="97">
        <v>2547</v>
      </c>
      <c r="B3" s="97" t="s">
        <v>0</v>
      </c>
      <c r="C3" s="97" t="s">
        <v>657</v>
      </c>
      <c r="D3" s="153" t="s">
        <v>447</v>
      </c>
      <c r="E3" s="97" t="s">
        <v>3</v>
      </c>
      <c r="F3" s="97" t="s">
        <v>658</v>
      </c>
      <c r="G3" s="97" t="s">
        <v>660</v>
      </c>
      <c r="H3" s="97" t="s">
        <v>4</v>
      </c>
      <c r="I3" s="106">
        <v>2015</v>
      </c>
      <c r="J3" s="128">
        <v>160</v>
      </c>
      <c r="K3" s="128">
        <v>102</v>
      </c>
      <c r="L3" s="102" t="s">
        <v>373</v>
      </c>
      <c r="M3" s="128">
        <v>15.3</v>
      </c>
      <c r="N3" s="110">
        <v>3140824</v>
      </c>
      <c r="O3" s="110">
        <v>19235</v>
      </c>
      <c r="P3" s="97" t="s">
        <v>1024</v>
      </c>
      <c r="Q3" s="110">
        <v>1677079</v>
      </c>
      <c r="R3" s="97" t="s">
        <v>661</v>
      </c>
      <c r="S3" s="97" t="s">
        <v>264</v>
      </c>
      <c r="T3" s="97" t="s">
        <v>4</v>
      </c>
      <c r="U3" s="97">
        <v>2013</v>
      </c>
      <c r="V3" s="97" t="s">
        <v>304</v>
      </c>
      <c r="W3" s="106">
        <v>28.4560197057992</v>
      </c>
      <c r="X3" s="106">
        <v>-80.676694310926194</v>
      </c>
      <c r="Y3" s="98" t="s">
        <v>598</v>
      </c>
      <c r="Z3" s="107"/>
      <c r="AA3" s="21" t="s">
        <v>1064</v>
      </c>
      <c r="AB3" s="21" t="s">
        <v>1064</v>
      </c>
      <c r="AC3" s="21" t="s">
        <v>1064</v>
      </c>
      <c r="AD3" s="87" t="s">
        <v>1077</v>
      </c>
    </row>
    <row r="4" spans="1:30" x14ac:dyDescent="0.3">
      <c r="A4" s="97">
        <v>2559</v>
      </c>
      <c r="B4" s="97" t="s">
        <v>0</v>
      </c>
      <c r="C4" s="97" t="s">
        <v>539</v>
      </c>
      <c r="D4" s="153" t="s">
        <v>437</v>
      </c>
      <c r="E4" s="97" t="s">
        <v>88</v>
      </c>
      <c r="F4" s="97" t="s">
        <v>695</v>
      </c>
      <c r="G4" s="97" t="s">
        <v>351</v>
      </c>
      <c r="H4" s="97" t="s">
        <v>4</v>
      </c>
      <c r="I4" s="106">
        <v>2013</v>
      </c>
      <c r="J4" s="101">
        <v>324</v>
      </c>
      <c r="K4" s="101">
        <v>126.4</v>
      </c>
      <c r="L4" s="102" t="s">
        <v>376</v>
      </c>
      <c r="M4" s="101">
        <v>73.599999999999994</v>
      </c>
      <c r="N4" s="110">
        <v>350384</v>
      </c>
      <c r="O4" s="103" t="s">
        <v>598</v>
      </c>
      <c r="P4" s="97" t="s">
        <v>539</v>
      </c>
      <c r="Q4" s="110" t="s">
        <v>892</v>
      </c>
      <c r="R4" s="97" t="s">
        <v>360</v>
      </c>
      <c r="S4" s="97" t="s">
        <v>264</v>
      </c>
      <c r="T4" s="97" t="s">
        <v>4</v>
      </c>
      <c r="U4" s="97">
        <v>2013</v>
      </c>
      <c r="V4" s="97" t="s">
        <v>304</v>
      </c>
      <c r="W4" s="106">
        <v>28.390769458772301</v>
      </c>
      <c r="X4" s="106">
        <v>-80.703548893775704</v>
      </c>
      <c r="Y4" s="98" t="s">
        <v>598</v>
      </c>
      <c r="Z4" s="107"/>
      <c r="AA4" s="21" t="s">
        <v>1064</v>
      </c>
      <c r="AB4" s="21" t="s">
        <v>1064</v>
      </c>
      <c r="AC4" s="21" t="s">
        <v>1064</v>
      </c>
      <c r="AD4" s="102" t="s">
        <v>1075</v>
      </c>
    </row>
    <row r="5" spans="1:30" x14ac:dyDescent="0.3">
      <c r="A5" s="97">
        <v>2545</v>
      </c>
      <c r="B5" s="97" t="s">
        <v>0</v>
      </c>
      <c r="C5" s="97" t="s">
        <v>539</v>
      </c>
      <c r="D5" s="153" t="s">
        <v>439</v>
      </c>
      <c r="E5" s="97" t="s">
        <v>89</v>
      </c>
      <c r="F5" s="97" t="s">
        <v>699</v>
      </c>
      <c r="G5" s="97" t="s">
        <v>670</v>
      </c>
      <c r="H5" s="97" t="s">
        <v>4</v>
      </c>
      <c r="I5" s="106">
        <v>2013</v>
      </c>
      <c r="J5" s="101">
        <v>1</v>
      </c>
      <c r="K5" s="101">
        <v>1.4</v>
      </c>
      <c r="L5" s="102" t="s">
        <v>376</v>
      </c>
      <c r="M5" s="101">
        <v>15.3</v>
      </c>
      <c r="N5" s="110">
        <v>27000</v>
      </c>
      <c r="O5" s="110">
        <v>1500</v>
      </c>
      <c r="P5" s="97" t="s">
        <v>539</v>
      </c>
      <c r="Q5" s="110" t="s">
        <v>893</v>
      </c>
      <c r="R5" s="97" t="s">
        <v>357</v>
      </c>
      <c r="S5" s="97" t="s">
        <v>264</v>
      </c>
      <c r="T5" s="97" t="s">
        <v>4</v>
      </c>
      <c r="U5" s="97">
        <v>2013</v>
      </c>
      <c r="V5" s="97" t="s">
        <v>304</v>
      </c>
      <c r="W5" s="106">
        <v>28.367684981556501</v>
      </c>
      <c r="X5" s="106">
        <v>-80.691698221363197</v>
      </c>
      <c r="Y5" s="98" t="s">
        <v>598</v>
      </c>
      <c r="Z5" s="107"/>
      <c r="AA5" s="21" t="s">
        <v>1064</v>
      </c>
      <c r="AB5" s="21" t="s">
        <v>1064</v>
      </c>
      <c r="AC5" s="21" t="s">
        <v>1064</v>
      </c>
      <c r="AD5" s="102" t="s">
        <v>1075</v>
      </c>
    </row>
    <row r="6" spans="1:30" x14ac:dyDescent="0.3">
      <c r="A6" s="97">
        <v>2544</v>
      </c>
      <c r="B6" s="97" t="s">
        <v>0</v>
      </c>
      <c r="C6" s="97" t="s">
        <v>539</v>
      </c>
      <c r="D6" s="153" t="s">
        <v>438</v>
      </c>
      <c r="E6" s="97" t="s">
        <v>90</v>
      </c>
      <c r="F6" s="97" t="s">
        <v>699</v>
      </c>
      <c r="G6" s="97" t="s">
        <v>670</v>
      </c>
      <c r="H6" s="97" t="s">
        <v>4</v>
      </c>
      <c r="I6" s="106">
        <v>2013</v>
      </c>
      <c r="J6" s="101">
        <v>1</v>
      </c>
      <c r="K6" s="101">
        <v>1.6</v>
      </c>
      <c r="L6" s="102" t="s">
        <v>376</v>
      </c>
      <c r="M6" s="101">
        <v>18.100000000000001</v>
      </c>
      <c r="N6" s="108">
        <v>29000</v>
      </c>
      <c r="O6" s="110">
        <v>1500</v>
      </c>
      <c r="P6" s="97" t="s">
        <v>539</v>
      </c>
      <c r="Q6" s="108" t="s">
        <v>894</v>
      </c>
      <c r="R6" s="97" t="s">
        <v>357</v>
      </c>
      <c r="S6" s="97" t="s">
        <v>264</v>
      </c>
      <c r="T6" s="97" t="s">
        <v>4</v>
      </c>
      <c r="U6" s="97">
        <v>2013</v>
      </c>
      <c r="V6" s="97" t="s">
        <v>304</v>
      </c>
      <c r="W6" s="106">
        <v>28.366009810379399</v>
      </c>
      <c r="X6" s="106">
        <v>-80.6916260140936</v>
      </c>
      <c r="Y6" s="98" t="s">
        <v>598</v>
      </c>
      <c r="Z6" s="107"/>
      <c r="AA6" s="21" t="s">
        <v>1064</v>
      </c>
      <c r="AB6" s="21" t="s">
        <v>1064</v>
      </c>
      <c r="AC6" s="21" t="s">
        <v>1064</v>
      </c>
      <c r="AD6" s="102" t="s">
        <v>1075</v>
      </c>
    </row>
    <row r="7" spans="1:30" x14ac:dyDescent="0.3">
      <c r="A7" s="97">
        <v>2543</v>
      </c>
      <c r="B7" s="97" t="s">
        <v>0</v>
      </c>
      <c r="C7" s="97" t="s">
        <v>539</v>
      </c>
      <c r="D7" s="153" t="s">
        <v>440</v>
      </c>
      <c r="E7" s="97" t="s">
        <v>91</v>
      </c>
      <c r="F7" s="97" t="s">
        <v>699</v>
      </c>
      <c r="G7" s="97" t="s">
        <v>670</v>
      </c>
      <c r="H7" s="97" t="s">
        <v>4</v>
      </c>
      <c r="I7" s="106">
        <v>2013</v>
      </c>
      <c r="J7" s="101">
        <v>1</v>
      </c>
      <c r="K7" s="101">
        <v>1.5</v>
      </c>
      <c r="L7" s="102" t="s">
        <v>376</v>
      </c>
      <c r="M7" s="101">
        <v>21.8</v>
      </c>
      <c r="N7" s="110">
        <v>33000</v>
      </c>
      <c r="O7" s="110">
        <v>1500</v>
      </c>
      <c r="P7" s="97" t="s">
        <v>539</v>
      </c>
      <c r="Q7" s="110" t="s">
        <v>895</v>
      </c>
      <c r="R7" s="97" t="s">
        <v>357</v>
      </c>
      <c r="S7" s="97" t="s">
        <v>264</v>
      </c>
      <c r="T7" s="97" t="s">
        <v>4</v>
      </c>
      <c r="U7" s="97">
        <v>2013</v>
      </c>
      <c r="V7" s="97" t="s">
        <v>304</v>
      </c>
      <c r="W7" s="106">
        <v>28.365934409319902</v>
      </c>
      <c r="X7" s="106">
        <v>-80.667864040362105</v>
      </c>
      <c r="Y7" s="138" t="s">
        <v>598</v>
      </c>
      <c r="Z7" s="107"/>
      <c r="AA7" s="21" t="s">
        <v>1064</v>
      </c>
      <c r="AB7" s="21" t="s">
        <v>1064</v>
      </c>
      <c r="AC7" s="21" t="s">
        <v>1064</v>
      </c>
      <c r="AD7" s="102" t="s">
        <v>1075</v>
      </c>
    </row>
    <row r="8" spans="1:30" x14ac:dyDescent="0.3">
      <c r="A8" s="97">
        <v>2789</v>
      </c>
      <c r="B8" s="97" t="s">
        <v>0</v>
      </c>
      <c r="C8" s="97" t="s">
        <v>539</v>
      </c>
      <c r="D8" s="153" t="s">
        <v>441</v>
      </c>
      <c r="E8" s="97" t="s">
        <v>92</v>
      </c>
      <c r="F8" s="97" t="s">
        <v>699</v>
      </c>
      <c r="G8" s="97" t="s">
        <v>670</v>
      </c>
      <c r="H8" s="97" t="s">
        <v>4</v>
      </c>
      <c r="I8" s="106">
        <v>2013</v>
      </c>
      <c r="J8" s="101">
        <v>2</v>
      </c>
      <c r="K8" s="101">
        <v>2.2000000000000002</v>
      </c>
      <c r="L8" s="102" t="s">
        <v>376</v>
      </c>
      <c r="M8" s="101">
        <v>22.8</v>
      </c>
      <c r="N8" s="108">
        <v>31500</v>
      </c>
      <c r="O8" s="108">
        <v>1500</v>
      </c>
      <c r="P8" s="97" t="s">
        <v>539</v>
      </c>
      <c r="Q8" s="110" t="s">
        <v>896</v>
      </c>
      <c r="R8" s="97" t="s">
        <v>357</v>
      </c>
      <c r="S8" s="97" t="s">
        <v>264</v>
      </c>
      <c r="T8" s="97" t="s">
        <v>4</v>
      </c>
      <c r="U8" s="97">
        <v>2013</v>
      </c>
      <c r="V8" s="97" t="s">
        <v>304</v>
      </c>
      <c r="W8" s="106">
        <v>28.381763061747399</v>
      </c>
      <c r="X8" s="106">
        <v>-80.671108408931602</v>
      </c>
      <c r="Y8" s="98" t="s">
        <v>598</v>
      </c>
      <c r="Z8" s="107"/>
      <c r="AA8" s="21" t="s">
        <v>1064</v>
      </c>
      <c r="AB8" s="21" t="s">
        <v>1064</v>
      </c>
      <c r="AC8" s="21" t="s">
        <v>1064</v>
      </c>
      <c r="AD8" s="102" t="s">
        <v>1075</v>
      </c>
    </row>
    <row r="9" spans="1:30" x14ac:dyDescent="0.3">
      <c r="A9" s="97">
        <v>2457</v>
      </c>
      <c r="B9" s="97" t="s">
        <v>0</v>
      </c>
      <c r="C9" s="97" t="s">
        <v>539</v>
      </c>
      <c r="D9" s="153" t="s">
        <v>442</v>
      </c>
      <c r="E9" s="97" t="s">
        <v>93</v>
      </c>
      <c r="F9" s="97" t="s">
        <v>699</v>
      </c>
      <c r="G9" s="97" t="s">
        <v>669</v>
      </c>
      <c r="H9" s="97" t="s">
        <v>4</v>
      </c>
      <c r="I9" s="106">
        <v>2013</v>
      </c>
      <c r="J9" s="101">
        <v>30</v>
      </c>
      <c r="K9" s="101">
        <v>5.9</v>
      </c>
      <c r="L9" s="102" t="s">
        <v>376</v>
      </c>
      <c r="M9" s="101">
        <v>9.6999999999999993</v>
      </c>
      <c r="N9" s="110">
        <v>41000</v>
      </c>
      <c r="O9" s="110">
        <v>1500</v>
      </c>
      <c r="P9" s="97" t="s">
        <v>539</v>
      </c>
      <c r="Q9" s="110" t="s">
        <v>897</v>
      </c>
      <c r="R9" s="97" t="s">
        <v>357</v>
      </c>
      <c r="S9" s="97" t="s">
        <v>264</v>
      </c>
      <c r="T9" s="97" t="s">
        <v>4</v>
      </c>
      <c r="U9" s="97">
        <v>2013</v>
      </c>
      <c r="V9" s="97" t="s">
        <v>304</v>
      </c>
      <c r="W9" s="106">
        <v>28.395735001238801</v>
      </c>
      <c r="X9" s="106">
        <v>-80.675039191508006</v>
      </c>
      <c r="Y9" s="98" t="s">
        <v>598</v>
      </c>
      <c r="Z9" s="107"/>
      <c r="AA9" s="21" t="s">
        <v>1064</v>
      </c>
      <c r="AB9" s="21" t="s">
        <v>1064</v>
      </c>
      <c r="AC9" s="21" t="s">
        <v>1064</v>
      </c>
      <c r="AD9" s="102" t="s">
        <v>1075</v>
      </c>
    </row>
    <row r="10" spans="1:30" x14ac:dyDescent="0.3">
      <c r="A10" s="97">
        <v>2428</v>
      </c>
      <c r="B10" s="97" t="s">
        <v>0</v>
      </c>
      <c r="C10" s="97" t="s">
        <v>539</v>
      </c>
      <c r="D10" s="153" t="s">
        <v>443</v>
      </c>
      <c r="E10" s="97" t="s">
        <v>94</v>
      </c>
      <c r="F10" s="97" t="s">
        <v>699</v>
      </c>
      <c r="G10" s="97" t="s">
        <v>670</v>
      </c>
      <c r="H10" s="97" t="s">
        <v>4</v>
      </c>
      <c r="I10" s="106">
        <v>2013</v>
      </c>
      <c r="J10" s="101">
        <v>2</v>
      </c>
      <c r="K10" s="101">
        <v>1.8</v>
      </c>
      <c r="L10" s="102" t="s">
        <v>376</v>
      </c>
      <c r="M10" s="101">
        <v>19.5</v>
      </c>
      <c r="N10" s="110">
        <v>31000</v>
      </c>
      <c r="O10" s="110">
        <v>1500</v>
      </c>
      <c r="P10" s="97" t="s">
        <v>539</v>
      </c>
      <c r="Q10" s="110" t="s">
        <v>898</v>
      </c>
      <c r="R10" s="97" t="s">
        <v>357</v>
      </c>
      <c r="S10" s="97" t="s">
        <v>264</v>
      </c>
      <c r="T10" s="97" t="s">
        <v>4</v>
      </c>
      <c r="U10" s="97">
        <v>2013</v>
      </c>
      <c r="V10" s="97" t="s">
        <v>304</v>
      </c>
      <c r="W10" s="106">
        <v>28.400693464785299</v>
      </c>
      <c r="X10" s="106">
        <v>-80.673771909704797</v>
      </c>
      <c r="Y10" s="98" t="s">
        <v>598</v>
      </c>
      <c r="Z10" s="107"/>
      <c r="AA10" s="21" t="s">
        <v>1064</v>
      </c>
      <c r="AB10" s="21" t="s">
        <v>1064</v>
      </c>
      <c r="AC10" s="21" t="s">
        <v>1064</v>
      </c>
      <c r="AD10" s="102" t="s">
        <v>1075</v>
      </c>
    </row>
    <row r="11" spans="1:30" x14ac:dyDescent="0.3">
      <c r="A11" s="97">
        <v>2393</v>
      </c>
      <c r="B11" s="97" t="s">
        <v>0</v>
      </c>
      <c r="C11" s="97" t="s">
        <v>539</v>
      </c>
      <c r="D11" s="153" t="s">
        <v>51</v>
      </c>
      <c r="E11" s="97" t="s">
        <v>52</v>
      </c>
      <c r="F11" s="97" t="s">
        <v>699</v>
      </c>
      <c r="G11" s="97" t="s">
        <v>669</v>
      </c>
      <c r="H11" s="97" t="s">
        <v>4</v>
      </c>
      <c r="I11" s="106">
        <v>2013</v>
      </c>
      <c r="J11" s="101">
        <v>24</v>
      </c>
      <c r="K11" s="101">
        <v>4.9000000000000004</v>
      </c>
      <c r="L11" s="102" t="s">
        <v>376</v>
      </c>
      <c r="M11" s="101">
        <v>7.8</v>
      </c>
      <c r="N11" s="110">
        <v>37500</v>
      </c>
      <c r="O11" s="110">
        <v>1500</v>
      </c>
      <c r="P11" s="97" t="s">
        <v>539</v>
      </c>
      <c r="Q11" s="110" t="s">
        <v>900</v>
      </c>
      <c r="R11" s="97" t="s">
        <v>357</v>
      </c>
      <c r="S11" s="97" t="s">
        <v>264</v>
      </c>
      <c r="T11" s="97" t="s">
        <v>4</v>
      </c>
      <c r="U11" s="97">
        <v>2013</v>
      </c>
      <c r="V11" s="97" t="s">
        <v>304</v>
      </c>
      <c r="W11" s="106">
        <v>28.391469352438101</v>
      </c>
      <c r="X11" s="106">
        <v>-80.672522589464293</v>
      </c>
      <c r="Y11" s="138" t="s">
        <v>598</v>
      </c>
      <c r="Z11" s="107"/>
      <c r="AA11" s="21" t="s">
        <v>1064</v>
      </c>
      <c r="AB11" s="21" t="s">
        <v>1064</v>
      </c>
      <c r="AC11" s="21" t="s">
        <v>1064</v>
      </c>
      <c r="AD11" s="102" t="s">
        <v>1075</v>
      </c>
    </row>
    <row r="12" spans="1:30" x14ac:dyDescent="0.3">
      <c r="A12" s="97">
        <v>2394</v>
      </c>
      <c r="B12" s="97" t="s">
        <v>0</v>
      </c>
      <c r="C12" s="97" t="s">
        <v>539</v>
      </c>
      <c r="D12" s="153" t="s">
        <v>53</v>
      </c>
      <c r="E12" s="97" t="s">
        <v>54</v>
      </c>
      <c r="F12" s="97" t="s">
        <v>699</v>
      </c>
      <c r="G12" s="97" t="s">
        <v>669</v>
      </c>
      <c r="H12" s="97" t="s">
        <v>4</v>
      </c>
      <c r="I12" s="106">
        <v>2013</v>
      </c>
      <c r="J12" s="101">
        <v>25</v>
      </c>
      <c r="K12" s="101">
        <v>4.9000000000000004</v>
      </c>
      <c r="L12" s="102" t="s">
        <v>376</v>
      </c>
      <c r="M12" s="101">
        <v>7.8</v>
      </c>
      <c r="N12" s="110">
        <v>42000</v>
      </c>
      <c r="O12" s="110">
        <v>1500</v>
      </c>
      <c r="P12" s="97" t="s">
        <v>539</v>
      </c>
      <c r="Q12" s="110" t="s">
        <v>899</v>
      </c>
      <c r="R12" s="97" t="s">
        <v>357</v>
      </c>
      <c r="S12" s="97" t="s">
        <v>264</v>
      </c>
      <c r="T12" s="97" t="s">
        <v>4</v>
      </c>
      <c r="U12" s="97">
        <v>2013</v>
      </c>
      <c r="V12" s="97" t="s">
        <v>304</v>
      </c>
      <c r="W12" s="106">
        <v>28.3879832208953</v>
      </c>
      <c r="X12" s="106">
        <v>-80.673465317254397</v>
      </c>
      <c r="Y12" s="98" t="s">
        <v>598</v>
      </c>
      <c r="Z12" s="107"/>
      <c r="AA12" s="21" t="s">
        <v>1064</v>
      </c>
      <c r="AB12" s="21" t="s">
        <v>1064</v>
      </c>
      <c r="AC12" s="21" t="s">
        <v>1064</v>
      </c>
      <c r="AD12" s="102" t="s">
        <v>1075</v>
      </c>
    </row>
    <row r="13" spans="1:30" x14ac:dyDescent="0.3">
      <c r="A13" s="97">
        <v>2402</v>
      </c>
      <c r="B13" s="97" t="s">
        <v>0</v>
      </c>
      <c r="C13" s="97" t="s">
        <v>539</v>
      </c>
      <c r="D13" s="153" t="s">
        <v>55</v>
      </c>
      <c r="E13" s="97" t="s">
        <v>56</v>
      </c>
      <c r="F13" s="97" t="s">
        <v>699</v>
      </c>
      <c r="G13" s="97" t="s">
        <v>670</v>
      </c>
      <c r="H13" s="97" t="s">
        <v>4</v>
      </c>
      <c r="I13" s="106">
        <v>2013</v>
      </c>
      <c r="J13" s="101">
        <v>1</v>
      </c>
      <c r="K13" s="101">
        <v>0.9</v>
      </c>
      <c r="L13" s="102" t="s">
        <v>376</v>
      </c>
      <c r="M13" s="101">
        <v>10.199999999999999</v>
      </c>
      <c r="N13" s="110">
        <v>30700</v>
      </c>
      <c r="O13" s="110">
        <v>1500</v>
      </c>
      <c r="P13" s="97" t="s">
        <v>539</v>
      </c>
      <c r="Q13" s="110" t="s">
        <v>901</v>
      </c>
      <c r="R13" s="97" t="s">
        <v>357</v>
      </c>
      <c r="S13" s="97" t="s">
        <v>264</v>
      </c>
      <c r="T13" s="97" t="s">
        <v>4</v>
      </c>
      <c r="U13" s="97">
        <v>2013</v>
      </c>
      <c r="V13" s="97" t="s">
        <v>304</v>
      </c>
      <c r="W13" s="106">
        <v>28.379865613649699</v>
      </c>
      <c r="X13" s="106">
        <v>-80.672240324815505</v>
      </c>
      <c r="Y13" s="98" t="s">
        <v>598</v>
      </c>
      <c r="Z13" s="107"/>
      <c r="AA13" s="21" t="s">
        <v>1064</v>
      </c>
      <c r="AB13" s="21" t="s">
        <v>1064</v>
      </c>
      <c r="AC13" s="21" t="s">
        <v>1064</v>
      </c>
      <c r="AD13" s="102" t="s">
        <v>1075</v>
      </c>
    </row>
    <row r="14" spans="1:30" x14ac:dyDescent="0.3">
      <c r="A14" s="97">
        <v>2396</v>
      </c>
      <c r="B14" s="97" t="s">
        <v>0</v>
      </c>
      <c r="C14" s="97" t="s">
        <v>539</v>
      </c>
      <c r="D14" s="153" t="s">
        <v>57</v>
      </c>
      <c r="E14" s="97" t="s">
        <v>58</v>
      </c>
      <c r="F14" s="97" t="s">
        <v>659</v>
      </c>
      <c r="G14" s="106" t="s">
        <v>705</v>
      </c>
      <c r="H14" s="97" t="s">
        <v>4</v>
      </c>
      <c r="I14" s="106">
        <v>2013</v>
      </c>
      <c r="J14" s="101">
        <v>0</v>
      </c>
      <c r="K14" s="101">
        <v>17</v>
      </c>
      <c r="L14" s="102" t="s">
        <v>376</v>
      </c>
      <c r="M14" s="101">
        <v>38.6</v>
      </c>
      <c r="N14" s="110">
        <v>102000</v>
      </c>
      <c r="O14" s="110">
        <v>1500</v>
      </c>
      <c r="P14" s="97" t="s">
        <v>539</v>
      </c>
      <c r="Q14" s="110" t="s">
        <v>902</v>
      </c>
      <c r="R14" s="97" t="s">
        <v>357</v>
      </c>
      <c r="S14" s="97" t="s">
        <v>264</v>
      </c>
      <c r="T14" s="97" t="s">
        <v>4</v>
      </c>
      <c r="U14" s="97">
        <v>2013</v>
      </c>
      <c r="V14" s="97" t="s">
        <v>304</v>
      </c>
      <c r="W14" s="106">
        <v>28.384582796935099</v>
      </c>
      <c r="X14" s="106">
        <v>-80.699943820626302</v>
      </c>
      <c r="Y14" s="140" t="s">
        <v>598</v>
      </c>
      <c r="Z14" s="107"/>
      <c r="AA14" s="21" t="s">
        <v>1064</v>
      </c>
      <c r="AB14" s="21" t="s">
        <v>1064</v>
      </c>
      <c r="AC14" s="21" t="s">
        <v>1064</v>
      </c>
      <c r="AD14" s="102" t="s">
        <v>1075</v>
      </c>
    </row>
    <row r="15" spans="1:30" x14ac:dyDescent="0.3">
      <c r="A15" s="97">
        <v>2389</v>
      </c>
      <c r="B15" s="97" t="s">
        <v>0</v>
      </c>
      <c r="C15" s="123" t="s">
        <v>520</v>
      </c>
      <c r="D15" s="153" t="s">
        <v>59</v>
      </c>
      <c r="E15" s="97" t="s">
        <v>1</v>
      </c>
      <c r="F15" s="97" t="s">
        <v>478</v>
      </c>
      <c r="G15" s="97" t="s">
        <v>1</v>
      </c>
      <c r="H15" s="97" t="s">
        <v>2</v>
      </c>
      <c r="I15" s="100" t="s">
        <v>520</v>
      </c>
      <c r="J15" s="101">
        <v>3854</v>
      </c>
      <c r="K15" s="101">
        <v>825</v>
      </c>
      <c r="L15" s="102" t="s">
        <v>376</v>
      </c>
      <c r="M15" s="101" t="s">
        <v>520</v>
      </c>
      <c r="N15" s="103" t="s">
        <v>598</v>
      </c>
      <c r="O15" s="103" t="s">
        <v>598</v>
      </c>
      <c r="P15" s="98" t="s">
        <v>520</v>
      </c>
      <c r="Q15" s="103" t="s">
        <v>520</v>
      </c>
      <c r="R15" s="97" t="s">
        <v>520</v>
      </c>
      <c r="S15" s="97" t="s">
        <v>265</v>
      </c>
      <c r="T15" s="97" t="s">
        <v>2</v>
      </c>
      <c r="U15" s="97">
        <v>2013</v>
      </c>
      <c r="V15" s="97" t="s">
        <v>304</v>
      </c>
      <c r="W15" s="100" t="s">
        <v>520</v>
      </c>
      <c r="X15" s="100" t="s">
        <v>520</v>
      </c>
      <c r="Y15" s="139" t="s">
        <v>598</v>
      </c>
      <c r="Z15" s="107"/>
      <c r="AA15" s="98" t="s">
        <v>1065</v>
      </c>
      <c r="AB15" s="21" t="s">
        <v>1065</v>
      </c>
      <c r="AC15" s="21" t="s">
        <v>1073</v>
      </c>
      <c r="AD15" s="102" t="s">
        <v>1072</v>
      </c>
    </row>
    <row r="16" spans="1:30" x14ac:dyDescent="0.3">
      <c r="A16" s="97">
        <v>2398</v>
      </c>
      <c r="B16" s="97" t="s">
        <v>0</v>
      </c>
      <c r="C16" s="98" t="s">
        <v>520</v>
      </c>
      <c r="D16" s="153" t="s">
        <v>60</v>
      </c>
      <c r="E16" s="97" t="s">
        <v>350</v>
      </c>
      <c r="F16" s="99" t="s">
        <v>662</v>
      </c>
      <c r="G16" s="97" t="s">
        <v>350</v>
      </c>
      <c r="H16" s="97" t="s">
        <v>4</v>
      </c>
      <c r="I16" s="100" t="s">
        <v>520</v>
      </c>
      <c r="J16" s="101">
        <v>525</v>
      </c>
      <c r="K16" s="101">
        <v>336</v>
      </c>
      <c r="L16" s="102" t="s">
        <v>373</v>
      </c>
      <c r="M16" s="101" t="s">
        <v>520</v>
      </c>
      <c r="N16" s="103" t="s">
        <v>520</v>
      </c>
      <c r="O16" s="110">
        <v>50000</v>
      </c>
      <c r="P16" s="98" t="s">
        <v>520</v>
      </c>
      <c r="Q16" s="103" t="s">
        <v>520</v>
      </c>
      <c r="R16" s="97" t="s">
        <v>520</v>
      </c>
      <c r="S16" s="97" t="s">
        <v>265</v>
      </c>
      <c r="T16" s="97" t="s">
        <v>2</v>
      </c>
      <c r="U16" s="97">
        <v>2013</v>
      </c>
      <c r="V16" s="97" t="s">
        <v>304</v>
      </c>
      <c r="W16" s="100" t="s">
        <v>520</v>
      </c>
      <c r="X16" s="100" t="s">
        <v>520</v>
      </c>
      <c r="Y16" s="140" t="s">
        <v>598</v>
      </c>
      <c r="Z16" s="107"/>
      <c r="AA16" s="98" t="s">
        <v>1065</v>
      </c>
      <c r="AB16" s="21" t="s">
        <v>1065</v>
      </c>
      <c r="AC16" s="21" t="s">
        <v>1074</v>
      </c>
      <c r="AD16" s="102" t="s">
        <v>1071</v>
      </c>
    </row>
    <row r="17" spans="1:30" x14ac:dyDescent="0.3">
      <c r="A17" s="97">
        <v>2399</v>
      </c>
      <c r="B17" s="97" t="s">
        <v>0</v>
      </c>
      <c r="C17" s="97" t="s">
        <v>539</v>
      </c>
      <c r="D17" s="153" t="s">
        <v>61</v>
      </c>
      <c r="E17" s="97" t="s">
        <v>62</v>
      </c>
      <c r="F17" s="99" t="s">
        <v>663</v>
      </c>
      <c r="G17" s="106" t="s">
        <v>351</v>
      </c>
      <c r="H17" s="97" t="s">
        <v>4</v>
      </c>
      <c r="I17" s="106">
        <v>2015</v>
      </c>
      <c r="J17" s="101">
        <v>847</v>
      </c>
      <c r="K17" s="101">
        <v>364.6</v>
      </c>
      <c r="L17" s="102" t="s">
        <v>376</v>
      </c>
      <c r="M17" s="101">
        <v>164.5</v>
      </c>
      <c r="N17" s="108">
        <v>10900000</v>
      </c>
      <c r="O17" s="110">
        <v>35000</v>
      </c>
      <c r="P17" s="97" t="s">
        <v>664</v>
      </c>
      <c r="Q17" s="110" t="s">
        <v>908</v>
      </c>
      <c r="R17" s="97" t="s">
        <v>358</v>
      </c>
      <c r="S17" s="97" t="s">
        <v>264</v>
      </c>
      <c r="T17" s="97" t="s">
        <v>4</v>
      </c>
      <c r="U17" s="97">
        <v>2013</v>
      </c>
      <c r="V17" s="97" t="s">
        <v>304</v>
      </c>
      <c r="W17" s="106">
        <v>28.3530375866554</v>
      </c>
      <c r="X17" s="106">
        <v>-80.689290769991999</v>
      </c>
      <c r="Y17" s="98" t="s">
        <v>598</v>
      </c>
      <c r="Z17" s="107"/>
      <c r="AA17" s="21" t="s">
        <v>1064</v>
      </c>
      <c r="AB17" s="21" t="s">
        <v>1064</v>
      </c>
      <c r="AC17" s="21" t="s">
        <v>1064</v>
      </c>
      <c r="AD17" s="102" t="s">
        <v>1075</v>
      </c>
    </row>
    <row r="18" spans="1:30" x14ac:dyDescent="0.3">
      <c r="A18" s="97">
        <v>2400</v>
      </c>
      <c r="B18" s="97" t="s">
        <v>0</v>
      </c>
      <c r="C18" s="97" t="s">
        <v>539</v>
      </c>
      <c r="D18" s="153" t="s">
        <v>63</v>
      </c>
      <c r="E18" s="97" t="s">
        <v>64</v>
      </c>
      <c r="F18" s="97" t="s">
        <v>665</v>
      </c>
      <c r="G18" s="97" t="s">
        <v>351</v>
      </c>
      <c r="H18" s="97" t="s">
        <v>4</v>
      </c>
      <c r="I18" s="106">
        <v>2013</v>
      </c>
      <c r="J18" s="101">
        <v>458</v>
      </c>
      <c r="K18" s="101">
        <v>160</v>
      </c>
      <c r="L18" s="102" t="s">
        <v>376</v>
      </c>
      <c r="M18" s="101">
        <v>148.19999999999999</v>
      </c>
      <c r="N18" s="110">
        <v>652056</v>
      </c>
      <c r="O18" s="103" t="s">
        <v>598</v>
      </c>
      <c r="P18" s="97" t="s">
        <v>539</v>
      </c>
      <c r="Q18" s="108" t="s">
        <v>903</v>
      </c>
      <c r="R18" s="97" t="s">
        <v>359</v>
      </c>
      <c r="S18" s="97" t="s">
        <v>264</v>
      </c>
      <c r="T18" s="97" t="s">
        <v>4</v>
      </c>
      <c r="U18" s="97">
        <v>2013</v>
      </c>
      <c r="V18" s="97" t="s">
        <v>304</v>
      </c>
      <c r="W18" s="106">
        <v>28.339136664876701</v>
      </c>
      <c r="X18" s="106">
        <v>-80.690079220622806</v>
      </c>
      <c r="Y18" s="98" t="s">
        <v>598</v>
      </c>
      <c r="Z18" s="107"/>
      <c r="AA18" s="21" t="s">
        <v>1064</v>
      </c>
      <c r="AB18" s="21" t="s">
        <v>1064</v>
      </c>
      <c r="AC18" s="21" t="s">
        <v>1064</v>
      </c>
      <c r="AD18" s="102" t="s">
        <v>1075</v>
      </c>
    </row>
    <row r="19" spans="1:30" x14ac:dyDescent="0.3">
      <c r="A19" s="97">
        <v>2542</v>
      </c>
      <c r="B19" s="97" t="s">
        <v>0</v>
      </c>
      <c r="C19" s="113" t="s">
        <v>598</v>
      </c>
      <c r="D19" s="153" t="s">
        <v>65</v>
      </c>
      <c r="E19" s="97" t="s">
        <v>66</v>
      </c>
      <c r="F19" s="97" t="s">
        <v>696</v>
      </c>
      <c r="G19" s="97" t="s">
        <v>791</v>
      </c>
      <c r="H19" s="97" t="s">
        <v>4</v>
      </c>
      <c r="I19" s="106">
        <v>2013</v>
      </c>
      <c r="J19" s="101">
        <v>117</v>
      </c>
      <c r="K19" s="101">
        <v>14.3</v>
      </c>
      <c r="L19" s="102" t="s">
        <v>376</v>
      </c>
      <c r="M19" s="101">
        <v>73.599999999999994</v>
      </c>
      <c r="N19" s="110">
        <v>40772</v>
      </c>
      <c r="O19" s="110">
        <v>18295</v>
      </c>
      <c r="P19" s="98" t="s">
        <v>598</v>
      </c>
      <c r="Q19" s="110">
        <v>40772</v>
      </c>
      <c r="R19" s="98" t="s">
        <v>598</v>
      </c>
      <c r="S19" s="97" t="s">
        <v>264</v>
      </c>
      <c r="T19" s="97" t="s">
        <v>4</v>
      </c>
      <c r="U19" s="97">
        <v>2013</v>
      </c>
      <c r="V19" s="97" t="s">
        <v>304</v>
      </c>
      <c r="W19" s="106">
        <v>28.390769458772301</v>
      </c>
      <c r="X19" s="106">
        <v>-80.703548893775704</v>
      </c>
      <c r="Y19" s="113" t="s">
        <v>598</v>
      </c>
      <c r="Z19" s="107"/>
      <c r="AA19" s="21" t="s">
        <v>1064</v>
      </c>
      <c r="AB19" s="21" t="s">
        <v>1064</v>
      </c>
      <c r="AC19" s="21" t="s">
        <v>1064</v>
      </c>
      <c r="AD19" s="102" t="s">
        <v>1075</v>
      </c>
    </row>
    <row r="20" spans="1:30" x14ac:dyDescent="0.3">
      <c r="A20" s="97">
        <v>2541</v>
      </c>
      <c r="B20" s="97" t="s">
        <v>0</v>
      </c>
      <c r="C20" s="97" t="s">
        <v>539</v>
      </c>
      <c r="D20" s="153" t="s">
        <v>67</v>
      </c>
      <c r="E20" s="97" t="s">
        <v>68</v>
      </c>
      <c r="F20" s="97" t="s">
        <v>700</v>
      </c>
      <c r="G20" s="97" t="s">
        <v>670</v>
      </c>
      <c r="H20" s="97" t="s">
        <v>4</v>
      </c>
      <c r="I20" s="106">
        <v>2015</v>
      </c>
      <c r="J20" s="101">
        <v>93</v>
      </c>
      <c r="K20" s="101">
        <v>10</v>
      </c>
      <c r="L20" s="102" t="s">
        <v>376</v>
      </c>
      <c r="M20" s="101">
        <v>53.1</v>
      </c>
      <c r="N20" s="108">
        <v>31452</v>
      </c>
      <c r="O20" s="104" t="s">
        <v>598</v>
      </c>
      <c r="P20" s="97" t="s">
        <v>539</v>
      </c>
      <c r="Q20" s="108" t="s">
        <v>904</v>
      </c>
      <c r="R20" s="97" t="s">
        <v>356</v>
      </c>
      <c r="S20" s="97" t="s">
        <v>264</v>
      </c>
      <c r="T20" s="97" t="s">
        <v>4</v>
      </c>
      <c r="U20" s="97">
        <v>2013</v>
      </c>
      <c r="V20" s="97" t="s">
        <v>304</v>
      </c>
      <c r="W20" s="111">
        <v>28.1998550198891</v>
      </c>
      <c r="X20" s="111">
        <v>-80.601077781236697</v>
      </c>
      <c r="Y20" s="104" t="s">
        <v>598</v>
      </c>
      <c r="Z20" s="107"/>
      <c r="AA20" s="21" t="s">
        <v>1064</v>
      </c>
      <c r="AB20" s="21" t="s">
        <v>1064</v>
      </c>
      <c r="AC20" s="21" t="s">
        <v>1064</v>
      </c>
      <c r="AD20" s="102" t="s">
        <v>1075</v>
      </c>
    </row>
    <row r="21" spans="1:30" x14ac:dyDescent="0.3">
      <c r="A21" s="97">
        <v>2540</v>
      </c>
      <c r="B21" s="97" t="s">
        <v>0</v>
      </c>
      <c r="C21" s="98" t="s">
        <v>598</v>
      </c>
      <c r="D21" s="153" t="s">
        <v>70</v>
      </c>
      <c r="E21" s="97" t="s">
        <v>519</v>
      </c>
      <c r="F21" s="97" t="s">
        <v>697</v>
      </c>
      <c r="G21" s="97" t="s">
        <v>71</v>
      </c>
      <c r="H21" s="97" t="s">
        <v>2</v>
      </c>
      <c r="I21" s="100" t="s">
        <v>520</v>
      </c>
      <c r="J21" s="101">
        <v>1</v>
      </c>
      <c r="K21" s="101">
        <v>1</v>
      </c>
      <c r="L21" s="102" t="s">
        <v>376</v>
      </c>
      <c r="M21" s="112" t="s">
        <v>520</v>
      </c>
      <c r="N21" s="108">
        <v>95069</v>
      </c>
      <c r="O21" s="108">
        <v>55300</v>
      </c>
      <c r="P21" s="98" t="s">
        <v>520</v>
      </c>
      <c r="Q21" s="108">
        <v>95069</v>
      </c>
      <c r="R21" s="97" t="s">
        <v>520</v>
      </c>
      <c r="S21" s="97" t="s">
        <v>265</v>
      </c>
      <c r="T21" s="97" t="s">
        <v>2</v>
      </c>
      <c r="U21" s="97">
        <v>2013</v>
      </c>
      <c r="V21" s="97" t="s">
        <v>304</v>
      </c>
      <c r="W21" s="136" t="s">
        <v>598</v>
      </c>
      <c r="X21" s="136" t="s">
        <v>598</v>
      </c>
      <c r="Y21" s="104" t="s">
        <v>598</v>
      </c>
      <c r="Z21" s="107"/>
      <c r="AA21" s="98" t="s">
        <v>1065</v>
      </c>
      <c r="AB21" s="21" t="s">
        <v>1065</v>
      </c>
      <c r="AC21" s="21" t="s">
        <v>1074</v>
      </c>
      <c r="AD21" s="102" t="s">
        <v>1071</v>
      </c>
    </row>
    <row r="22" spans="1:30" x14ac:dyDescent="0.3">
      <c r="A22" s="97">
        <v>2539</v>
      </c>
      <c r="B22" s="97" t="s">
        <v>0</v>
      </c>
      <c r="C22" s="97" t="s">
        <v>539</v>
      </c>
      <c r="D22" s="153" t="s">
        <v>72</v>
      </c>
      <c r="E22" s="97" t="s">
        <v>73</v>
      </c>
      <c r="F22" s="97" t="s">
        <v>699</v>
      </c>
      <c r="G22" s="97" t="s">
        <v>670</v>
      </c>
      <c r="H22" s="97" t="s">
        <v>4</v>
      </c>
      <c r="I22" s="106">
        <v>2015</v>
      </c>
      <c r="J22" s="101">
        <v>146</v>
      </c>
      <c r="K22" s="101">
        <v>25.7</v>
      </c>
      <c r="L22" s="102" t="s">
        <v>376</v>
      </c>
      <c r="M22" s="101">
        <v>57</v>
      </c>
      <c r="N22" s="108">
        <v>34037</v>
      </c>
      <c r="O22" s="104" t="s">
        <v>598</v>
      </c>
      <c r="P22" s="97" t="s">
        <v>539</v>
      </c>
      <c r="Q22" s="108" t="s">
        <v>905</v>
      </c>
      <c r="R22" s="97" t="s">
        <v>356</v>
      </c>
      <c r="S22" s="97" t="s">
        <v>264</v>
      </c>
      <c r="T22" s="97" t="s">
        <v>4</v>
      </c>
      <c r="U22" s="97">
        <v>2013</v>
      </c>
      <c r="V22" s="97" t="s">
        <v>304</v>
      </c>
      <c r="W22" s="111">
        <v>28.363523529814</v>
      </c>
      <c r="X22" s="111">
        <v>-80.697672384806197</v>
      </c>
      <c r="Y22" s="104" t="s">
        <v>598</v>
      </c>
      <c r="Z22" s="107"/>
      <c r="AA22" s="21" t="s">
        <v>1064</v>
      </c>
      <c r="AB22" s="21" t="s">
        <v>1064</v>
      </c>
      <c r="AC22" s="21" t="s">
        <v>1064</v>
      </c>
      <c r="AD22" s="102" t="s">
        <v>1075</v>
      </c>
    </row>
    <row r="23" spans="1:30" x14ac:dyDescent="0.3">
      <c r="A23" s="97">
        <v>2538</v>
      </c>
      <c r="B23" s="97" t="s">
        <v>0</v>
      </c>
      <c r="C23" s="97" t="s">
        <v>539</v>
      </c>
      <c r="D23" s="153" t="s">
        <v>74</v>
      </c>
      <c r="E23" s="97" t="s">
        <v>75</v>
      </c>
      <c r="F23" s="97" t="s">
        <v>699</v>
      </c>
      <c r="G23" s="97" t="s">
        <v>670</v>
      </c>
      <c r="H23" s="97" t="s">
        <v>4</v>
      </c>
      <c r="I23" s="106">
        <v>2015</v>
      </c>
      <c r="J23" s="101">
        <v>7</v>
      </c>
      <c r="K23" s="101">
        <v>0.7</v>
      </c>
      <c r="L23" s="102" t="s">
        <v>376</v>
      </c>
      <c r="M23" s="101">
        <v>4.3</v>
      </c>
      <c r="N23" s="108">
        <v>12507</v>
      </c>
      <c r="O23" s="104" t="s">
        <v>598</v>
      </c>
      <c r="P23" s="97" t="s">
        <v>539</v>
      </c>
      <c r="Q23" s="108" t="s">
        <v>906</v>
      </c>
      <c r="R23" s="97" t="s">
        <v>356</v>
      </c>
      <c r="S23" s="97" t="s">
        <v>264</v>
      </c>
      <c r="T23" s="97" t="s">
        <v>4</v>
      </c>
      <c r="U23" s="97">
        <v>2013</v>
      </c>
      <c r="V23" s="97" t="s">
        <v>304</v>
      </c>
      <c r="W23" s="111">
        <v>28.2105435697624</v>
      </c>
      <c r="X23" s="111">
        <v>-80.612703929475202</v>
      </c>
      <c r="Y23" s="104" t="s">
        <v>598</v>
      </c>
      <c r="Z23" s="107"/>
      <c r="AA23" s="21" t="s">
        <v>1064</v>
      </c>
      <c r="AB23" s="21" t="s">
        <v>1064</v>
      </c>
      <c r="AC23" s="21" t="s">
        <v>1064</v>
      </c>
      <c r="AD23" s="102" t="s">
        <v>1075</v>
      </c>
    </row>
    <row r="24" spans="1:30" x14ac:dyDescent="0.3">
      <c r="A24" s="97">
        <v>2570</v>
      </c>
      <c r="B24" s="97" t="s">
        <v>0</v>
      </c>
      <c r="C24" s="97" t="s">
        <v>598</v>
      </c>
      <c r="D24" s="97" t="s">
        <v>76</v>
      </c>
      <c r="E24" s="97" t="s">
        <v>77</v>
      </c>
      <c r="F24" s="97" t="s">
        <v>696</v>
      </c>
      <c r="G24" s="106" t="s">
        <v>791</v>
      </c>
      <c r="H24" s="97" t="s">
        <v>548</v>
      </c>
      <c r="I24" s="106" t="s">
        <v>520</v>
      </c>
      <c r="J24" s="116" t="s">
        <v>520</v>
      </c>
      <c r="K24" s="116" t="s">
        <v>520</v>
      </c>
      <c r="L24" s="97" t="s">
        <v>520</v>
      </c>
      <c r="M24" s="116" t="s">
        <v>520</v>
      </c>
      <c r="N24" s="110" t="s">
        <v>520</v>
      </c>
      <c r="O24" s="110" t="s">
        <v>520</v>
      </c>
      <c r="P24" s="97" t="s">
        <v>520</v>
      </c>
      <c r="Q24" s="110" t="s">
        <v>520</v>
      </c>
      <c r="R24" s="97" t="s">
        <v>520</v>
      </c>
      <c r="S24" s="97" t="s">
        <v>264</v>
      </c>
      <c r="T24" s="97" t="s">
        <v>548</v>
      </c>
      <c r="U24" s="97">
        <v>2013</v>
      </c>
      <c r="V24" s="97" t="s">
        <v>304</v>
      </c>
      <c r="W24" s="106" t="s">
        <v>520</v>
      </c>
      <c r="X24" s="106" t="s">
        <v>520</v>
      </c>
      <c r="Y24" s="97" t="s">
        <v>520</v>
      </c>
      <c r="Z24" s="117"/>
      <c r="AA24" s="97" t="s">
        <v>306</v>
      </c>
      <c r="AB24" s="97" t="s">
        <v>1065</v>
      </c>
      <c r="AC24" s="97" t="s">
        <v>520</v>
      </c>
      <c r="AD24" s="97" t="s">
        <v>520</v>
      </c>
    </row>
    <row r="25" spans="1:30" x14ac:dyDescent="0.3">
      <c r="A25" s="97">
        <v>2546</v>
      </c>
      <c r="B25" s="97" t="s">
        <v>0</v>
      </c>
      <c r="C25" s="97" t="s">
        <v>539</v>
      </c>
      <c r="D25" s="153" t="s">
        <v>78</v>
      </c>
      <c r="E25" s="97" t="s">
        <v>381</v>
      </c>
      <c r="F25" s="97" t="s">
        <v>696</v>
      </c>
      <c r="G25" s="106" t="s">
        <v>791</v>
      </c>
      <c r="H25" s="97" t="s">
        <v>4</v>
      </c>
      <c r="I25" s="100" t="s">
        <v>649</v>
      </c>
      <c r="J25" s="101">
        <v>210</v>
      </c>
      <c r="K25" s="101">
        <v>48.7</v>
      </c>
      <c r="L25" s="102" t="s">
        <v>376</v>
      </c>
      <c r="M25" s="101">
        <v>84.4</v>
      </c>
      <c r="N25" s="108">
        <v>114914</v>
      </c>
      <c r="O25" s="108">
        <v>25091</v>
      </c>
      <c r="P25" s="97" t="s">
        <v>539</v>
      </c>
      <c r="Q25" s="108" t="s">
        <v>907</v>
      </c>
      <c r="R25" s="97" t="s">
        <v>355</v>
      </c>
      <c r="S25" s="97" t="s">
        <v>264</v>
      </c>
      <c r="T25" s="97" t="s">
        <v>69</v>
      </c>
      <c r="U25" s="97">
        <v>2013</v>
      </c>
      <c r="V25" s="97" t="s">
        <v>304</v>
      </c>
      <c r="W25" s="111">
        <v>28.351978549737499</v>
      </c>
      <c r="X25" s="111">
        <v>-80.693876960609799</v>
      </c>
      <c r="Y25" s="104" t="s">
        <v>598</v>
      </c>
      <c r="Z25" s="107"/>
      <c r="AA25" s="21" t="s">
        <v>1064</v>
      </c>
      <c r="AB25" s="21" t="s">
        <v>1064</v>
      </c>
      <c r="AC25" s="21" t="s">
        <v>1064</v>
      </c>
      <c r="AD25" s="102" t="s">
        <v>1075</v>
      </c>
    </row>
    <row r="26" spans="1:30" x14ac:dyDescent="0.3">
      <c r="A26" s="97">
        <v>2548</v>
      </c>
      <c r="B26" s="97" t="s">
        <v>0</v>
      </c>
      <c r="C26" s="97" t="s">
        <v>667</v>
      </c>
      <c r="D26" s="153" t="s">
        <v>79</v>
      </c>
      <c r="E26" s="97" t="s">
        <v>80</v>
      </c>
      <c r="F26" s="97" t="s">
        <v>666</v>
      </c>
      <c r="G26" s="97" t="s">
        <v>703</v>
      </c>
      <c r="H26" s="97" t="s">
        <v>4</v>
      </c>
      <c r="I26" s="106">
        <v>2013</v>
      </c>
      <c r="J26" s="101">
        <v>100</v>
      </c>
      <c r="K26" s="101">
        <v>0</v>
      </c>
      <c r="L26" s="102" t="s">
        <v>376</v>
      </c>
      <c r="M26" s="101">
        <v>18.399999999999999</v>
      </c>
      <c r="N26" s="108">
        <v>100000</v>
      </c>
      <c r="O26" s="104" t="s">
        <v>598</v>
      </c>
      <c r="P26" s="97" t="s">
        <v>668</v>
      </c>
      <c r="Q26" s="104" t="s">
        <v>598</v>
      </c>
      <c r="R26" s="97" t="s">
        <v>520</v>
      </c>
      <c r="S26" s="97" t="s">
        <v>264</v>
      </c>
      <c r="T26" s="97" t="s">
        <v>4</v>
      </c>
      <c r="U26" s="97">
        <v>2013</v>
      </c>
      <c r="V26" s="97" t="s">
        <v>304</v>
      </c>
      <c r="W26" s="111">
        <v>28.171860793590199</v>
      </c>
      <c r="X26" s="111">
        <v>-80.597645739216105</v>
      </c>
      <c r="Y26" s="104" t="s">
        <v>598</v>
      </c>
      <c r="Z26" s="107"/>
      <c r="AA26" s="21" t="s">
        <v>1064</v>
      </c>
      <c r="AB26" s="21" t="s">
        <v>1064</v>
      </c>
      <c r="AC26" s="21" t="s">
        <v>1064</v>
      </c>
      <c r="AD26" s="102" t="s">
        <v>1075</v>
      </c>
    </row>
    <row r="27" spans="1:30" x14ac:dyDescent="0.3">
      <c r="A27" s="97">
        <v>2582</v>
      </c>
      <c r="B27" s="97" t="s">
        <v>0</v>
      </c>
      <c r="C27" s="97" t="s">
        <v>538</v>
      </c>
      <c r="D27" s="153" t="s">
        <v>81</v>
      </c>
      <c r="E27" s="97" t="s">
        <v>875</v>
      </c>
      <c r="F27" s="99" t="s">
        <v>493</v>
      </c>
      <c r="G27" s="97" t="s">
        <v>669</v>
      </c>
      <c r="H27" s="97" t="s">
        <v>4</v>
      </c>
      <c r="I27" s="106">
        <v>2017</v>
      </c>
      <c r="J27" s="101">
        <v>132</v>
      </c>
      <c r="K27" s="101">
        <v>16.899999999999999</v>
      </c>
      <c r="L27" s="102" t="s">
        <v>376</v>
      </c>
      <c r="M27" s="101">
        <v>73.900000000000006</v>
      </c>
      <c r="N27" s="108">
        <v>320256</v>
      </c>
      <c r="O27" s="108">
        <v>2100</v>
      </c>
      <c r="P27" s="97" t="s">
        <v>1020</v>
      </c>
      <c r="Q27" s="110" t="s">
        <v>1027</v>
      </c>
      <c r="R27" s="97" t="s">
        <v>926</v>
      </c>
      <c r="S27" s="97" t="s">
        <v>264</v>
      </c>
      <c r="T27" s="97" t="s">
        <v>69</v>
      </c>
      <c r="U27" s="97">
        <v>2013</v>
      </c>
      <c r="V27" s="97" t="s">
        <v>304</v>
      </c>
      <c r="W27" s="111">
        <v>28.210621854372999</v>
      </c>
      <c r="X27" s="111">
        <v>-80.602964770488796</v>
      </c>
      <c r="Y27" s="104" t="s">
        <v>598</v>
      </c>
      <c r="Z27" s="107"/>
      <c r="AA27" s="21" t="s">
        <v>1064</v>
      </c>
      <c r="AB27" s="21" t="s">
        <v>1064</v>
      </c>
      <c r="AC27" s="21" t="s">
        <v>1064</v>
      </c>
      <c r="AD27" s="102" t="s">
        <v>1075</v>
      </c>
    </row>
    <row r="28" spans="1:30" x14ac:dyDescent="0.3">
      <c r="A28" s="97">
        <v>2581</v>
      </c>
      <c r="B28" s="97" t="s">
        <v>0</v>
      </c>
      <c r="C28" s="98" t="s">
        <v>598</v>
      </c>
      <c r="D28" s="153" t="s">
        <v>82</v>
      </c>
      <c r="E28" s="97" t="s">
        <v>83</v>
      </c>
      <c r="F28" s="98" t="s">
        <v>588</v>
      </c>
      <c r="G28" s="97" t="s">
        <v>349</v>
      </c>
      <c r="H28" s="97" t="s">
        <v>4</v>
      </c>
      <c r="I28" s="106">
        <v>2013</v>
      </c>
      <c r="J28" s="101">
        <v>19</v>
      </c>
      <c r="K28" s="101">
        <v>1.3</v>
      </c>
      <c r="L28" s="102" t="s">
        <v>376</v>
      </c>
      <c r="M28" s="101">
        <v>32.9</v>
      </c>
      <c r="N28" s="104" t="s">
        <v>598</v>
      </c>
      <c r="O28" s="104" t="s">
        <v>598</v>
      </c>
      <c r="P28" s="104" t="s">
        <v>598</v>
      </c>
      <c r="Q28" s="104" t="s">
        <v>598</v>
      </c>
      <c r="R28" s="97" t="s">
        <v>520</v>
      </c>
      <c r="S28" s="97" t="s">
        <v>264</v>
      </c>
      <c r="T28" s="97" t="s">
        <v>4</v>
      </c>
      <c r="U28" s="97">
        <v>2013</v>
      </c>
      <c r="V28" s="97" t="s">
        <v>304</v>
      </c>
      <c r="W28" s="111">
        <v>28.3998214780521</v>
      </c>
      <c r="X28" s="111">
        <v>-80.666019296963398</v>
      </c>
      <c r="Y28" s="104" t="s">
        <v>598</v>
      </c>
      <c r="Z28" s="107"/>
      <c r="AA28" s="21" t="s">
        <v>1064</v>
      </c>
      <c r="AB28" s="21" t="s">
        <v>1064</v>
      </c>
      <c r="AC28" s="21" t="s">
        <v>1064</v>
      </c>
      <c r="AD28" s="102" t="s">
        <v>1075</v>
      </c>
    </row>
    <row r="29" spans="1:30" x14ac:dyDescent="0.3">
      <c r="A29" s="97">
        <v>2580</v>
      </c>
      <c r="B29" s="97" t="s">
        <v>0</v>
      </c>
      <c r="C29" s="98" t="s">
        <v>598</v>
      </c>
      <c r="D29" s="153" t="s">
        <v>84</v>
      </c>
      <c r="E29" s="97" t="s">
        <v>85</v>
      </c>
      <c r="F29" s="97" t="s">
        <v>698</v>
      </c>
      <c r="G29" s="97" t="s">
        <v>349</v>
      </c>
      <c r="H29" s="97" t="s">
        <v>4</v>
      </c>
      <c r="I29" s="106">
        <v>2016</v>
      </c>
      <c r="J29" s="101">
        <v>359.1</v>
      </c>
      <c r="K29" s="101">
        <v>0</v>
      </c>
      <c r="L29" s="102" t="s">
        <v>376</v>
      </c>
      <c r="M29" s="101">
        <v>88.331207629214006</v>
      </c>
      <c r="N29" s="104" t="s">
        <v>598</v>
      </c>
      <c r="O29" s="104" t="s">
        <v>598</v>
      </c>
      <c r="P29" s="104" t="s">
        <v>598</v>
      </c>
      <c r="Q29" s="104" t="s">
        <v>598</v>
      </c>
      <c r="R29" s="97" t="s">
        <v>520</v>
      </c>
      <c r="S29" s="97" t="s">
        <v>264</v>
      </c>
      <c r="T29" s="97" t="s">
        <v>302</v>
      </c>
      <c r="U29" s="97">
        <v>2013</v>
      </c>
      <c r="V29" s="97" t="s">
        <v>304</v>
      </c>
      <c r="W29" s="111">
        <v>28.210616999999999</v>
      </c>
      <c r="X29" s="111">
        <v>-80.602919</v>
      </c>
      <c r="Y29" s="104" t="s">
        <v>598</v>
      </c>
      <c r="Z29" s="107"/>
      <c r="AA29" s="21" t="s">
        <v>1064</v>
      </c>
      <c r="AB29" s="21" t="s">
        <v>1064</v>
      </c>
      <c r="AC29" s="21" t="s">
        <v>1064</v>
      </c>
      <c r="AD29" s="102" t="s">
        <v>1075</v>
      </c>
    </row>
    <row r="30" spans="1:30" x14ac:dyDescent="0.3">
      <c r="A30" s="97">
        <v>2579</v>
      </c>
      <c r="B30" s="97" t="s">
        <v>95</v>
      </c>
      <c r="C30" s="97" t="s">
        <v>539</v>
      </c>
      <c r="D30" s="153" t="s">
        <v>86</v>
      </c>
      <c r="E30" s="97" t="s">
        <v>87</v>
      </c>
      <c r="F30" s="97" t="s">
        <v>699</v>
      </c>
      <c r="G30" s="97" t="s">
        <v>670</v>
      </c>
      <c r="H30" s="97" t="s">
        <v>4</v>
      </c>
      <c r="I30" s="106">
        <v>2015</v>
      </c>
      <c r="J30" s="101">
        <v>10</v>
      </c>
      <c r="K30" s="101">
        <v>1.4</v>
      </c>
      <c r="L30" s="102" t="s">
        <v>376</v>
      </c>
      <c r="M30" s="101">
        <v>6</v>
      </c>
      <c r="N30" s="108">
        <v>12507</v>
      </c>
      <c r="O30" s="108">
        <v>2000</v>
      </c>
      <c r="P30" s="97" t="s">
        <v>539</v>
      </c>
      <c r="Q30" s="108" t="s">
        <v>906</v>
      </c>
      <c r="R30" s="97" t="s">
        <v>356</v>
      </c>
      <c r="S30" s="97" t="s">
        <v>264</v>
      </c>
      <c r="T30" s="97" t="s">
        <v>4</v>
      </c>
      <c r="U30" s="97">
        <v>2014</v>
      </c>
      <c r="V30" s="97" t="s">
        <v>304</v>
      </c>
      <c r="W30" s="111">
        <v>28.208583891913001</v>
      </c>
      <c r="X30" s="111">
        <v>-80.601566766489896</v>
      </c>
      <c r="Y30" s="104" t="s">
        <v>598</v>
      </c>
      <c r="Z30" s="107"/>
      <c r="AA30" s="21" t="s">
        <v>1064</v>
      </c>
      <c r="AB30" s="21" t="s">
        <v>1064</v>
      </c>
      <c r="AC30" s="21" t="s">
        <v>1064</v>
      </c>
      <c r="AD30" s="102" t="s">
        <v>1075</v>
      </c>
    </row>
    <row r="31" spans="1:30" x14ac:dyDescent="0.3">
      <c r="A31" s="97">
        <v>2578</v>
      </c>
      <c r="B31" s="97" t="s">
        <v>0</v>
      </c>
      <c r="C31" s="98" t="s">
        <v>520</v>
      </c>
      <c r="D31" s="153" t="s">
        <v>260</v>
      </c>
      <c r="E31" s="97" t="s">
        <v>350</v>
      </c>
      <c r="F31" s="97" t="s">
        <v>479</v>
      </c>
      <c r="G31" s="97" t="s">
        <v>350</v>
      </c>
      <c r="H31" s="97" t="s">
        <v>4</v>
      </c>
      <c r="I31" s="100" t="s">
        <v>520</v>
      </c>
      <c r="J31" s="101">
        <v>0</v>
      </c>
      <c r="K31" s="101">
        <v>0</v>
      </c>
      <c r="L31" s="102" t="s">
        <v>373</v>
      </c>
      <c r="M31" s="101" t="s">
        <v>520</v>
      </c>
      <c r="N31" s="104" t="s">
        <v>520</v>
      </c>
      <c r="O31" s="108">
        <v>47064</v>
      </c>
      <c r="P31" s="104" t="s">
        <v>520</v>
      </c>
      <c r="Q31" s="104" t="s">
        <v>520</v>
      </c>
      <c r="R31" s="108" t="s">
        <v>520</v>
      </c>
      <c r="S31" s="97" t="s">
        <v>265</v>
      </c>
      <c r="T31" s="97" t="s">
        <v>143</v>
      </c>
      <c r="U31" s="97">
        <v>2015</v>
      </c>
      <c r="V31" s="97" t="s">
        <v>304</v>
      </c>
      <c r="W31" s="100" t="s">
        <v>520</v>
      </c>
      <c r="X31" s="100" t="s">
        <v>520</v>
      </c>
      <c r="Y31" s="104" t="s">
        <v>598</v>
      </c>
      <c r="Z31" s="107"/>
      <c r="AA31" s="21" t="s">
        <v>1064</v>
      </c>
      <c r="AB31" s="21" t="s">
        <v>1065</v>
      </c>
      <c r="AC31" s="21" t="s">
        <v>1074</v>
      </c>
      <c r="AD31" s="102" t="s">
        <v>1071</v>
      </c>
    </row>
    <row r="32" spans="1:30" x14ac:dyDescent="0.3">
      <c r="A32" s="97">
        <v>2577</v>
      </c>
      <c r="B32" s="97" t="s">
        <v>0</v>
      </c>
      <c r="C32" s="98" t="s">
        <v>598</v>
      </c>
      <c r="D32" s="153" t="s">
        <v>261</v>
      </c>
      <c r="E32" s="97" t="s">
        <v>71</v>
      </c>
      <c r="F32" s="97" t="s">
        <v>701</v>
      </c>
      <c r="G32" s="97" t="s">
        <v>71</v>
      </c>
      <c r="H32" s="97" t="s">
        <v>2</v>
      </c>
      <c r="I32" s="100" t="s">
        <v>520</v>
      </c>
      <c r="J32" s="101">
        <v>0</v>
      </c>
      <c r="K32" s="101">
        <v>0</v>
      </c>
      <c r="L32" s="102" t="s">
        <v>373</v>
      </c>
      <c r="M32" s="101" t="s">
        <v>520</v>
      </c>
      <c r="N32" s="104" t="s">
        <v>520</v>
      </c>
      <c r="O32" s="108">
        <v>52000</v>
      </c>
      <c r="P32" s="104" t="s">
        <v>520</v>
      </c>
      <c r="Q32" s="104" t="s">
        <v>520</v>
      </c>
      <c r="R32" s="108" t="s">
        <v>520</v>
      </c>
      <c r="S32" s="97" t="s">
        <v>265</v>
      </c>
      <c r="T32" s="97" t="s">
        <v>143</v>
      </c>
      <c r="U32" s="97">
        <v>2015</v>
      </c>
      <c r="V32" s="97" t="s">
        <v>304</v>
      </c>
      <c r="W32" s="100" t="s">
        <v>520</v>
      </c>
      <c r="X32" s="100" t="s">
        <v>520</v>
      </c>
      <c r="Y32" s="104" t="s">
        <v>598</v>
      </c>
      <c r="Z32" s="107"/>
      <c r="AA32" s="98" t="s">
        <v>1065</v>
      </c>
      <c r="AB32" s="21" t="s">
        <v>1065</v>
      </c>
      <c r="AC32" s="21" t="s">
        <v>1074</v>
      </c>
      <c r="AD32" s="102" t="s">
        <v>1071</v>
      </c>
    </row>
    <row r="33" spans="1:30" x14ac:dyDescent="0.3">
      <c r="A33" s="99">
        <v>2576</v>
      </c>
      <c r="B33" s="97" t="s">
        <v>0</v>
      </c>
      <c r="C33" s="97" t="s">
        <v>539</v>
      </c>
      <c r="D33" s="153" t="s">
        <v>456</v>
      </c>
      <c r="E33" s="97" t="s">
        <v>455</v>
      </c>
      <c r="F33" s="97" t="s">
        <v>492</v>
      </c>
      <c r="G33" s="97" t="s">
        <v>580</v>
      </c>
      <c r="H33" s="97" t="s">
        <v>4</v>
      </c>
      <c r="I33" s="106">
        <v>2017</v>
      </c>
      <c r="J33" s="116" t="s">
        <v>361</v>
      </c>
      <c r="K33" s="116" t="s">
        <v>361</v>
      </c>
      <c r="L33" s="97" t="s">
        <v>376</v>
      </c>
      <c r="M33" s="117" t="s">
        <v>598</v>
      </c>
      <c r="N33" s="110">
        <v>20000000</v>
      </c>
      <c r="O33" s="104" t="s">
        <v>598</v>
      </c>
      <c r="P33" s="97" t="s">
        <v>539</v>
      </c>
      <c r="Q33" s="110" t="s">
        <v>1028</v>
      </c>
      <c r="R33" s="97" t="s">
        <v>457</v>
      </c>
      <c r="S33" s="97" t="s">
        <v>265</v>
      </c>
      <c r="T33" s="97" t="s">
        <v>4</v>
      </c>
      <c r="U33" s="97">
        <v>2017</v>
      </c>
      <c r="V33" s="97" t="s">
        <v>304</v>
      </c>
      <c r="W33" s="136" t="s">
        <v>598</v>
      </c>
      <c r="X33" s="136" t="s">
        <v>598</v>
      </c>
      <c r="Y33" s="104" t="s">
        <v>598</v>
      </c>
      <c r="Z33" s="107"/>
      <c r="AA33" s="98" t="s">
        <v>1065</v>
      </c>
      <c r="AB33" s="21" t="s">
        <v>1065</v>
      </c>
      <c r="AC33" s="21" t="s">
        <v>1081</v>
      </c>
      <c r="AD33" s="21" t="s">
        <v>520</v>
      </c>
    </row>
    <row r="34" spans="1:30" x14ac:dyDescent="0.3">
      <c r="A34" s="99">
        <v>4328</v>
      </c>
      <c r="B34" s="97" t="s">
        <v>138</v>
      </c>
      <c r="C34" s="97" t="s">
        <v>690</v>
      </c>
      <c r="D34" s="153" t="s">
        <v>671</v>
      </c>
      <c r="E34" s="97" t="s">
        <v>672</v>
      </c>
      <c r="F34" s="99" t="s">
        <v>691</v>
      </c>
      <c r="G34" s="97" t="s">
        <v>669</v>
      </c>
      <c r="H34" s="97" t="s">
        <v>4</v>
      </c>
      <c r="I34" s="106">
        <v>2017</v>
      </c>
      <c r="J34" s="101" t="s">
        <v>361</v>
      </c>
      <c r="K34" s="101" t="s">
        <v>361</v>
      </c>
      <c r="L34" s="102" t="s">
        <v>376</v>
      </c>
      <c r="M34" s="112">
        <v>213.4</v>
      </c>
      <c r="N34" s="110">
        <v>41700</v>
      </c>
      <c r="O34" s="108">
        <v>41700</v>
      </c>
      <c r="P34" s="97" t="s">
        <v>1021</v>
      </c>
      <c r="Q34" s="110">
        <v>34700</v>
      </c>
      <c r="R34" s="97" t="s">
        <v>550</v>
      </c>
      <c r="S34" s="97" t="s">
        <v>264</v>
      </c>
      <c r="T34" s="97" t="s">
        <v>4</v>
      </c>
      <c r="U34" s="97">
        <v>2018</v>
      </c>
      <c r="V34" s="97" t="s">
        <v>304</v>
      </c>
      <c r="W34" s="111">
        <v>28.396129999999999</v>
      </c>
      <c r="X34" s="111">
        <v>-80.608059999999995</v>
      </c>
      <c r="Y34" s="104" t="s">
        <v>598</v>
      </c>
      <c r="Z34" s="107"/>
      <c r="AA34" s="21" t="s">
        <v>1064</v>
      </c>
      <c r="AB34" s="21" t="s">
        <v>1064</v>
      </c>
      <c r="AC34" s="21" t="s">
        <v>1064</v>
      </c>
      <c r="AD34" s="102" t="s">
        <v>1075</v>
      </c>
    </row>
    <row r="35" spans="1:30" x14ac:dyDescent="0.3">
      <c r="A35" s="99">
        <v>4329</v>
      </c>
      <c r="B35" s="97" t="s">
        <v>173</v>
      </c>
      <c r="C35" s="97" t="s">
        <v>927</v>
      </c>
      <c r="D35" s="153" t="s">
        <v>673</v>
      </c>
      <c r="E35" s="97" t="s">
        <v>674</v>
      </c>
      <c r="F35" s="97" t="s">
        <v>692</v>
      </c>
      <c r="G35" s="97" t="s">
        <v>349</v>
      </c>
      <c r="H35" s="97" t="s">
        <v>4</v>
      </c>
      <c r="I35" s="106">
        <v>2017</v>
      </c>
      <c r="J35" s="129" t="s">
        <v>361</v>
      </c>
      <c r="K35" s="129" t="s">
        <v>361</v>
      </c>
      <c r="L35" s="102" t="s">
        <v>376</v>
      </c>
      <c r="M35" s="130">
        <v>128.9</v>
      </c>
      <c r="N35" s="110">
        <v>11000</v>
      </c>
      <c r="O35" s="104" t="s">
        <v>598</v>
      </c>
      <c r="P35" s="97" t="s">
        <v>620</v>
      </c>
      <c r="Q35" s="110">
        <v>4224</v>
      </c>
      <c r="R35" s="97" t="s">
        <v>520</v>
      </c>
      <c r="S35" s="97" t="s">
        <v>264</v>
      </c>
      <c r="T35" s="97" t="s">
        <v>4</v>
      </c>
      <c r="U35" s="97">
        <v>2018</v>
      </c>
      <c r="V35" s="97" t="s">
        <v>304</v>
      </c>
      <c r="W35" s="111">
        <v>28.340029999999999</v>
      </c>
      <c r="X35" s="111">
        <v>-80.686019999999999</v>
      </c>
      <c r="Y35" s="104" t="s">
        <v>598</v>
      </c>
      <c r="Z35" s="107"/>
      <c r="AA35" s="98" t="s">
        <v>1065</v>
      </c>
      <c r="AB35" s="21" t="s">
        <v>1064</v>
      </c>
      <c r="AC35" s="21" t="s">
        <v>1079</v>
      </c>
      <c r="AD35" s="88" t="s">
        <v>1078</v>
      </c>
    </row>
    <row r="36" spans="1:30" x14ac:dyDescent="0.3">
      <c r="A36" s="99">
        <v>4330</v>
      </c>
      <c r="B36" s="97" t="s">
        <v>0</v>
      </c>
      <c r="C36" s="97" t="s">
        <v>675</v>
      </c>
      <c r="D36" s="153" t="s">
        <v>676</v>
      </c>
      <c r="E36" s="97" t="s">
        <v>1</v>
      </c>
      <c r="F36" s="97" t="s">
        <v>693</v>
      </c>
      <c r="G36" s="97" t="s">
        <v>1</v>
      </c>
      <c r="H36" s="97" t="s">
        <v>2</v>
      </c>
      <c r="I36" s="100" t="s">
        <v>520</v>
      </c>
      <c r="J36" s="101" t="s">
        <v>520</v>
      </c>
      <c r="K36" s="101" t="s">
        <v>520</v>
      </c>
      <c r="L36" s="102" t="s">
        <v>376</v>
      </c>
      <c r="M36" s="112" t="s">
        <v>520</v>
      </c>
      <c r="N36" s="103" t="s">
        <v>520</v>
      </c>
      <c r="O36" s="108">
        <v>42000</v>
      </c>
      <c r="P36" s="98" t="s">
        <v>520</v>
      </c>
      <c r="Q36" s="103" t="s">
        <v>520</v>
      </c>
      <c r="R36" s="97" t="s">
        <v>520</v>
      </c>
      <c r="S36" s="97" t="s">
        <v>265</v>
      </c>
      <c r="T36" s="97" t="s">
        <v>256</v>
      </c>
      <c r="U36" s="97">
        <v>2018</v>
      </c>
      <c r="V36" s="97" t="s">
        <v>304</v>
      </c>
      <c r="W36" s="111">
        <v>28.380980000000001</v>
      </c>
      <c r="X36" s="111">
        <v>-80.701480000000004</v>
      </c>
      <c r="Y36" s="104" t="s">
        <v>598</v>
      </c>
      <c r="Z36" s="107"/>
      <c r="AA36" s="98" t="s">
        <v>1065</v>
      </c>
      <c r="AB36" s="21" t="s">
        <v>1065</v>
      </c>
      <c r="AC36" s="21" t="s">
        <v>1073</v>
      </c>
      <c r="AD36" s="102" t="s">
        <v>1072</v>
      </c>
    </row>
    <row r="37" spans="1:30" x14ac:dyDescent="0.3">
      <c r="A37" s="99">
        <v>4331</v>
      </c>
      <c r="B37" s="97" t="s">
        <v>0</v>
      </c>
      <c r="C37" s="98" t="s">
        <v>520</v>
      </c>
      <c r="D37" s="153" t="s">
        <v>677</v>
      </c>
      <c r="E37" s="97" t="s">
        <v>876</v>
      </c>
      <c r="F37" s="97" t="s">
        <v>702</v>
      </c>
      <c r="G37" s="97" t="s">
        <v>351</v>
      </c>
      <c r="H37" s="97" t="s">
        <v>4</v>
      </c>
      <c r="I37" s="106">
        <v>2011</v>
      </c>
      <c r="J37" s="101">
        <v>458</v>
      </c>
      <c r="K37" s="101">
        <v>160</v>
      </c>
      <c r="L37" s="102" t="s">
        <v>376</v>
      </c>
      <c r="M37" s="112">
        <v>184.2</v>
      </c>
      <c r="N37" s="110">
        <v>672464.37</v>
      </c>
      <c r="O37" s="104" t="s">
        <v>520</v>
      </c>
      <c r="P37" s="97" t="s">
        <v>664</v>
      </c>
      <c r="Q37" s="110" t="s">
        <v>1029</v>
      </c>
      <c r="R37" s="97" t="s">
        <v>359</v>
      </c>
      <c r="S37" s="97" t="s">
        <v>264</v>
      </c>
      <c r="T37" s="97" t="s">
        <v>4</v>
      </c>
      <c r="U37" s="97">
        <v>2018</v>
      </c>
      <c r="V37" s="97" t="s">
        <v>304</v>
      </c>
      <c r="W37" s="111">
        <v>28.340029999999999</v>
      </c>
      <c r="X37" s="111">
        <v>-80.686019999999999</v>
      </c>
      <c r="Y37" s="104" t="s">
        <v>598</v>
      </c>
      <c r="Z37" s="107"/>
      <c r="AA37" s="97" t="s">
        <v>1064</v>
      </c>
      <c r="AB37" s="97" t="s">
        <v>1064</v>
      </c>
      <c r="AC37" s="97" t="s">
        <v>1064</v>
      </c>
      <c r="AD37" s="102" t="s">
        <v>1075</v>
      </c>
    </row>
    <row r="38" spans="1:30" x14ac:dyDescent="0.3">
      <c r="A38" s="99">
        <v>4332</v>
      </c>
      <c r="B38" s="97" t="s">
        <v>0</v>
      </c>
      <c r="C38" s="97" t="s">
        <v>539</v>
      </c>
      <c r="D38" s="153" t="s">
        <v>678</v>
      </c>
      <c r="E38" s="97" t="s">
        <v>877</v>
      </c>
      <c r="F38" s="97" t="s">
        <v>683</v>
      </c>
      <c r="G38" s="97" t="s">
        <v>694</v>
      </c>
      <c r="H38" s="97" t="s">
        <v>4</v>
      </c>
      <c r="I38" s="106">
        <v>2019</v>
      </c>
      <c r="J38" s="101" t="s">
        <v>361</v>
      </c>
      <c r="K38" s="101" t="s">
        <v>361</v>
      </c>
      <c r="L38" s="102" t="s">
        <v>376</v>
      </c>
      <c r="M38" s="112">
        <v>789</v>
      </c>
      <c r="N38" s="110">
        <v>150000</v>
      </c>
      <c r="O38" s="108">
        <v>2500</v>
      </c>
      <c r="P38" s="97" t="s">
        <v>680</v>
      </c>
      <c r="Q38" s="110" t="s">
        <v>924</v>
      </c>
      <c r="R38" s="97" t="s">
        <v>681</v>
      </c>
      <c r="S38" s="97" t="s">
        <v>264</v>
      </c>
      <c r="T38" s="97" t="s">
        <v>256</v>
      </c>
      <c r="U38" s="97">
        <v>2018</v>
      </c>
      <c r="V38" s="97" t="s">
        <v>304</v>
      </c>
      <c r="W38" s="111">
        <v>28.380980000000001</v>
      </c>
      <c r="X38" s="111">
        <v>-80.701480000000004</v>
      </c>
      <c r="Y38" s="104" t="s">
        <v>598</v>
      </c>
      <c r="Z38" s="107"/>
      <c r="AA38" s="21" t="s">
        <v>1064</v>
      </c>
      <c r="AB38" s="21" t="s">
        <v>1064</v>
      </c>
      <c r="AC38" s="21" t="s">
        <v>1064</v>
      </c>
      <c r="AD38" s="102" t="s">
        <v>1075</v>
      </c>
    </row>
    <row r="39" spans="1:30" x14ac:dyDescent="0.3">
      <c r="A39" s="99">
        <v>4333</v>
      </c>
      <c r="B39" s="97" t="s">
        <v>0</v>
      </c>
      <c r="C39" s="97" t="s">
        <v>539</v>
      </c>
      <c r="D39" s="153" t="s">
        <v>682</v>
      </c>
      <c r="E39" s="97" t="s">
        <v>928</v>
      </c>
      <c r="F39" s="97" t="s">
        <v>679</v>
      </c>
      <c r="G39" s="97" t="s">
        <v>694</v>
      </c>
      <c r="H39" s="97" t="s">
        <v>4</v>
      </c>
      <c r="I39" s="106">
        <v>2019</v>
      </c>
      <c r="J39" s="101" t="s">
        <v>361</v>
      </c>
      <c r="K39" s="101" t="s">
        <v>361</v>
      </c>
      <c r="L39" s="102" t="s">
        <v>376</v>
      </c>
      <c r="M39" s="112">
        <v>68</v>
      </c>
      <c r="N39" s="110">
        <v>50000</v>
      </c>
      <c r="O39" s="108">
        <v>1000</v>
      </c>
      <c r="P39" s="97" t="s">
        <v>680</v>
      </c>
      <c r="Q39" s="110" t="s">
        <v>924</v>
      </c>
      <c r="R39" s="97" t="s">
        <v>681</v>
      </c>
      <c r="S39" s="97" t="s">
        <v>264</v>
      </c>
      <c r="T39" s="97" t="s">
        <v>256</v>
      </c>
      <c r="U39" s="97">
        <v>2018</v>
      </c>
      <c r="V39" s="97" t="s">
        <v>304</v>
      </c>
      <c r="W39" s="111">
        <v>28.36543</v>
      </c>
      <c r="X39" s="111">
        <v>-80.665760000000006</v>
      </c>
      <c r="Y39" s="104" t="s">
        <v>598</v>
      </c>
      <c r="Z39" s="107"/>
      <c r="AA39" s="21" t="s">
        <v>1064</v>
      </c>
      <c r="AB39" s="21" t="s">
        <v>1064</v>
      </c>
      <c r="AC39" s="21" t="s">
        <v>1064</v>
      </c>
      <c r="AD39" s="102" t="s">
        <v>1075</v>
      </c>
    </row>
    <row r="40" spans="1:30" x14ac:dyDescent="0.3">
      <c r="A40" s="99">
        <v>4334</v>
      </c>
      <c r="B40" s="97" t="s">
        <v>0</v>
      </c>
      <c r="C40" s="97" t="s">
        <v>539</v>
      </c>
      <c r="D40" s="153" t="s">
        <v>684</v>
      </c>
      <c r="E40" s="97" t="s">
        <v>929</v>
      </c>
      <c r="F40" s="97" t="s">
        <v>679</v>
      </c>
      <c r="G40" s="97" t="s">
        <v>694</v>
      </c>
      <c r="H40" s="97" t="s">
        <v>4</v>
      </c>
      <c r="I40" s="106">
        <v>2019</v>
      </c>
      <c r="J40" s="101" t="s">
        <v>361</v>
      </c>
      <c r="K40" s="101" t="s">
        <v>361</v>
      </c>
      <c r="L40" s="102" t="s">
        <v>376</v>
      </c>
      <c r="M40" s="112">
        <v>68</v>
      </c>
      <c r="N40" s="110">
        <v>50000</v>
      </c>
      <c r="O40" s="108">
        <v>1000</v>
      </c>
      <c r="P40" s="97" t="s">
        <v>680</v>
      </c>
      <c r="Q40" s="110" t="s">
        <v>924</v>
      </c>
      <c r="R40" s="97" t="s">
        <v>681</v>
      </c>
      <c r="S40" s="97" t="s">
        <v>264</v>
      </c>
      <c r="T40" s="97" t="s">
        <v>256</v>
      </c>
      <c r="U40" s="97">
        <v>2018</v>
      </c>
      <c r="V40" s="97" t="s">
        <v>304</v>
      </c>
      <c r="W40" s="111">
        <v>28.363409999999998</v>
      </c>
      <c r="X40" s="111">
        <v>-80.664910000000006</v>
      </c>
      <c r="Y40" s="104" t="s">
        <v>598</v>
      </c>
      <c r="Z40" s="107"/>
      <c r="AA40" s="21" t="s">
        <v>1064</v>
      </c>
      <c r="AB40" s="21" t="s">
        <v>1064</v>
      </c>
      <c r="AC40" s="21" t="s">
        <v>1064</v>
      </c>
      <c r="AD40" s="102" t="s">
        <v>1075</v>
      </c>
    </row>
    <row r="41" spans="1:30" x14ac:dyDescent="0.3">
      <c r="A41" s="99">
        <v>4335</v>
      </c>
      <c r="B41" s="97" t="s">
        <v>0</v>
      </c>
      <c r="C41" s="97" t="s">
        <v>539</v>
      </c>
      <c r="D41" s="153" t="s">
        <v>685</v>
      </c>
      <c r="E41" s="97" t="s">
        <v>930</v>
      </c>
      <c r="F41" s="97" t="s">
        <v>679</v>
      </c>
      <c r="G41" s="97" t="s">
        <v>694</v>
      </c>
      <c r="H41" s="97" t="s">
        <v>4</v>
      </c>
      <c r="I41" s="106">
        <v>2019</v>
      </c>
      <c r="J41" s="101" t="s">
        <v>361</v>
      </c>
      <c r="K41" s="101" t="s">
        <v>361</v>
      </c>
      <c r="L41" s="102" t="s">
        <v>376</v>
      </c>
      <c r="M41" s="112">
        <v>68</v>
      </c>
      <c r="N41" s="110">
        <v>50000</v>
      </c>
      <c r="O41" s="108">
        <v>1000</v>
      </c>
      <c r="P41" s="97" t="s">
        <v>680</v>
      </c>
      <c r="Q41" s="110" t="s">
        <v>924</v>
      </c>
      <c r="R41" s="97" t="s">
        <v>681</v>
      </c>
      <c r="S41" s="97" t="s">
        <v>264</v>
      </c>
      <c r="T41" s="97" t="s">
        <v>256</v>
      </c>
      <c r="U41" s="97">
        <v>2018</v>
      </c>
      <c r="V41" s="97" t="s">
        <v>304</v>
      </c>
      <c r="W41" s="111">
        <v>28.364419999999999</v>
      </c>
      <c r="X41" s="111">
        <v>-80.665940000000006</v>
      </c>
      <c r="Y41" s="104" t="s">
        <v>598</v>
      </c>
      <c r="Z41" s="107"/>
      <c r="AA41" s="21" t="s">
        <v>1064</v>
      </c>
      <c r="AB41" s="21" t="s">
        <v>1064</v>
      </c>
      <c r="AC41" s="21" t="s">
        <v>1064</v>
      </c>
      <c r="AD41" s="102" t="s">
        <v>1075</v>
      </c>
    </row>
    <row r="42" spans="1:30" x14ac:dyDescent="0.3">
      <c r="A42" s="99">
        <v>4336</v>
      </c>
      <c r="B42" s="97" t="s">
        <v>0</v>
      </c>
      <c r="C42" s="97" t="s">
        <v>539</v>
      </c>
      <c r="D42" s="153" t="s">
        <v>686</v>
      </c>
      <c r="E42" s="97" t="s">
        <v>878</v>
      </c>
      <c r="F42" s="97" t="s">
        <v>679</v>
      </c>
      <c r="G42" s="97" t="s">
        <v>694</v>
      </c>
      <c r="H42" s="97" t="s">
        <v>4</v>
      </c>
      <c r="I42" s="106">
        <v>2019</v>
      </c>
      <c r="J42" s="101" t="s">
        <v>361</v>
      </c>
      <c r="K42" s="101" t="s">
        <v>361</v>
      </c>
      <c r="L42" s="102" t="s">
        <v>376</v>
      </c>
      <c r="M42" s="112">
        <v>273</v>
      </c>
      <c r="N42" s="110">
        <v>55000</v>
      </c>
      <c r="O42" s="108">
        <v>1000</v>
      </c>
      <c r="P42" s="97" t="s">
        <v>680</v>
      </c>
      <c r="Q42" s="110" t="s">
        <v>924</v>
      </c>
      <c r="R42" s="97" t="s">
        <v>681</v>
      </c>
      <c r="S42" s="97" t="s">
        <v>264</v>
      </c>
      <c r="T42" s="97" t="s">
        <v>256</v>
      </c>
      <c r="U42" s="97">
        <v>2018</v>
      </c>
      <c r="V42" s="97" t="s">
        <v>304</v>
      </c>
      <c r="W42" s="111">
        <v>28.364899999999999</v>
      </c>
      <c r="X42" s="111">
        <v>-80.695530000000005</v>
      </c>
      <c r="Y42" s="104" t="s">
        <v>598</v>
      </c>
      <c r="Z42" s="107"/>
      <c r="AA42" s="21" t="s">
        <v>1064</v>
      </c>
      <c r="AB42" s="21" t="s">
        <v>1064</v>
      </c>
      <c r="AC42" s="21" t="s">
        <v>1064</v>
      </c>
      <c r="AD42" s="102" t="s">
        <v>1075</v>
      </c>
    </row>
    <row r="43" spans="1:30" x14ac:dyDescent="0.3">
      <c r="A43" s="99">
        <v>4337</v>
      </c>
      <c r="B43" s="97" t="s">
        <v>0</v>
      </c>
      <c r="C43" s="97" t="s">
        <v>520</v>
      </c>
      <c r="D43" s="97" t="s">
        <v>687</v>
      </c>
      <c r="E43" s="97" t="s">
        <v>879</v>
      </c>
      <c r="F43" s="97" t="s">
        <v>689</v>
      </c>
      <c r="G43" s="97" t="s">
        <v>694</v>
      </c>
      <c r="H43" s="97" t="s">
        <v>548</v>
      </c>
      <c r="I43" s="106" t="s">
        <v>520</v>
      </c>
      <c r="J43" s="116" t="s">
        <v>520</v>
      </c>
      <c r="K43" s="116" t="s">
        <v>520</v>
      </c>
      <c r="L43" s="106" t="s">
        <v>520</v>
      </c>
      <c r="M43" s="117" t="s">
        <v>520</v>
      </c>
      <c r="N43" s="110" t="s">
        <v>520</v>
      </c>
      <c r="O43" s="108" t="s">
        <v>520</v>
      </c>
      <c r="P43" s="97" t="s">
        <v>520</v>
      </c>
      <c r="Q43" s="110" t="s">
        <v>520</v>
      </c>
      <c r="R43" s="97" t="s">
        <v>520</v>
      </c>
      <c r="S43" s="97" t="s">
        <v>264</v>
      </c>
      <c r="T43" s="97" t="s">
        <v>306</v>
      </c>
      <c r="U43" s="97">
        <v>2018</v>
      </c>
      <c r="V43" s="97" t="s">
        <v>304</v>
      </c>
      <c r="W43" s="106" t="s">
        <v>520</v>
      </c>
      <c r="X43" s="106" t="s">
        <v>520</v>
      </c>
      <c r="Y43" s="106" t="s">
        <v>520</v>
      </c>
      <c r="Z43" s="117"/>
      <c r="AA43" s="97" t="s">
        <v>306</v>
      </c>
      <c r="AB43" s="97" t="s">
        <v>1065</v>
      </c>
      <c r="AC43" s="97" t="s">
        <v>520</v>
      </c>
      <c r="AD43" s="97" t="s">
        <v>520</v>
      </c>
    </row>
    <row r="44" spans="1:30" x14ac:dyDescent="0.3">
      <c r="A44" s="99">
        <v>4338</v>
      </c>
      <c r="B44" s="97" t="s">
        <v>0</v>
      </c>
      <c r="C44" s="97" t="s">
        <v>1015</v>
      </c>
      <c r="D44" s="153" t="s">
        <v>688</v>
      </c>
      <c r="E44" s="97" t="s">
        <v>931</v>
      </c>
      <c r="F44" s="97" t="s">
        <v>932</v>
      </c>
      <c r="G44" s="97" t="s">
        <v>490</v>
      </c>
      <c r="H44" s="97" t="s">
        <v>256</v>
      </c>
      <c r="I44" s="106">
        <v>2020</v>
      </c>
      <c r="J44" s="101" t="s">
        <v>361</v>
      </c>
      <c r="K44" s="101" t="s">
        <v>361</v>
      </c>
      <c r="L44" s="102" t="s">
        <v>520</v>
      </c>
      <c r="M44" s="112" t="s">
        <v>598</v>
      </c>
      <c r="N44" s="110">
        <v>96000</v>
      </c>
      <c r="O44" s="104" t="s">
        <v>598</v>
      </c>
      <c r="P44" s="97" t="s">
        <v>1022</v>
      </c>
      <c r="Q44" s="110">
        <v>125000</v>
      </c>
      <c r="R44" s="97" t="s">
        <v>681</v>
      </c>
      <c r="S44" s="97" t="s">
        <v>264</v>
      </c>
      <c r="T44" s="97" t="s">
        <v>256</v>
      </c>
      <c r="U44" s="97">
        <v>2018</v>
      </c>
      <c r="V44" s="97" t="s">
        <v>304</v>
      </c>
      <c r="W44" s="111">
        <v>28.203620000000001</v>
      </c>
      <c r="X44" s="111">
        <v>-80.603870000000001</v>
      </c>
      <c r="Y44" s="104" t="s">
        <v>598</v>
      </c>
      <c r="Z44" s="107"/>
      <c r="AA44" s="21" t="s">
        <v>1064</v>
      </c>
      <c r="AB44" s="21" t="s">
        <v>1064</v>
      </c>
      <c r="AC44" s="21" t="s">
        <v>1064</v>
      </c>
      <c r="AD44" s="102" t="s">
        <v>1075</v>
      </c>
    </row>
    <row r="45" spans="1:30" x14ac:dyDescent="0.3">
      <c r="A45" s="97">
        <v>5146</v>
      </c>
      <c r="B45" s="97" t="s">
        <v>0</v>
      </c>
      <c r="C45" s="97" t="s">
        <v>1016</v>
      </c>
      <c r="D45" s="153" t="s">
        <v>933</v>
      </c>
      <c r="E45" s="97" t="s">
        <v>934</v>
      </c>
      <c r="F45" s="97" t="s">
        <v>935</v>
      </c>
      <c r="G45" s="97" t="s">
        <v>835</v>
      </c>
      <c r="H45" s="97" t="s">
        <v>4</v>
      </c>
      <c r="I45" s="106">
        <v>2020</v>
      </c>
      <c r="J45" s="116" t="s">
        <v>361</v>
      </c>
      <c r="K45" s="116" t="s">
        <v>520</v>
      </c>
      <c r="L45" s="97" t="s">
        <v>376</v>
      </c>
      <c r="M45" s="116" t="s">
        <v>520</v>
      </c>
      <c r="N45" s="103" t="s">
        <v>598</v>
      </c>
      <c r="O45" s="103" t="s">
        <v>598</v>
      </c>
      <c r="P45" s="97" t="s">
        <v>1025</v>
      </c>
      <c r="Q45" s="103" t="s">
        <v>598</v>
      </c>
      <c r="R45" s="97">
        <v>28731</v>
      </c>
      <c r="S45" s="97" t="s">
        <v>264</v>
      </c>
      <c r="T45" s="97" t="s">
        <v>4</v>
      </c>
      <c r="U45" s="97">
        <v>2019</v>
      </c>
      <c r="V45" s="97" t="s">
        <v>304</v>
      </c>
      <c r="W45" s="106">
        <v>28.3109</v>
      </c>
      <c r="X45" s="106">
        <v>-80.638990000000007</v>
      </c>
      <c r="Y45" s="98" t="s">
        <v>598</v>
      </c>
      <c r="Z45" s="107"/>
      <c r="AA45" s="21" t="s">
        <v>1080</v>
      </c>
      <c r="AB45" s="21" t="s">
        <v>1064</v>
      </c>
      <c r="AC45" s="21" t="s">
        <v>1081</v>
      </c>
      <c r="AD45" s="21" t="s">
        <v>520</v>
      </c>
    </row>
    <row r="46" spans="1:30" x14ac:dyDescent="0.3">
      <c r="A46" s="97">
        <v>5147</v>
      </c>
      <c r="B46" s="97" t="s">
        <v>0</v>
      </c>
      <c r="C46" s="97" t="s">
        <v>1017</v>
      </c>
      <c r="D46" s="153" t="s">
        <v>936</v>
      </c>
      <c r="E46" s="97" t="s">
        <v>937</v>
      </c>
      <c r="F46" s="97" t="s">
        <v>1042</v>
      </c>
      <c r="G46" s="97" t="s">
        <v>810</v>
      </c>
      <c r="H46" s="97" t="s">
        <v>4</v>
      </c>
      <c r="I46" s="106">
        <v>2019</v>
      </c>
      <c r="J46" s="116" t="s">
        <v>520</v>
      </c>
      <c r="K46" s="116" t="s">
        <v>520</v>
      </c>
      <c r="L46" s="97" t="s">
        <v>376</v>
      </c>
      <c r="M46" s="116" t="s">
        <v>598</v>
      </c>
      <c r="N46" s="110">
        <v>101680</v>
      </c>
      <c r="O46" s="103" t="s">
        <v>598</v>
      </c>
      <c r="P46" s="98" t="s">
        <v>598</v>
      </c>
      <c r="Q46" s="110">
        <v>10680</v>
      </c>
      <c r="R46" s="97" t="s">
        <v>520</v>
      </c>
      <c r="S46" s="97" t="s">
        <v>264</v>
      </c>
      <c r="T46" s="97" t="s">
        <v>4</v>
      </c>
      <c r="U46" s="97">
        <v>2019</v>
      </c>
      <c r="V46" s="97" t="s">
        <v>304</v>
      </c>
      <c r="W46" s="106">
        <v>28.332249999999998</v>
      </c>
      <c r="X46" s="106">
        <v>-80.614999999999995</v>
      </c>
      <c r="Y46" s="98" t="s">
        <v>598</v>
      </c>
      <c r="Z46" s="107"/>
      <c r="AA46" s="98" t="s">
        <v>1065</v>
      </c>
      <c r="AB46" s="21" t="s">
        <v>1065</v>
      </c>
      <c r="AC46" s="21" t="s">
        <v>1065</v>
      </c>
      <c r="AD46" s="21" t="s">
        <v>520</v>
      </c>
    </row>
    <row r="47" spans="1:30" x14ac:dyDescent="0.3">
      <c r="A47" s="97">
        <v>5148</v>
      </c>
      <c r="B47" s="97" t="s">
        <v>0</v>
      </c>
      <c r="C47" s="97" t="s">
        <v>1017</v>
      </c>
      <c r="D47" s="153" t="s">
        <v>938</v>
      </c>
      <c r="E47" s="97" t="s">
        <v>939</v>
      </c>
      <c r="F47" s="97" t="s">
        <v>1041</v>
      </c>
      <c r="G47" s="97" t="s">
        <v>810</v>
      </c>
      <c r="H47" s="97" t="s">
        <v>4</v>
      </c>
      <c r="I47" s="106">
        <v>2019</v>
      </c>
      <c r="J47" s="116" t="s">
        <v>520</v>
      </c>
      <c r="K47" s="116" t="s">
        <v>520</v>
      </c>
      <c r="L47" s="97" t="s">
        <v>376</v>
      </c>
      <c r="M47" s="116" t="s">
        <v>598</v>
      </c>
      <c r="N47" s="110">
        <v>16020</v>
      </c>
      <c r="O47" s="103" t="s">
        <v>598</v>
      </c>
      <c r="P47" s="97" t="s">
        <v>620</v>
      </c>
      <c r="Q47" s="110">
        <v>16020</v>
      </c>
      <c r="R47" s="97" t="s">
        <v>520</v>
      </c>
      <c r="S47" s="97" t="s">
        <v>264</v>
      </c>
      <c r="T47" s="97" t="s">
        <v>4</v>
      </c>
      <c r="U47" s="97">
        <v>2019</v>
      </c>
      <c r="V47" s="97" t="s">
        <v>304</v>
      </c>
      <c r="W47" s="106">
        <v>28.172429999999999</v>
      </c>
      <c r="X47" s="106">
        <v>-80.608559999999997</v>
      </c>
      <c r="Y47" s="98" t="s">
        <v>598</v>
      </c>
      <c r="Z47" s="107"/>
      <c r="AA47" s="98" t="s">
        <v>1065</v>
      </c>
      <c r="AB47" s="21" t="s">
        <v>1065</v>
      </c>
      <c r="AC47" s="21" t="s">
        <v>1065</v>
      </c>
      <c r="AD47" s="21" t="s">
        <v>520</v>
      </c>
    </row>
    <row r="48" spans="1:30" x14ac:dyDescent="0.3">
      <c r="A48" s="97">
        <v>5149</v>
      </c>
      <c r="B48" s="97" t="s">
        <v>0</v>
      </c>
      <c r="C48" s="97" t="s">
        <v>1017</v>
      </c>
      <c r="D48" s="153" t="s">
        <v>940</v>
      </c>
      <c r="E48" s="97" t="s">
        <v>941</v>
      </c>
      <c r="F48" s="97" t="s">
        <v>1040</v>
      </c>
      <c r="G48" s="97" t="s">
        <v>810</v>
      </c>
      <c r="H48" s="97" t="s">
        <v>4</v>
      </c>
      <c r="I48" s="106">
        <v>2019</v>
      </c>
      <c r="J48" s="116" t="s">
        <v>520</v>
      </c>
      <c r="K48" s="116" t="s">
        <v>520</v>
      </c>
      <c r="L48" s="97" t="s">
        <v>376</v>
      </c>
      <c r="M48" s="116" t="s">
        <v>598</v>
      </c>
      <c r="N48" s="110">
        <v>26700</v>
      </c>
      <c r="O48" s="103" t="s">
        <v>598</v>
      </c>
      <c r="P48" s="97" t="s">
        <v>620</v>
      </c>
      <c r="Q48" s="110">
        <v>26700</v>
      </c>
      <c r="R48" s="97" t="s">
        <v>520</v>
      </c>
      <c r="S48" s="97" t="s">
        <v>264</v>
      </c>
      <c r="T48" s="97" t="s">
        <v>4</v>
      </c>
      <c r="U48" s="97">
        <v>2019</v>
      </c>
      <c r="V48" s="97" t="s">
        <v>304</v>
      </c>
      <c r="W48" s="106">
        <v>28.152550000000002</v>
      </c>
      <c r="X48" s="106">
        <v>-80.606459999999998</v>
      </c>
      <c r="Y48" s="98" t="s">
        <v>598</v>
      </c>
      <c r="Z48" s="107"/>
      <c r="AA48" s="98" t="s">
        <v>1065</v>
      </c>
      <c r="AB48" s="21" t="s">
        <v>1065</v>
      </c>
      <c r="AC48" s="21" t="s">
        <v>1065</v>
      </c>
      <c r="AD48" s="21" t="s">
        <v>520</v>
      </c>
    </row>
    <row r="49" spans="1:30" x14ac:dyDescent="0.3">
      <c r="A49" s="97">
        <v>5150</v>
      </c>
      <c r="B49" s="97" t="s">
        <v>0</v>
      </c>
      <c r="C49" s="97" t="s">
        <v>1018</v>
      </c>
      <c r="D49" s="153" t="s">
        <v>942</v>
      </c>
      <c r="E49" s="97" t="s">
        <v>943</v>
      </c>
      <c r="F49" s="97" t="s">
        <v>1039</v>
      </c>
      <c r="G49" s="97" t="s">
        <v>809</v>
      </c>
      <c r="H49" s="97" t="s">
        <v>4</v>
      </c>
      <c r="I49" s="106">
        <v>2018</v>
      </c>
      <c r="J49" s="116" t="s">
        <v>361</v>
      </c>
      <c r="K49" s="116" t="s">
        <v>361</v>
      </c>
      <c r="L49" s="97" t="s">
        <v>376</v>
      </c>
      <c r="M49" s="116" t="s">
        <v>598</v>
      </c>
      <c r="N49" s="110">
        <v>16080</v>
      </c>
      <c r="O49" s="103" t="s">
        <v>598</v>
      </c>
      <c r="P49" s="97" t="s">
        <v>620</v>
      </c>
      <c r="Q49" s="110">
        <v>16080</v>
      </c>
      <c r="R49" s="97" t="s">
        <v>520</v>
      </c>
      <c r="S49" s="97" t="s">
        <v>264</v>
      </c>
      <c r="T49" s="97" t="s">
        <v>4</v>
      </c>
      <c r="U49" s="97">
        <v>2019</v>
      </c>
      <c r="V49" s="97" t="s">
        <v>304</v>
      </c>
      <c r="W49" s="106">
        <v>28.3109</v>
      </c>
      <c r="X49" s="106">
        <v>-80.638990000000007</v>
      </c>
      <c r="Y49" s="98" t="s">
        <v>598</v>
      </c>
      <c r="Z49" s="107"/>
      <c r="AA49" s="98" t="s">
        <v>1065</v>
      </c>
      <c r="AB49" s="21" t="s">
        <v>1065</v>
      </c>
      <c r="AC49" s="21" t="s">
        <v>1081</v>
      </c>
      <c r="AD49" s="21" t="s">
        <v>520</v>
      </c>
    </row>
    <row r="50" spans="1:30" x14ac:dyDescent="0.3">
      <c r="A50" s="97">
        <v>5151</v>
      </c>
      <c r="B50" s="97" t="s">
        <v>0</v>
      </c>
      <c r="C50" s="97" t="s">
        <v>1019</v>
      </c>
      <c r="D50" s="153" t="s">
        <v>944</v>
      </c>
      <c r="E50" s="97" t="s">
        <v>945</v>
      </c>
      <c r="F50" s="97" t="s">
        <v>1038</v>
      </c>
      <c r="G50" s="97" t="s">
        <v>580</v>
      </c>
      <c r="H50" s="97" t="s">
        <v>4</v>
      </c>
      <c r="I50" s="106">
        <v>2019</v>
      </c>
      <c r="J50" s="116" t="s">
        <v>361</v>
      </c>
      <c r="K50" s="116" t="s">
        <v>361</v>
      </c>
      <c r="L50" s="97" t="s">
        <v>376</v>
      </c>
      <c r="M50" s="116" t="s">
        <v>598</v>
      </c>
      <c r="N50" s="110">
        <v>2236566</v>
      </c>
      <c r="O50" s="103" t="s">
        <v>598</v>
      </c>
      <c r="P50" s="97" t="s">
        <v>1026</v>
      </c>
      <c r="Q50" s="103" t="s">
        <v>598</v>
      </c>
      <c r="R50" s="97" t="s">
        <v>520</v>
      </c>
      <c r="S50" s="97" t="s">
        <v>265</v>
      </c>
      <c r="T50" s="97" t="s">
        <v>4</v>
      </c>
      <c r="U50" s="97">
        <v>2019</v>
      </c>
      <c r="V50" s="97" t="s">
        <v>304</v>
      </c>
      <c r="W50" s="100" t="s">
        <v>598</v>
      </c>
      <c r="X50" s="100" t="s">
        <v>598</v>
      </c>
      <c r="Y50" s="98" t="s">
        <v>598</v>
      </c>
      <c r="Z50" s="107"/>
      <c r="AA50" s="98" t="s">
        <v>1065</v>
      </c>
      <c r="AB50" s="21" t="s">
        <v>1065</v>
      </c>
      <c r="AC50" s="21" t="s">
        <v>1081</v>
      </c>
      <c r="AD50" s="21" t="s">
        <v>520</v>
      </c>
    </row>
    <row r="51" spans="1:30" x14ac:dyDescent="0.3">
      <c r="A51" s="97">
        <v>5152</v>
      </c>
      <c r="B51" s="97" t="s">
        <v>0</v>
      </c>
      <c r="C51" s="97" t="s">
        <v>620</v>
      </c>
      <c r="D51" s="153" t="s">
        <v>946</v>
      </c>
      <c r="E51" s="97" t="s">
        <v>1</v>
      </c>
      <c r="F51" s="97" t="s">
        <v>1037</v>
      </c>
      <c r="G51" s="97" t="s">
        <v>1</v>
      </c>
      <c r="H51" s="97" t="s">
        <v>2</v>
      </c>
      <c r="I51" s="106">
        <v>2027</v>
      </c>
      <c r="J51" s="101" t="s">
        <v>361</v>
      </c>
      <c r="K51" s="101" t="s">
        <v>361</v>
      </c>
      <c r="L51" s="102" t="s">
        <v>373</v>
      </c>
      <c r="M51" s="101" t="s">
        <v>520</v>
      </c>
      <c r="N51" s="110">
        <v>375000</v>
      </c>
      <c r="O51" s="103" t="s">
        <v>598</v>
      </c>
      <c r="P51" s="97" t="s">
        <v>620</v>
      </c>
      <c r="Q51" s="110">
        <v>375000</v>
      </c>
      <c r="R51" s="97" t="s">
        <v>520</v>
      </c>
      <c r="S51" s="97" t="s">
        <v>265</v>
      </c>
      <c r="T51" s="97" t="s">
        <v>256</v>
      </c>
      <c r="U51" s="97">
        <v>2019</v>
      </c>
      <c r="V51" s="97" t="s">
        <v>304</v>
      </c>
      <c r="W51" s="100" t="s">
        <v>598</v>
      </c>
      <c r="X51" s="100" t="s">
        <v>598</v>
      </c>
      <c r="Y51" s="98" t="s">
        <v>598</v>
      </c>
      <c r="Z51" s="107"/>
      <c r="AA51" s="98" t="s">
        <v>1065</v>
      </c>
      <c r="AB51" s="21" t="s">
        <v>1065</v>
      </c>
      <c r="AC51" s="21" t="s">
        <v>1073</v>
      </c>
      <c r="AD51" s="102" t="s">
        <v>1072</v>
      </c>
    </row>
    <row r="52" spans="1:30" x14ac:dyDescent="0.3">
      <c r="A52" s="97">
        <v>5153</v>
      </c>
      <c r="B52" s="97" t="s">
        <v>0</v>
      </c>
      <c r="C52" s="97" t="s">
        <v>620</v>
      </c>
      <c r="D52" s="153" t="s">
        <v>1044</v>
      </c>
      <c r="E52" s="97" t="s">
        <v>1</v>
      </c>
      <c r="F52" s="97" t="s">
        <v>1037</v>
      </c>
      <c r="G52" s="97" t="s">
        <v>1</v>
      </c>
      <c r="H52" s="97" t="s">
        <v>2</v>
      </c>
      <c r="I52" s="106">
        <v>2027</v>
      </c>
      <c r="J52" s="101" t="s">
        <v>361</v>
      </c>
      <c r="K52" s="101" t="s">
        <v>361</v>
      </c>
      <c r="L52" s="102" t="s">
        <v>376</v>
      </c>
      <c r="M52" s="101" t="s">
        <v>520</v>
      </c>
      <c r="N52" s="110">
        <v>375000</v>
      </c>
      <c r="O52" s="103" t="s">
        <v>598</v>
      </c>
      <c r="P52" s="97" t="s">
        <v>620</v>
      </c>
      <c r="Q52" s="110">
        <v>375000</v>
      </c>
      <c r="R52" s="97" t="s">
        <v>520</v>
      </c>
      <c r="S52" s="97" t="s">
        <v>265</v>
      </c>
      <c r="T52" s="97" t="s">
        <v>256</v>
      </c>
      <c r="U52" s="97">
        <v>2019</v>
      </c>
      <c r="V52" s="97" t="s">
        <v>304</v>
      </c>
      <c r="W52" s="100" t="s">
        <v>598</v>
      </c>
      <c r="X52" s="100" t="s">
        <v>598</v>
      </c>
      <c r="Y52" s="98" t="s">
        <v>598</v>
      </c>
      <c r="Z52" s="107"/>
      <c r="AA52" s="98" t="s">
        <v>1065</v>
      </c>
      <c r="AB52" s="21" t="s">
        <v>1065</v>
      </c>
      <c r="AC52" s="21" t="s">
        <v>1073</v>
      </c>
      <c r="AD52" s="102" t="s">
        <v>1072</v>
      </c>
    </row>
    <row r="53" spans="1:30" x14ac:dyDescent="0.3">
      <c r="A53" s="97">
        <v>5154</v>
      </c>
      <c r="B53" s="97" t="s">
        <v>0</v>
      </c>
      <c r="C53" s="97" t="s">
        <v>539</v>
      </c>
      <c r="D53" s="153" t="s">
        <v>947</v>
      </c>
      <c r="E53" s="97" t="s">
        <v>948</v>
      </c>
      <c r="F53" s="97" t="s">
        <v>679</v>
      </c>
      <c r="G53" s="97" t="s">
        <v>694</v>
      </c>
      <c r="H53" s="97" t="s">
        <v>4</v>
      </c>
      <c r="I53" s="106">
        <v>2019</v>
      </c>
      <c r="J53" s="101" t="s">
        <v>361</v>
      </c>
      <c r="K53" s="101" t="s">
        <v>361</v>
      </c>
      <c r="L53" s="102" t="s">
        <v>376</v>
      </c>
      <c r="M53" s="101" t="s">
        <v>598</v>
      </c>
      <c r="N53" s="110">
        <v>55000</v>
      </c>
      <c r="O53" s="110">
        <v>1500</v>
      </c>
      <c r="P53" s="97" t="s">
        <v>680</v>
      </c>
      <c r="Q53" s="110">
        <v>35000</v>
      </c>
      <c r="R53" s="97" t="s">
        <v>681</v>
      </c>
      <c r="S53" s="97" t="s">
        <v>264</v>
      </c>
      <c r="T53" s="97" t="s">
        <v>4</v>
      </c>
      <c r="U53" s="97">
        <v>2019</v>
      </c>
      <c r="V53" s="97" t="s">
        <v>304</v>
      </c>
      <c r="W53" s="106">
        <v>28.391249999999999</v>
      </c>
      <c r="X53" s="106">
        <v>-80.713359999999994</v>
      </c>
      <c r="Y53" s="98" t="s">
        <v>598</v>
      </c>
      <c r="Z53" s="107"/>
      <c r="AA53" s="21" t="s">
        <v>1064</v>
      </c>
      <c r="AB53" s="21" t="s">
        <v>1064</v>
      </c>
      <c r="AC53" s="21" t="s">
        <v>1064</v>
      </c>
      <c r="AD53" s="102" t="s">
        <v>1075</v>
      </c>
    </row>
    <row r="54" spans="1:30" x14ac:dyDescent="0.3">
      <c r="A54" s="97">
        <v>5155</v>
      </c>
      <c r="B54" s="97" t="s">
        <v>0</v>
      </c>
      <c r="C54" s="97" t="s">
        <v>1016</v>
      </c>
      <c r="D54" s="153" t="s">
        <v>949</v>
      </c>
      <c r="E54" s="97" t="s">
        <v>950</v>
      </c>
      <c r="F54" s="97" t="s">
        <v>1036</v>
      </c>
      <c r="G54" s="97" t="s">
        <v>490</v>
      </c>
      <c r="H54" s="97" t="s">
        <v>4</v>
      </c>
      <c r="I54" s="106">
        <v>2019</v>
      </c>
      <c r="J54" s="101" t="s">
        <v>361</v>
      </c>
      <c r="K54" s="101" t="s">
        <v>361</v>
      </c>
      <c r="L54" s="102" t="s">
        <v>376</v>
      </c>
      <c r="M54" s="101">
        <v>210</v>
      </c>
      <c r="N54" s="103" t="s">
        <v>598</v>
      </c>
      <c r="O54" s="103" t="s">
        <v>598</v>
      </c>
      <c r="P54" s="98" t="s">
        <v>598</v>
      </c>
      <c r="Q54" s="103" t="s">
        <v>598</v>
      </c>
      <c r="R54" s="97">
        <v>28731</v>
      </c>
      <c r="S54" s="97" t="s">
        <v>264</v>
      </c>
      <c r="T54" s="97" t="s">
        <v>4</v>
      </c>
      <c r="U54" s="97">
        <v>2019</v>
      </c>
      <c r="V54" s="97" t="s">
        <v>304</v>
      </c>
      <c r="W54" s="100" t="s">
        <v>598</v>
      </c>
      <c r="X54" s="100" t="s">
        <v>598</v>
      </c>
      <c r="Y54" s="98" t="s">
        <v>598</v>
      </c>
      <c r="Z54" s="107"/>
      <c r="AA54" s="21" t="s">
        <v>1064</v>
      </c>
      <c r="AB54" s="21" t="s">
        <v>1064</v>
      </c>
      <c r="AC54" s="21" t="s">
        <v>1064</v>
      </c>
      <c r="AD54" s="102" t="s">
        <v>1075</v>
      </c>
    </row>
    <row r="55" spans="1:30" x14ac:dyDescent="0.3">
      <c r="A55" s="97">
        <v>5156</v>
      </c>
      <c r="B55" s="97" t="s">
        <v>0</v>
      </c>
      <c r="C55" s="97" t="s">
        <v>1016</v>
      </c>
      <c r="D55" s="153" t="s">
        <v>951</v>
      </c>
      <c r="E55" s="97" t="s">
        <v>952</v>
      </c>
      <c r="F55" s="97" t="s">
        <v>953</v>
      </c>
      <c r="G55" s="97" t="s">
        <v>835</v>
      </c>
      <c r="H55" s="97" t="s">
        <v>256</v>
      </c>
      <c r="I55" s="106">
        <v>2020</v>
      </c>
      <c r="J55" s="116" t="s">
        <v>361</v>
      </c>
      <c r="K55" s="116" t="s">
        <v>361</v>
      </c>
      <c r="L55" s="97" t="s">
        <v>376</v>
      </c>
      <c r="M55" s="116" t="s">
        <v>520</v>
      </c>
      <c r="N55" s="103" t="s">
        <v>598</v>
      </c>
      <c r="O55" s="103" t="s">
        <v>598</v>
      </c>
      <c r="P55" s="98" t="s">
        <v>598</v>
      </c>
      <c r="Q55" s="103" t="s">
        <v>598</v>
      </c>
      <c r="R55" s="97">
        <v>28731</v>
      </c>
      <c r="S55" s="97" t="s">
        <v>264</v>
      </c>
      <c r="T55" s="97" t="s">
        <v>256</v>
      </c>
      <c r="U55" s="97">
        <v>2019</v>
      </c>
      <c r="V55" s="97" t="s">
        <v>304</v>
      </c>
      <c r="W55" s="100" t="s">
        <v>598</v>
      </c>
      <c r="X55" s="100" t="s">
        <v>598</v>
      </c>
      <c r="Y55" s="98" t="s">
        <v>598</v>
      </c>
      <c r="Z55" s="107"/>
      <c r="AA55" s="21" t="s">
        <v>1064</v>
      </c>
      <c r="AB55" s="21" t="s">
        <v>1064</v>
      </c>
      <c r="AC55" s="21" t="s">
        <v>1081</v>
      </c>
      <c r="AD55" s="21" t="s">
        <v>520</v>
      </c>
    </row>
    <row r="56" spans="1:30" x14ac:dyDescent="0.3">
      <c r="A56" s="97">
        <v>5157</v>
      </c>
      <c r="B56" s="97" t="s">
        <v>0</v>
      </c>
      <c r="C56" s="97" t="s">
        <v>620</v>
      </c>
      <c r="D56" s="153" t="s">
        <v>954</v>
      </c>
      <c r="E56" s="97" t="s">
        <v>955</v>
      </c>
      <c r="F56" s="97" t="s">
        <v>1034</v>
      </c>
      <c r="G56" s="97" t="s">
        <v>1</v>
      </c>
      <c r="H56" s="97" t="s">
        <v>2</v>
      </c>
      <c r="I56" s="106">
        <v>2019</v>
      </c>
      <c r="J56" s="101" t="s">
        <v>361</v>
      </c>
      <c r="K56" s="101" t="s">
        <v>361</v>
      </c>
      <c r="L56" s="102" t="s">
        <v>373</v>
      </c>
      <c r="M56" s="101" t="s">
        <v>520</v>
      </c>
      <c r="N56" s="110">
        <v>6666.66</v>
      </c>
      <c r="O56" s="103" t="s">
        <v>520</v>
      </c>
      <c r="P56" s="97" t="s">
        <v>620</v>
      </c>
      <c r="Q56" s="110">
        <v>20000</v>
      </c>
      <c r="R56" s="97" t="s">
        <v>520</v>
      </c>
      <c r="S56" s="97" t="s">
        <v>265</v>
      </c>
      <c r="T56" s="97" t="s">
        <v>4</v>
      </c>
      <c r="U56" s="97">
        <v>2019</v>
      </c>
      <c r="V56" s="97" t="s">
        <v>304</v>
      </c>
      <c r="W56" s="100" t="s">
        <v>598</v>
      </c>
      <c r="X56" s="100" t="s">
        <v>598</v>
      </c>
      <c r="Y56" s="98" t="s">
        <v>598</v>
      </c>
      <c r="Z56" s="107"/>
      <c r="AA56" s="98" t="s">
        <v>1065</v>
      </c>
      <c r="AB56" s="21" t="s">
        <v>1065</v>
      </c>
      <c r="AC56" s="21" t="s">
        <v>1073</v>
      </c>
      <c r="AD56" s="102" t="s">
        <v>1072</v>
      </c>
    </row>
    <row r="57" spans="1:30" x14ac:dyDescent="0.3">
      <c r="A57" s="97">
        <v>5158</v>
      </c>
      <c r="B57" s="97" t="s">
        <v>0</v>
      </c>
      <c r="C57" s="97" t="s">
        <v>620</v>
      </c>
      <c r="D57" s="153" t="s">
        <v>1043</v>
      </c>
      <c r="E57" s="97" t="s">
        <v>955</v>
      </c>
      <c r="F57" s="97" t="s">
        <v>1034</v>
      </c>
      <c r="G57" s="97" t="s">
        <v>1</v>
      </c>
      <c r="H57" s="97" t="s">
        <v>2</v>
      </c>
      <c r="I57" s="106">
        <v>2020</v>
      </c>
      <c r="J57" s="101" t="s">
        <v>361</v>
      </c>
      <c r="K57" s="101" t="s">
        <v>361</v>
      </c>
      <c r="L57" s="102" t="s">
        <v>376</v>
      </c>
      <c r="M57" s="101" t="s">
        <v>520</v>
      </c>
      <c r="N57" s="110">
        <v>6667.66</v>
      </c>
      <c r="O57" s="103" t="s">
        <v>520</v>
      </c>
      <c r="P57" s="97" t="s">
        <v>620</v>
      </c>
      <c r="Q57" s="110">
        <v>20001</v>
      </c>
      <c r="R57" s="97" t="s">
        <v>520</v>
      </c>
      <c r="S57" s="97" t="s">
        <v>265</v>
      </c>
      <c r="T57" s="97" t="s">
        <v>4</v>
      </c>
      <c r="U57" s="97">
        <v>2019</v>
      </c>
      <c r="V57" s="97" t="s">
        <v>304</v>
      </c>
      <c r="W57" s="100" t="s">
        <v>598</v>
      </c>
      <c r="X57" s="100" t="s">
        <v>598</v>
      </c>
      <c r="Y57" s="98" t="s">
        <v>598</v>
      </c>
      <c r="Z57" s="107"/>
      <c r="AA57" s="98" t="s">
        <v>1065</v>
      </c>
      <c r="AB57" s="21" t="s">
        <v>1065</v>
      </c>
      <c r="AC57" s="21" t="s">
        <v>1073</v>
      </c>
      <c r="AD57" s="102" t="s">
        <v>1072</v>
      </c>
    </row>
    <row r="58" spans="1:30" x14ac:dyDescent="0.3">
      <c r="A58" s="97">
        <v>2475</v>
      </c>
      <c r="B58" s="97" t="s">
        <v>95</v>
      </c>
      <c r="C58" s="98" t="s">
        <v>598</v>
      </c>
      <c r="D58" s="153" t="s">
        <v>392</v>
      </c>
      <c r="E58" s="97" t="s">
        <v>96</v>
      </c>
      <c r="F58" s="97" t="s">
        <v>494</v>
      </c>
      <c r="G58" s="97" t="s">
        <v>351</v>
      </c>
      <c r="H58" s="97" t="s">
        <v>4</v>
      </c>
      <c r="I58" s="106">
        <v>2013</v>
      </c>
      <c r="J58" s="101">
        <v>746</v>
      </c>
      <c r="K58" s="101">
        <v>317.5</v>
      </c>
      <c r="L58" s="102" t="s">
        <v>376</v>
      </c>
      <c r="M58" s="101">
        <v>130.19999999999999</v>
      </c>
      <c r="N58" s="108">
        <v>960000</v>
      </c>
      <c r="O58" s="108">
        <v>20000</v>
      </c>
      <c r="P58" s="113" t="s">
        <v>598</v>
      </c>
      <c r="Q58" s="108">
        <v>960000</v>
      </c>
      <c r="R58" s="97" t="s">
        <v>520</v>
      </c>
      <c r="S58" s="97" t="s">
        <v>264</v>
      </c>
      <c r="T58" s="97" t="s">
        <v>4</v>
      </c>
      <c r="U58" s="97">
        <v>2013</v>
      </c>
      <c r="V58" s="97" t="s">
        <v>304</v>
      </c>
      <c r="W58" s="106">
        <v>28.333858856067099</v>
      </c>
      <c r="X58" s="106">
        <v>-80.609583691838594</v>
      </c>
      <c r="Y58" s="98" t="s">
        <v>598</v>
      </c>
      <c r="Z58" s="107"/>
      <c r="AA58" s="21" t="s">
        <v>1064</v>
      </c>
      <c r="AB58" s="21" t="s">
        <v>1064</v>
      </c>
      <c r="AC58" s="21" t="s">
        <v>1064</v>
      </c>
      <c r="AD58" s="102" t="s">
        <v>1075</v>
      </c>
    </row>
    <row r="59" spans="1:30" x14ac:dyDescent="0.3">
      <c r="A59" s="97">
        <v>2460</v>
      </c>
      <c r="B59" s="97" t="s">
        <v>95</v>
      </c>
      <c r="C59" s="97" t="s">
        <v>539</v>
      </c>
      <c r="D59" s="153" t="s">
        <v>393</v>
      </c>
      <c r="E59" s="97" t="s">
        <v>609</v>
      </c>
      <c r="F59" s="98" t="s">
        <v>588</v>
      </c>
      <c r="G59" s="97" t="s">
        <v>522</v>
      </c>
      <c r="H59" s="97" t="s">
        <v>4</v>
      </c>
      <c r="I59" s="106">
        <v>2013</v>
      </c>
      <c r="J59" s="101">
        <v>218</v>
      </c>
      <c r="K59" s="101">
        <v>46.3</v>
      </c>
      <c r="L59" s="102" t="s">
        <v>376</v>
      </c>
      <c r="M59" s="101">
        <v>50.6</v>
      </c>
      <c r="N59" s="108">
        <v>1150000</v>
      </c>
      <c r="O59" s="108">
        <v>18000</v>
      </c>
      <c r="P59" s="97" t="s">
        <v>539</v>
      </c>
      <c r="Q59" s="108" t="s">
        <v>921</v>
      </c>
      <c r="R59" s="97" t="s">
        <v>269</v>
      </c>
      <c r="S59" s="97" t="s">
        <v>264</v>
      </c>
      <c r="T59" s="97" t="s">
        <v>4</v>
      </c>
      <c r="U59" s="97">
        <v>2013</v>
      </c>
      <c r="V59" s="97" t="s">
        <v>304</v>
      </c>
      <c r="W59" s="106">
        <v>28.360763119542298</v>
      </c>
      <c r="X59" s="106">
        <v>-80.605044771652004</v>
      </c>
      <c r="Y59" s="98" t="s">
        <v>598</v>
      </c>
      <c r="Z59" s="107"/>
      <c r="AA59" s="21" t="s">
        <v>1064</v>
      </c>
      <c r="AB59" s="21" t="s">
        <v>1064</v>
      </c>
      <c r="AC59" s="21" t="s">
        <v>1064</v>
      </c>
      <c r="AD59" s="102" t="s">
        <v>1075</v>
      </c>
    </row>
    <row r="60" spans="1:30" x14ac:dyDescent="0.3">
      <c r="A60" s="97">
        <v>2571</v>
      </c>
      <c r="B60" s="97" t="s">
        <v>95</v>
      </c>
      <c r="C60" s="98" t="s">
        <v>598</v>
      </c>
      <c r="D60" s="153" t="s">
        <v>394</v>
      </c>
      <c r="E60" s="99" t="s">
        <v>123</v>
      </c>
      <c r="F60" s="98" t="s">
        <v>588</v>
      </c>
      <c r="G60" s="97" t="s">
        <v>669</v>
      </c>
      <c r="H60" s="97" t="s">
        <v>4</v>
      </c>
      <c r="I60" s="106">
        <v>2013</v>
      </c>
      <c r="J60" s="101">
        <v>135</v>
      </c>
      <c r="K60" s="101">
        <v>25</v>
      </c>
      <c r="L60" s="102" t="s">
        <v>376</v>
      </c>
      <c r="M60" s="101">
        <v>52</v>
      </c>
      <c r="N60" s="108">
        <v>181974</v>
      </c>
      <c r="O60" s="108">
        <v>1200</v>
      </c>
      <c r="P60" s="113" t="s">
        <v>598</v>
      </c>
      <c r="Q60" s="108">
        <v>181974</v>
      </c>
      <c r="R60" s="97" t="s">
        <v>520</v>
      </c>
      <c r="S60" s="97" t="s">
        <v>264</v>
      </c>
      <c r="T60" s="97" t="s">
        <v>4</v>
      </c>
      <c r="U60" s="97">
        <v>2013</v>
      </c>
      <c r="V60" s="97" t="s">
        <v>304</v>
      </c>
      <c r="W60" s="106">
        <v>28.312193915784199</v>
      </c>
      <c r="X60" s="106">
        <v>-80.609508243263207</v>
      </c>
      <c r="Y60" s="98" t="s">
        <v>598</v>
      </c>
      <c r="Z60" s="107"/>
      <c r="AA60" s="21" t="s">
        <v>1064</v>
      </c>
      <c r="AB60" s="21" t="s">
        <v>1064</v>
      </c>
      <c r="AC60" s="21" t="s">
        <v>1064</v>
      </c>
      <c r="AD60" s="102" t="s">
        <v>1075</v>
      </c>
    </row>
    <row r="61" spans="1:30" x14ac:dyDescent="0.3">
      <c r="A61" s="97">
        <v>2560</v>
      </c>
      <c r="B61" s="97" t="s">
        <v>95</v>
      </c>
      <c r="C61" s="98" t="s">
        <v>598</v>
      </c>
      <c r="D61" s="153" t="s">
        <v>395</v>
      </c>
      <c r="E61" s="97" t="s">
        <v>883</v>
      </c>
      <c r="F61" s="98" t="s">
        <v>588</v>
      </c>
      <c r="G61" s="97" t="s">
        <v>523</v>
      </c>
      <c r="H61" s="97" t="s">
        <v>4</v>
      </c>
      <c r="I61" s="106">
        <v>2013</v>
      </c>
      <c r="J61" s="101">
        <v>37</v>
      </c>
      <c r="K61" s="101">
        <v>9.1</v>
      </c>
      <c r="L61" s="102" t="s">
        <v>376</v>
      </c>
      <c r="M61" s="101">
        <v>2.4</v>
      </c>
      <c r="N61" s="103" t="s">
        <v>598</v>
      </c>
      <c r="O61" s="108">
        <v>500</v>
      </c>
      <c r="P61" s="113" t="s">
        <v>598</v>
      </c>
      <c r="Q61" s="103" t="s">
        <v>598</v>
      </c>
      <c r="R61" s="97" t="s">
        <v>520</v>
      </c>
      <c r="S61" s="97" t="s">
        <v>264</v>
      </c>
      <c r="T61" s="97" t="s">
        <v>4</v>
      </c>
      <c r="U61" s="97">
        <v>2013</v>
      </c>
      <c r="V61" s="97" t="s">
        <v>304</v>
      </c>
      <c r="W61" s="106">
        <v>28.321323890032001</v>
      </c>
      <c r="X61" s="106">
        <v>-80.609434349989002</v>
      </c>
      <c r="Y61" s="98" t="s">
        <v>598</v>
      </c>
      <c r="Z61" s="107"/>
      <c r="AA61" s="21" t="s">
        <v>1064</v>
      </c>
      <c r="AB61" s="21" t="s">
        <v>1064</v>
      </c>
      <c r="AC61" s="21" t="s">
        <v>1064</v>
      </c>
      <c r="AD61" s="102" t="s">
        <v>1075</v>
      </c>
    </row>
    <row r="62" spans="1:30" x14ac:dyDescent="0.3">
      <c r="A62" s="97">
        <v>2573</v>
      </c>
      <c r="B62" s="97" t="s">
        <v>95</v>
      </c>
      <c r="C62" s="98" t="s">
        <v>598</v>
      </c>
      <c r="D62" s="153" t="s">
        <v>396</v>
      </c>
      <c r="E62" s="97" t="s">
        <v>135</v>
      </c>
      <c r="F62" s="98" t="s">
        <v>588</v>
      </c>
      <c r="G62" s="97" t="s">
        <v>345</v>
      </c>
      <c r="H62" s="97" t="s">
        <v>4</v>
      </c>
      <c r="I62" s="106">
        <v>2013</v>
      </c>
      <c r="J62" s="101">
        <v>0</v>
      </c>
      <c r="K62" s="101">
        <v>0</v>
      </c>
      <c r="L62" s="102" t="s">
        <v>376</v>
      </c>
      <c r="M62" s="101">
        <v>0</v>
      </c>
      <c r="N62" s="103" t="s">
        <v>598</v>
      </c>
      <c r="O62" s="108">
        <v>3000</v>
      </c>
      <c r="P62" s="113" t="s">
        <v>598</v>
      </c>
      <c r="Q62" s="103" t="s">
        <v>598</v>
      </c>
      <c r="R62" s="97" t="s">
        <v>520</v>
      </c>
      <c r="S62" s="97" t="s">
        <v>264</v>
      </c>
      <c r="T62" s="97" t="s">
        <v>4</v>
      </c>
      <c r="U62" s="97">
        <v>2013</v>
      </c>
      <c r="V62" s="97" t="s">
        <v>304</v>
      </c>
      <c r="W62" s="106">
        <v>28.3574596385271</v>
      </c>
      <c r="X62" s="106">
        <v>-80.605024935945195</v>
      </c>
      <c r="Y62" s="98" t="s">
        <v>598</v>
      </c>
      <c r="Z62" s="107"/>
      <c r="AA62" s="21" t="s">
        <v>1064</v>
      </c>
      <c r="AB62" s="21" t="s">
        <v>1064</v>
      </c>
      <c r="AC62" s="21" t="s">
        <v>1064</v>
      </c>
      <c r="AD62" s="102" t="s">
        <v>1075</v>
      </c>
    </row>
    <row r="63" spans="1:30" x14ac:dyDescent="0.3">
      <c r="A63" s="97">
        <v>2549</v>
      </c>
      <c r="B63" s="97" t="s">
        <v>95</v>
      </c>
      <c r="C63" s="98" t="s">
        <v>598</v>
      </c>
      <c r="D63" s="153" t="s">
        <v>397</v>
      </c>
      <c r="E63" s="97" t="s">
        <v>136</v>
      </c>
      <c r="F63" s="98" t="s">
        <v>588</v>
      </c>
      <c r="G63" s="97" t="s">
        <v>523</v>
      </c>
      <c r="H63" s="97" t="s">
        <v>4</v>
      </c>
      <c r="I63" s="106">
        <v>2013</v>
      </c>
      <c r="J63" s="101">
        <v>4</v>
      </c>
      <c r="K63" s="101">
        <v>1</v>
      </c>
      <c r="L63" s="102" t="s">
        <v>376</v>
      </c>
      <c r="M63" s="101">
        <v>0.8</v>
      </c>
      <c r="N63" s="103" t="s">
        <v>598</v>
      </c>
      <c r="O63" s="108">
        <v>1200</v>
      </c>
      <c r="P63" s="113" t="s">
        <v>598</v>
      </c>
      <c r="Q63" s="103" t="s">
        <v>598</v>
      </c>
      <c r="R63" s="97" t="s">
        <v>520</v>
      </c>
      <c r="S63" s="97" t="s">
        <v>264</v>
      </c>
      <c r="T63" s="97" t="s">
        <v>4</v>
      </c>
      <c r="U63" s="97">
        <v>2013</v>
      </c>
      <c r="V63" s="97" t="s">
        <v>304</v>
      </c>
      <c r="W63" s="106">
        <v>28.3188546346354</v>
      </c>
      <c r="X63" s="106">
        <v>-80.610979538115103</v>
      </c>
      <c r="Y63" s="98" t="s">
        <v>598</v>
      </c>
      <c r="Z63" s="107"/>
      <c r="AA63" s="21" t="s">
        <v>1064</v>
      </c>
      <c r="AB63" s="21" t="s">
        <v>1064</v>
      </c>
      <c r="AC63" s="21" t="s">
        <v>1064</v>
      </c>
      <c r="AD63" s="102" t="s">
        <v>1075</v>
      </c>
    </row>
    <row r="64" spans="1:30" x14ac:dyDescent="0.3">
      <c r="A64" s="97">
        <v>2550</v>
      </c>
      <c r="B64" s="97" t="s">
        <v>95</v>
      </c>
      <c r="C64" s="98" t="s">
        <v>598</v>
      </c>
      <c r="D64" s="153" t="s">
        <v>398</v>
      </c>
      <c r="E64" s="97" t="s">
        <v>610</v>
      </c>
      <c r="F64" s="98" t="s">
        <v>588</v>
      </c>
      <c r="G64" s="97" t="s">
        <v>522</v>
      </c>
      <c r="H64" s="97" t="s">
        <v>4</v>
      </c>
      <c r="I64" s="106">
        <v>2013</v>
      </c>
      <c r="J64" s="101">
        <v>5</v>
      </c>
      <c r="K64" s="101">
        <v>1</v>
      </c>
      <c r="L64" s="102" t="s">
        <v>376</v>
      </c>
      <c r="M64" s="101">
        <v>0.5</v>
      </c>
      <c r="N64" s="103" t="s">
        <v>598</v>
      </c>
      <c r="O64" s="108">
        <v>300</v>
      </c>
      <c r="P64" s="113" t="s">
        <v>598</v>
      </c>
      <c r="Q64" s="103" t="s">
        <v>598</v>
      </c>
      <c r="R64" s="97" t="s">
        <v>520</v>
      </c>
      <c r="S64" s="97" t="s">
        <v>264</v>
      </c>
      <c r="T64" s="97" t="s">
        <v>4</v>
      </c>
      <c r="U64" s="97">
        <v>2013</v>
      </c>
      <c r="V64" s="97" t="s">
        <v>304</v>
      </c>
      <c r="W64" s="106">
        <v>28.3161962187935</v>
      </c>
      <c r="X64" s="106">
        <v>-80.611220296355299</v>
      </c>
      <c r="Y64" s="98" t="s">
        <v>598</v>
      </c>
      <c r="Z64" s="107"/>
      <c r="AA64" s="21" t="s">
        <v>1064</v>
      </c>
      <c r="AB64" s="21" t="s">
        <v>1064</v>
      </c>
      <c r="AC64" s="21" t="s">
        <v>1064</v>
      </c>
      <c r="AD64" s="102" t="s">
        <v>1075</v>
      </c>
    </row>
    <row r="65" spans="1:30" x14ac:dyDescent="0.3">
      <c r="A65" s="97">
        <v>2551</v>
      </c>
      <c r="B65" s="97" t="s">
        <v>95</v>
      </c>
      <c r="C65" s="98" t="s">
        <v>598</v>
      </c>
      <c r="D65" s="153" t="s">
        <v>399</v>
      </c>
      <c r="E65" s="99" t="s">
        <v>137</v>
      </c>
      <c r="F65" s="98" t="s">
        <v>588</v>
      </c>
      <c r="G65" s="97" t="s">
        <v>522</v>
      </c>
      <c r="H65" s="97" t="s">
        <v>4</v>
      </c>
      <c r="I65" s="106">
        <v>2013</v>
      </c>
      <c r="J65" s="101">
        <v>1</v>
      </c>
      <c r="K65" s="101">
        <v>0.1</v>
      </c>
      <c r="L65" s="102" t="s">
        <v>376</v>
      </c>
      <c r="M65" s="101">
        <v>1.5</v>
      </c>
      <c r="N65" s="103" t="s">
        <v>598</v>
      </c>
      <c r="O65" s="108">
        <v>300</v>
      </c>
      <c r="P65" s="113" t="s">
        <v>598</v>
      </c>
      <c r="Q65" s="103" t="s">
        <v>598</v>
      </c>
      <c r="R65" s="97" t="s">
        <v>520</v>
      </c>
      <c r="S65" s="97" t="s">
        <v>264</v>
      </c>
      <c r="T65" s="97" t="s">
        <v>4</v>
      </c>
      <c r="U65" s="97">
        <v>2013</v>
      </c>
      <c r="V65" s="97" t="s">
        <v>304</v>
      </c>
      <c r="W65" s="106">
        <v>28.320722696999098</v>
      </c>
      <c r="X65" s="106">
        <v>-80.622322519810197</v>
      </c>
      <c r="Y65" s="98" t="s">
        <v>598</v>
      </c>
      <c r="Z65" s="107"/>
      <c r="AA65" s="21" t="s">
        <v>1064</v>
      </c>
      <c r="AB65" s="21" t="s">
        <v>1064</v>
      </c>
      <c r="AC65" s="21" t="s">
        <v>1064</v>
      </c>
      <c r="AD65" s="102" t="s">
        <v>1075</v>
      </c>
    </row>
    <row r="66" spans="1:30" x14ac:dyDescent="0.3">
      <c r="A66" s="97">
        <v>2552</v>
      </c>
      <c r="B66" s="97" t="s">
        <v>95</v>
      </c>
      <c r="C66" s="98" t="s">
        <v>598</v>
      </c>
      <c r="D66" s="153" t="s">
        <v>400</v>
      </c>
      <c r="E66" s="99" t="s">
        <v>467</v>
      </c>
      <c r="F66" s="98" t="s">
        <v>588</v>
      </c>
      <c r="G66" s="97" t="s">
        <v>522</v>
      </c>
      <c r="H66" s="97" t="s">
        <v>4</v>
      </c>
      <c r="I66" s="106">
        <v>2013</v>
      </c>
      <c r="J66" s="101">
        <v>1</v>
      </c>
      <c r="K66" s="101">
        <v>0.1</v>
      </c>
      <c r="L66" s="102" t="s">
        <v>376</v>
      </c>
      <c r="M66" s="101">
        <v>1</v>
      </c>
      <c r="N66" s="103" t="s">
        <v>598</v>
      </c>
      <c r="O66" s="108">
        <v>300</v>
      </c>
      <c r="P66" s="113" t="s">
        <v>598</v>
      </c>
      <c r="Q66" s="103" t="s">
        <v>598</v>
      </c>
      <c r="R66" s="97" t="s">
        <v>520</v>
      </c>
      <c r="S66" s="97" t="s">
        <v>264</v>
      </c>
      <c r="T66" s="97" t="s">
        <v>4</v>
      </c>
      <c r="U66" s="97">
        <v>2013</v>
      </c>
      <c r="V66" s="97" t="s">
        <v>304</v>
      </c>
      <c r="W66" s="106">
        <v>28.320483021036701</v>
      </c>
      <c r="X66" s="106">
        <v>-80.618715339936301</v>
      </c>
      <c r="Y66" s="98" t="s">
        <v>598</v>
      </c>
      <c r="Z66" s="107"/>
      <c r="AA66" s="21" t="s">
        <v>1064</v>
      </c>
      <c r="AB66" s="21" t="s">
        <v>1064</v>
      </c>
      <c r="AC66" s="21" t="s">
        <v>1064</v>
      </c>
      <c r="AD66" s="102" t="s">
        <v>1075</v>
      </c>
    </row>
    <row r="67" spans="1:30" x14ac:dyDescent="0.3">
      <c r="A67" s="97">
        <v>2557</v>
      </c>
      <c r="B67" s="97" t="s">
        <v>95</v>
      </c>
      <c r="C67" s="98" t="s">
        <v>598</v>
      </c>
      <c r="D67" s="153" t="s">
        <v>97</v>
      </c>
      <c r="E67" s="99" t="s">
        <v>469</v>
      </c>
      <c r="F67" s="98" t="s">
        <v>588</v>
      </c>
      <c r="G67" s="97" t="s">
        <v>522</v>
      </c>
      <c r="H67" s="97" t="s">
        <v>4</v>
      </c>
      <c r="I67" s="106">
        <v>2013</v>
      </c>
      <c r="J67" s="101">
        <v>0.1</v>
      </c>
      <c r="K67" s="101">
        <v>0.02</v>
      </c>
      <c r="L67" s="102" t="s">
        <v>376</v>
      </c>
      <c r="M67" s="101">
        <v>0.1</v>
      </c>
      <c r="N67" s="103" t="s">
        <v>598</v>
      </c>
      <c r="O67" s="108">
        <v>300</v>
      </c>
      <c r="P67" s="113" t="s">
        <v>598</v>
      </c>
      <c r="Q67" s="103" t="s">
        <v>598</v>
      </c>
      <c r="R67" s="97" t="s">
        <v>520</v>
      </c>
      <c r="S67" s="97" t="s">
        <v>264</v>
      </c>
      <c r="T67" s="97" t="s">
        <v>4</v>
      </c>
      <c r="U67" s="97">
        <v>2013</v>
      </c>
      <c r="V67" s="97" t="s">
        <v>304</v>
      </c>
      <c r="W67" s="106">
        <v>28.302951327568099</v>
      </c>
      <c r="X67" s="106">
        <v>-80.611063699850604</v>
      </c>
      <c r="Y67" s="98" t="s">
        <v>598</v>
      </c>
      <c r="Z67" s="107"/>
      <c r="AA67" s="21" t="s">
        <v>1064</v>
      </c>
      <c r="AB67" s="21" t="s">
        <v>1064</v>
      </c>
      <c r="AC67" s="21" t="s">
        <v>1064</v>
      </c>
      <c r="AD67" s="102" t="s">
        <v>1075</v>
      </c>
    </row>
    <row r="68" spans="1:30" x14ac:dyDescent="0.3">
      <c r="A68" s="97">
        <v>2592</v>
      </c>
      <c r="B68" s="97" t="s">
        <v>95</v>
      </c>
      <c r="C68" s="98" t="s">
        <v>598</v>
      </c>
      <c r="D68" s="153" t="s">
        <v>98</v>
      </c>
      <c r="E68" s="99" t="s">
        <v>468</v>
      </c>
      <c r="F68" s="98" t="s">
        <v>588</v>
      </c>
      <c r="G68" s="97" t="s">
        <v>522</v>
      </c>
      <c r="H68" s="97" t="s">
        <v>4</v>
      </c>
      <c r="I68" s="106">
        <v>2013</v>
      </c>
      <c r="J68" s="101">
        <v>0.42</v>
      </c>
      <c r="K68" s="101">
        <v>0.06</v>
      </c>
      <c r="L68" s="102" t="s">
        <v>376</v>
      </c>
      <c r="M68" s="101">
        <v>0.7</v>
      </c>
      <c r="N68" s="103" t="s">
        <v>598</v>
      </c>
      <c r="O68" s="108">
        <v>120</v>
      </c>
      <c r="P68" s="113" t="s">
        <v>598</v>
      </c>
      <c r="Q68" s="103" t="s">
        <v>598</v>
      </c>
      <c r="R68" s="97" t="s">
        <v>520</v>
      </c>
      <c r="S68" s="97" t="s">
        <v>264</v>
      </c>
      <c r="T68" s="97" t="s">
        <v>4</v>
      </c>
      <c r="U68" s="97">
        <v>2013</v>
      </c>
      <c r="V68" s="97" t="s">
        <v>304</v>
      </c>
      <c r="W68" s="106">
        <v>28.369868286648</v>
      </c>
      <c r="X68" s="106">
        <v>-80.611135053308402</v>
      </c>
      <c r="Y68" s="98" t="s">
        <v>598</v>
      </c>
      <c r="Z68" s="107"/>
      <c r="AA68" s="21" t="s">
        <v>1064</v>
      </c>
      <c r="AB68" s="21" t="s">
        <v>1064</v>
      </c>
      <c r="AC68" s="21" t="s">
        <v>1064</v>
      </c>
      <c r="AD68" s="102" t="s">
        <v>1075</v>
      </c>
    </row>
    <row r="69" spans="1:30" x14ac:dyDescent="0.3">
      <c r="A69" s="97">
        <v>2558</v>
      </c>
      <c r="B69" s="97" t="s">
        <v>95</v>
      </c>
      <c r="C69" s="98" t="s">
        <v>598</v>
      </c>
      <c r="D69" s="153" t="s">
        <v>99</v>
      </c>
      <c r="E69" s="99" t="s">
        <v>470</v>
      </c>
      <c r="F69" s="98" t="s">
        <v>588</v>
      </c>
      <c r="G69" s="97" t="s">
        <v>522</v>
      </c>
      <c r="H69" s="97" t="s">
        <v>4</v>
      </c>
      <c r="I69" s="106">
        <v>2013</v>
      </c>
      <c r="J69" s="101">
        <v>1</v>
      </c>
      <c r="K69" s="101">
        <v>0.2</v>
      </c>
      <c r="L69" s="102" t="s">
        <v>376</v>
      </c>
      <c r="M69" s="101">
        <v>0.9</v>
      </c>
      <c r="N69" s="103" t="s">
        <v>598</v>
      </c>
      <c r="O69" s="108">
        <v>120</v>
      </c>
      <c r="P69" s="113" t="s">
        <v>598</v>
      </c>
      <c r="Q69" s="103" t="s">
        <v>598</v>
      </c>
      <c r="R69" s="97" t="s">
        <v>520</v>
      </c>
      <c r="S69" s="97" t="s">
        <v>264</v>
      </c>
      <c r="T69" s="97" t="s">
        <v>4</v>
      </c>
      <c r="U69" s="97">
        <v>2013</v>
      </c>
      <c r="V69" s="97" t="s">
        <v>304</v>
      </c>
      <c r="W69" s="106">
        <v>28.3207117727599</v>
      </c>
      <c r="X69" s="106">
        <v>-80.612667185335994</v>
      </c>
      <c r="Y69" s="98" t="s">
        <v>598</v>
      </c>
      <c r="Z69" s="107"/>
      <c r="AA69" s="21" t="s">
        <v>1064</v>
      </c>
      <c r="AB69" s="21" t="s">
        <v>1064</v>
      </c>
      <c r="AC69" s="21" t="s">
        <v>1064</v>
      </c>
      <c r="AD69" s="102" t="s">
        <v>1075</v>
      </c>
    </row>
    <row r="70" spans="1:30" x14ac:dyDescent="0.3">
      <c r="A70" s="97">
        <v>2556</v>
      </c>
      <c r="B70" s="97" t="s">
        <v>95</v>
      </c>
      <c r="C70" s="98" t="s">
        <v>598</v>
      </c>
      <c r="D70" s="153" t="s">
        <v>100</v>
      </c>
      <c r="E70" s="97" t="s">
        <v>101</v>
      </c>
      <c r="F70" s="98" t="s">
        <v>588</v>
      </c>
      <c r="G70" s="97" t="s">
        <v>522</v>
      </c>
      <c r="H70" s="97" t="s">
        <v>4</v>
      </c>
      <c r="I70" s="106">
        <v>2013</v>
      </c>
      <c r="J70" s="101">
        <v>0.01</v>
      </c>
      <c r="K70" s="101">
        <v>0</v>
      </c>
      <c r="L70" s="102" t="s">
        <v>376</v>
      </c>
      <c r="M70" s="101">
        <v>0.01</v>
      </c>
      <c r="N70" s="103" t="s">
        <v>598</v>
      </c>
      <c r="O70" s="108">
        <v>300</v>
      </c>
      <c r="P70" s="113" t="s">
        <v>598</v>
      </c>
      <c r="Q70" s="103" t="s">
        <v>598</v>
      </c>
      <c r="R70" s="97" t="s">
        <v>520</v>
      </c>
      <c r="S70" s="97" t="s">
        <v>264</v>
      </c>
      <c r="T70" s="97" t="s">
        <v>4</v>
      </c>
      <c r="U70" s="97">
        <v>2013</v>
      </c>
      <c r="V70" s="97" t="s">
        <v>304</v>
      </c>
      <c r="W70" s="106">
        <v>28.367671294060202</v>
      </c>
      <c r="X70" s="106">
        <v>-80.603520249322202</v>
      </c>
      <c r="Y70" s="98" t="s">
        <v>598</v>
      </c>
      <c r="Z70" s="107"/>
      <c r="AA70" s="21" t="s">
        <v>1064</v>
      </c>
      <c r="AB70" s="21" t="s">
        <v>1064</v>
      </c>
      <c r="AC70" s="21" t="s">
        <v>1064</v>
      </c>
      <c r="AD70" s="102" t="s">
        <v>1075</v>
      </c>
    </row>
    <row r="71" spans="1:30" x14ac:dyDescent="0.3">
      <c r="A71" s="97">
        <v>2555</v>
      </c>
      <c r="B71" s="97" t="s">
        <v>95</v>
      </c>
      <c r="C71" s="98" t="s">
        <v>598</v>
      </c>
      <c r="D71" s="153" t="s">
        <v>102</v>
      </c>
      <c r="E71" s="97" t="s">
        <v>103</v>
      </c>
      <c r="F71" s="98" t="s">
        <v>588</v>
      </c>
      <c r="G71" s="97" t="s">
        <v>522</v>
      </c>
      <c r="H71" s="97" t="s">
        <v>4</v>
      </c>
      <c r="I71" s="106">
        <v>2013</v>
      </c>
      <c r="J71" s="101" t="s">
        <v>598</v>
      </c>
      <c r="K71" s="101" t="s">
        <v>598</v>
      </c>
      <c r="L71" s="102" t="s">
        <v>354</v>
      </c>
      <c r="M71" s="101" t="s">
        <v>598</v>
      </c>
      <c r="N71" s="103" t="s">
        <v>598</v>
      </c>
      <c r="O71" s="103" t="s">
        <v>598</v>
      </c>
      <c r="P71" s="113" t="s">
        <v>598</v>
      </c>
      <c r="Q71" s="103" t="s">
        <v>598</v>
      </c>
      <c r="R71" s="97" t="s">
        <v>520</v>
      </c>
      <c r="S71" s="97" t="s">
        <v>264</v>
      </c>
      <c r="T71" s="97" t="s">
        <v>4</v>
      </c>
      <c r="U71" s="97">
        <v>2013</v>
      </c>
      <c r="V71" s="97" t="s">
        <v>304</v>
      </c>
      <c r="W71" s="106">
        <v>28.3626019086296</v>
      </c>
      <c r="X71" s="106">
        <v>-80.605139482759995</v>
      </c>
      <c r="Y71" s="98" t="s">
        <v>598</v>
      </c>
      <c r="Z71" s="107"/>
      <c r="AA71" s="21" t="s">
        <v>1064</v>
      </c>
      <c r="AB71" s="21" t="s">
        <v>1064</v>
      </c>
      <c r="AC71" s="21" t="s">
        <v>1064</v>
      </c>
      <c r="AD71" s="102" t="s">
        <v>1075</v>
      </c>
    </row>
    <row r="72" spans="1:30" x14ac:dyDescent="0.3">
      <c r="A72" s="97">
        <v>2554</v>
      </c>
      <c r="B72" s="97" t="s">
        <v>95</v>
      </c>
      <c r="C72" s="98" t="s">
        <v>598</v>
      </c>
      <c r="D72" s="153" t="s">
        <v>104</v>
      </c>
      <c r="E72" s="99" t="s">
        <v>471</v>
      </c>
      <c r="F72" s="98" t="s">
        <v>588</v>
      </c>
      <c r="G72" s="97" t="s">
        <v>522</v>
      </c>
      <c r="H72" s="97" t="s">
        <v>4</v>
      </c>
      <c r="I72" s="106">
        <v>2013</v>
      </c>
      <c r="J72" s="101">
        <v>1</v>
      </c>
      <c r="K72" s="101">
        <v>0.3</v>
      </c>
      <c r="L72" s="102" t="s">
        <v>376</v>
      </c>
      <c r="M72" s="101">
        <v>0.1</v>
      </c>
      <c r="N72" s="103" t="s">
        <v>598</v>
      </c>
      <c r="O72" s="108">
        <v>120</v>
      </c>
      <c r="P72" s="113" t="s">
        <v>598</v>
      </c>
      <c r="Q72" s="103" t="s">
        <v>598</v>
      </c>
      <c r="R72" s="97" t="s">
        <v>520</v>
      </c>
      <c r="S72" s="97" t="s">
        <v>264</v>
      </c>
      <c r="T72" s="97" t="s">
        <v>4</v>
      </c>
      <c r="U72" s="97">
        <v>2013</v>
      </c>
      <c r="V72" s="97" t="s">
        <v>304</v>
      </c>
      <c r="W72" s="106">
        <v>28.325721280999399</v>
      </c>
      <c r="X72" s="106">
        <v>-80.608623487625295</v>
      </c>
      <c r="Y72" s="98" t="s">
        <v>598</v>
      </c>
      <c r="Z72" s="107"/>
      <c r="AA72" s="21" t="s">
        <v>1064</v>
      </c>
      <c r="AB72" s="21" t="s">
        <v>1064</v>
      </c>
      <c r="AC72" s="21" t="s">
        <v>1064</v>
      </c>
      <c r="AD72" s="102" t="s">
        <v>1075</v>
      </c>
    </row>
    <row r="73" spans="1:30" x14ac:dyDescent="0.3">
      <c r="A73" s="97">
        <v>2553</v>
      </c>
      <c r="B73" s="97" t="s">
        <v>95</v>
      </c>
      <c r="C73" s="98" t="s">
        <v>598</v>
      </c>
      <c r="D73" s="153" t="s">
        <v>105</v>
      </c>
      <c r="E73" s="99" t="s">
        <v>472</v>
      </c>
      <c r="F73" s="98" t="s">
        <v>588</v>
      </c>
      <c r="G73" s="97" t="s">
        <v>522</v>
      </c>
      <c r="H73" s="97" t="s">
        <v>4</v>
      </c>
      <c r="I73" s="106">
        <v>2013</v>
      </c>
      <c r="J73" s="101">
        <v>2</v>
      </c>
      <c r="K73" s="101">
        <v>0.5</v>
      </c>
      <c r="L73" s="102" t="s">
        <v>376</v>
      </c>
      <c r="M73" s="101">
        <v>0.5</v>
      </c>
      <c r="N73" s="103" t="s">
        <v>598</v>
      </c>
      <c r="O73" s="108">
        <v>120</v>
      </c>
      <c r="P73" s="113" t="s">
        <v>598</v>
      </c>
      <c r="Q73" s="103" t="s">
        <v>598</v>
      </c>
      <c r="R73" s="97" t="s">
        <v>520</v>
      </c>
      <c r="S73" s="97" t="s">
        <v>264</v>
      </c>
      <c r="T73" s="97" t="s">
        <v>4</v>
      </c>
      <c r="U73" s="97">
        <v>2013</v>
      </c>
      <c r="V73" s="97" t="s">
        <v>304</v>
      </c>
      <c r="W73" s="106">
        <v>28.325441260159799</v>
      </c>
      <c r="X73" s="106">
        <v>-80.608664783234204</v>
      </c>
      <c r="Y73" s="98" t="s">
        <v>598</v>
      </c>
      <c r="Z73" s="107"/>
      <c r="AA73" s="21" t="s">
        <v>1064</v>
      </c>
      <c r="AB73" s="21" t="s">
        <v>1064</v>
      </c>
      <c r="AC73" s="21" t="s">
        <v>1064</v>
      </c>
      <c r="AD73" s="102" t="s">
        <v>1075</v>
      </c>
    </row>
    <row r="74" spans="1:30" x14ac:dyDescent="0.3">
      <c r="A74" s="97">
        <v>2568</v>
      </c>
      <c r="B74" s="97" t="s">
        <v>95</v>
      </c>
      <c r="C74" s="98" t="s">
        <v>598</v>
      </c>
      <c r="D74" s="153" t="s">
        <v>106</v>
      </c>
      <c r="E74" s="99" t="s">
        <v>611</v>
      </c>
      <c r="F74" s="98" t="s">
        <v>588</v>
      </c>
      <c r="G74" s="97" t="s">
        <v>522</v>
      </c>
      <c r="H74" s="97" t="s">
        <v>4</v>
      </c>
      <c r="I74" s="106">
        <v>2013</v>
      </c>
      <c r="J74" s="101" t="s">
        <v>598</v>
      </c>
      <c r="K74" s="101" t="s">
        <v>598</v>
      </c>
      <c r="L74" s="102" t="s">
        <v>354</v>
      </c>
      <c r="M74" s="101" t="s">
        <v>598</v>
      </c>
      <c r="N74" s="103" t="s">
        <v>598</v>
      </c>
      <c r="O74" s="103" t="s">
        <v>598</v>
      </c>
      <c r="P74" s="113" t="s">
        <v>598</v>
      </c>
      <c r="Q74" s="103" t="s">
        <v>598</v>
      </c>
      <c r="R74" s="97" t="s">
        <v>520</v>
      </c>
      <c r="S74" s="97" t="s">
        <v>264</v>
      </c>
      <c r="T74" s="97" t="s">
        <v>4</v>
      </c>
      <c r="U74" s="97">
        <v>2013</v>
      </c>
      <c r="V74" s="97" t="s">
        <v>304</v>
      </c>
      <c r="W74" s="106">
        <v>28.313357982049201</v>
      </c>
      <c r="X74" s="106">
        <v>-80.608838898087399</v>
      </c>
      <c r="Y74" s="98" t="s">
        <v>598</v>
      </c>
      <c r="Z74" s="107"/>
      <c r="AA74" s="21" t="s">
        <v>1064</v>
      </c>
      <c r="AB74" s="21" t="s">
        <v>1064</v>
      </c>
      <c r="AC74" s="21" t="s">
        <v>1064</v>
      </c>
      <c r="AD74" s="102" t="s">
        <v>1075</v>
      </c>
    </row>
    <row r="75" spans="1:30" x14ac:dyDescent="0.3">
      <c r="A75" s="97">
        <v>2567</v>
      </c>
      <c r="B75" s="97" t="s">
        <v>95</v>
      </c>
      <c r="C75" s="98" t="s">
        <v>598</v>
      </c>
      <c r="D75" s="153" t="s">
        <v>107</v>
      </c>
      <c r="E75" s="99" t="s">
        <v>612</v>
      </c>
      <c r="F75" s="98" t="s">
        <v>588</v>
      </c>
      <c r="G75" s="97" t="s">
        <v>522</v>
      </c>
      <c r="H75" s="97" t="s">
        <v>4</v>
      </c>
      <c r="I75" s="106">
        <v>2013</v>
      </c>
      <c r="J75" s="101" t="s">
        <v>598</v>
      </c>
      <c r="K75" s="101" t="s">
        <v>598</v>
      </c>
      <c r="L75" s="102" t="s">
        <v>354</v>
      </c>
      <c r="M75" s="101" t="s">
        <v>598</v>
      </c>
      <c r="N75" s="103" t="s">
        <v>598</v>
      </c>
      <c r="O75" s="103" t="s">
        <v>598</v>
      </c>
      <c r="P75" s="113" t="s">
        <v>598</v>
      </c>
      <c r="Q75" s="103" t="s">
        <v>598</v>
      </c>
      <c r="R75" s="97" t="s">
        <v>520</v>
      </c>
      <c r="S75" s="97" t="s">
        <v>264</v>
      </c>
      <c r="T75" s="97" t="s">
        <v>4</v>
      </c>
      <c r="U75" s="97">
        <v>2013</v>
      </c>
      <c r="V75" s="97" t="s">
        <v>304</v>
      </c>
      <c r="W75" s="106">
        <v>28.312631039596599</v>
      </c>
      <c r="X75" s="106">
        <v>-80.609148548693796</v>
      </c>
      <c r="Y75" s="98" t="s">
        <v>598</v>
      </c>
      <c r="Z75" s="107"/>
      <c r="AA75" s="21" t="s">
        <v>1064</v>
      </c>
      <c r="AB75" s="21" t="s">
        <v>1064</v>
      </c>
      <c r="AC75" s="21" t="s">
        <v>1064</v>
      </c>
      <c r="AD75" s="102" t="s">
        <v>1075</v>
      </c>
    </row>
    <row r="76" spans="1:30" x14ac:dyDescent="0.3">
      <c r="A76" s="97">
        <v>2566</v>
      </c>
      <c r="B76" s="97" t="s">
        <v>95</v>
      </c>
      <c r="C76" s="98" t="s">
        <v>598</v>
      </c>
      <c r="D76" s="153" t="s">
        <v>108</v>
      </c>
      <c r="E76" s="97" t="s">
        <v>109</v>
      </c>
      <c r="F76" s="98" t="s">
        <v>588</v>
      </c>
      <c r="G76" s="97" t="s">
        <v>522</v>
      </c>
      <c r="H76" s="97" t="s">
        <v>4</v>
      </c>
      <c r="I76" s="106">
        <v>2013</v>
      </c>
      <c r="J76" s="101">
        <v>34</v>
      </c>
      <c r="K76" s="101">
        <v>7.3</v>
      </c>
      <c r="L76" s="102" t="s">
        <v>376</v>
      </c>
      <c r="M76" s="101">
        <v>5.2</v>
      </c>
      <c r="N76" s="103" t="s">
        <v>598</v>
      </c>
      <c r="O76" s="108">
        <v>1200</v>
      </c>
      <c r="P76" s="113" t="s">
        <v>598</v>
      </c>
      <c r="Q76" s="103" t="s">
        <v>598</v>
      </c>
      <c r="R76" s="97" t="s">
        <v>520</v>
      </c>
      <c r="S76" s="97" t="s">
        <v>264</v>
      </c>
      <c r="T76" s="97" t="s">
        <v>4</v>
      </c>
      <c r="U76" s="97">
        <v>2013</v>
      </c>
      <c r="V76" s="97" t="s">
        <v>304</v>
      </c>
      <c r="W76" s="106">
        <v>28.334002493186699</v>
      </c>
      <c r="X76" s="106">
        <v>-80.611363613783297</v>
      </c>
      <c r="Y76" s="98" t="s">
        <v>598</v>
      </c>
      <c r="Z76" s="107"/>
      <c r="AA76" s="21" t="s">
        <v>1064</v>
      </c>
      <c r="AB76" s="21" t="s">
        <v>1064</v>
      </c>
      <c r="AC76" s="21" t="s">
        <v>1064</v>
      </c>
      <c r="AD76" s="102" t="s">
        <v>1075</v>
      </c>
    </row>
    <row r="77" spans="1:30" x14ac:dyDescent="0.3">
      <c r="A77" s="97">
        <v>2565</v>
      </c>
      <c r="B77" s="97" t="s">
        <v>95</v>
      </c>
      <c r="C77" s="98" t="s">
        <v>598</v>
      </c>
      <c r="D77" s="153" t="s">
        <v>110</v>
      </c>
      <c r="E77" s="97" t="s">
        <v>111</v>
      </c>
      <c r="F77" s="98" t="s">
        <v>588</v>
      </c>
      <c r="G77" s="97" t="s">
        <v>522</v>
      </c>
      <c r="H77" s="97" t="s">
        <v>4</v>
      </c>
      <c r="I77" s="106">
        <v>2013</v>
      </c>
      <c r="J77" s="101">
        <v>13</v>
      </c>
      <c r="K77" s="101">
        <v>2.8</v>
      </c>
      <c r="L77" s="102" t="s">
        <v>376</v>
      </c>
      <c r="M77" s="101">
        <v>3.8</v>
      </c>
      <c r="N77" s="103" t="s">
        <v>598</v>
      </c>
      <c r="O77" s="108">
        <v>120</v>
      </c>
      <c r="P77" s="113" t="s">
        <v>598</v>
      </c>
      <c r="Q77" s="103" t="s">
        <v>598</v>
      </c>
      <c r="R77" s="97" t="s">
        <v>520</v>
      </c>
      <c r="S77" s="97" t="s">
        <v>264</v>
      </c>
      <c r="T77" s="97" t="s">
        <v>4</v>
      </c>
      <c r="U77" s="97">
        <v>2013</v>
      </c>
      <c r="V77" s="97" t="s">
        <v>304</v>
      </c>
      <c r="W77" s="106">
        <v>28.353061848205598</v>
      </c>
      <c r="X77" s="106">
        <v>-80.610324495559695</v>
      </c>
      <c r="Y77" s="98" t="s">
        <v>598</v>
      </c>
      <c r="Z77" s="107"/>
      <c r="AA77" s="21" t="s">
        <v>1064</v>
      </c>
      <c r="AB77" s="21" t="s">
        <v>1064</v>
      </c>
      <c r="AC77" s="21" t="s">
        <v>1064</v>
      </c>
      <c r="AD77" s="102" t="s">
        <v>1075</v>
      </c>
    </row>
    <row r="78" spans="1:30" x14ac:dyDescent="0.3">
      <c r="A78" s="97">
        <v>2564</v>
      </c>
      <c r="B78" s="97" t="s">
        <v>95</v>
      </c>
      <c r="C78" s="98" t="s">
        <v>598</v>
      </c>
      <c r="D78" s="153" t="s">
        <v>112</v>
      </c>
      <c r="E78" s="97" t="s">
        <v>111</v>
      </c>
      <c r="F78" s="98" t="s">
        <v>588</v>
      </c>
      <c r="G78" s="97" t="s">
        <v>522</v>
      </c>
      <c r="H78" s="97" t="s">
        <v>4</v>
      </c>
      <c r="I78" s="106">
        <v>2013</v>
      </c>
      <c r="J78" s="101">
        <v>2</v>
      </c>
      <c r="K78" s="101">
        <v>0.2</v>
      </c>
      <c r="L78" s="102" t="s">
        <v>376</v>
      </c>
      <c r="M78" s="101">
        <v>0.8</v>
      </c>
      <c r="N78" s="103" t="s">
        <v>598</v>
      </c>
      <c r="O78" s="108">
        <v>120</v>
      </c>
      <c r="P78" s="113" t="s">
        <v>598</v>
      </c>
      <c r="Q78" s="103" t="s">
        <v>598</v>
      </c>
      <c r="R78" s="97" t="s">
        <v>520</v>
      </c>
      <c r="S78" s="97" t="s">
        <v>264</v>
      </c>
      <c r="T78" s="97" t="s">
        <v>4</v>
      </c>
      <c r="U78" s="97">
        <v>2013</v>
      </c>
      <c r="V78" s="97" t="s">
        <v>304</v>
      </c>
      <c r="W78" s="106">
        <v>28.353029033737499</v>
      </c>
      <c r="X78" s="106">
        <v>-80.611451033573204</v>
      </c>
      <c r="Y78" s="98" t="s">
        <v>598</v>
      </c>
      <c r="Z78" s="107"/>
      <c r="AA78" s="21" t="s">
        <v>1064</v>
      </c>
      <c r="AB78" s="21" t="s">
        <v>1064</v>
      </c>
      <c r="AC78" s="21" t="s">
        <v>1064</v>
      </c>
      <c r="AD78" s="102" t="s">
        <v>1075</v>
      </c>
    </row>
    <row r="79" spans="1:30" x14ac:dyDescent="0.3">
      <c r="A79" s="97">
        <v>2563</v>
      </c>
      <c r="B79" s="97" t="s">
        <v>95</v>
      </c>
      <c r="C79" s="98" t="s">
        <v>598</v>
      </c>
      <c r="D79" s="153" t="s">
        <v>113</v>
      </c>
      <c r="E79" s="97" t="s">
        <v>114</v>
      </c>
      <c r="F79" s="98" t="s">
        <v>588</v>
      </c>
      <c r="G79" s="97" t="s">
        <v>345</v>
      </c>
      <c r="H79" s="97" t="s">
        <v>4</v>
      </c>
      <c r="I79" s="106">
        <v>2013</v>
      </c>
      <c r="J79" s="101">
        <v>2</v>
      </c>
      <c r="K79" s="101">
        <v>0.4</v>
      </c>
      <c r="L79" s="102" t="s">
        <v>376</v>
      </c>
      <c r="M79" s="101">
        <v>1.1000000000000001</v>
      </c>
      <c r="N79" s="103" t="s">
        <v>598</v>
      </c>
      <c r="O79" s="108">
        <v>1500</v>
      </c>
      <c r="P79" s="113" t="s">
        <v>598</v>
      </c>
      <c r="Q79" s="103" t="s">
        <v>598</v>
      </c>
      <c r="R79" s="97" t="s">
        <v>520</v>
      </c>
      <c r="S79" s="97" t="s">
        <v>264</v>
      </c>
      <c r="T79" s="97" t="s">
        <v>4</v>
      </c>
      <c r="U79" s="97">
        <v>2013</v>
      </c>
      <c r="V79" s="97" t="s">
        <v>304</v>
      </c>
      <c r="W79" s="106">
        <v>28.3437479425384</v>
      </c>
      <c r="X79" s="106">
        <v>-80.613121389297504</v>
      </c>
      <c r="Y79" s="98" t="s">
        <v>598</v>
      </c>
      <c r="Z79" s="107"/>
      <c r="AA79" s="21" t="s">
        <v>1064</v>
      </c>
      <c r="AB79" s="21" t="s">
        <v>1064</v>
      </c>
      <c r="AC79" s="21" t="s">
        <v>1064</v>
      </c>
      <c r="AD79" s="102" t="s">
        <v>1075</v>
      </c>
    </row>
    <row r="80" spans="1:30" x14ac:dyDescent="0.3">
      <c r="A80" s="97">
        <v>2562</v>
      </c>
      <c r="B80" s="97" t="s">
        <v>95</v>
      </c>
      <c r="C80" s="98" t="s">
        <v>598</v>
      </c>
      <c r="D80" s="153" t="s">
        <v>115</v>
      </c>
      <c r="E80" s="97" t="s">
        <v>114</v>
      </c>
      <c r="F80" s="98" t="s">
        <v>588</v>
      </c>
      <c r="G80" s="97" t="s">
        <v>345</v>
      </c>
      <c r="H80" s="97" t="s">
        <v>4</v>
      </c>
      <c r="I80" s="106">
        <v>2013</v>
      </c>
      <c r="J80" s="101">
        <v>2</v>
      </c>
      <c r="K80" s="101">
        <v>0.5</v>
      </c>
      <c r="L80" s="102" t="s">
        <v>376</v>
      </c>
      <c r="M80" s="101">
        <v>1.4</v>
      </c>
      <c r="N80" s="103" t="s">
        <v>598</v>
      </c>
      <c r="O80" s="108">
        <v>1500</v>
      </c>
      <c r="P80" s="113" t="s">
        <v>598</v>
      </c>
      <c r="Q80" s="103" t="s">
        <v>598</v>
      </c>
      <c r="R80" s="97" t="s">
        <v>520</v>
      </c>
      <c r="S80" s="97" t="s">
        <v>264</v>
      </c>
      <c r="T80" s="97" t="s">
        <v>4</v>
      </c>
      <c r="U80" s="97">
        <v>2013</v>
      </c>
      <c r="V80" s="97" t="s">
        <v>304</v>
      </c>
      <c r="W80" s="106">
        <v>28.3432126644195</v>
      </c>
      <c r="X80" s="106">
        <v>-80.613772527575193</v>
      </c>
      <c r="Y80" s="98" t="s">
        <v>598</v>
      </c>
      <c r="Z80" s="107"/>
      <c r="AA80" s="21" t="s">
        <v>1064</v>
      </c>
      <c r="AB80" s="21" t="s">
        <v>1064</v>
      </c>
      <c r="AC80" s="21" t="s">
        <v>1064</v>
      </c>
      <c r="AD80" s="102" t="s">
        <v>1075</v>
      </c>
    </row>
    <row r="81" spans="1:30" x14ac:dyDescent="0.3">
      <c r="A81" s="97">
        <v>2561</v>
      </c>
      <c r="B81" s="97" t="s">
        <v>95</v>
      </c>
      <c r="C81" s="98" t="s">
        <v>598</v>
      </c>
      <c r="D81" s="153" t="s">
        <v>116</v>
      </c>
      <c r="E81" s="97" t="s">
        <v>613</v>
      </c>
      <c r="F81" s="98" t="s">
        <v>588</v>
      </c>
      <c r="G81" s="97" t="s">
        <v>522</v>
      </c>
      <c r="H81" s="97" t="s">
        <v>4</v>
      </c>
      <c r="I81" s="106">
        <v>2013</v>
      </c>
      <c r="J81" s="101">
        <v>7</v>
      </c>
      <c r="K81" s="101">
        <v>1.6</v>
      </c>
      <c r="L81" s="102" t="s">
        <v>376</v>
      </c>
      <c r="M81" s="101">
        <v>1.9</v>
      </c>
      <c r="N81" s="103" t="s">
        <v>598</v>
      </c>
      <c r="O81" s="108">
        <v>120</v>
      </c>
      <c r="P81" s="113" t="s">
        <v>598</v>
      </c>
      <c r="Q81" s="103" t="s">
        <v>598</v>
      </c>
      <c r="R81" s="97" t="s">
        <v>520</v>
      </c>
      <c r="S81" s="97" t="s">
        <v>264</v>
      </c>
      <c r="T81" s="97" t="s">
        <v>4</v>
      </c>
      <c r="U81" s="97">
        <v>2013</v>
      </c>
      <c r="V81" s="97" t="s">
        <v>304</v>
      </c>
      <c r="W81" s="106">
        <v>28.321172841829402</v>
      </c>
      <c r="X81" s="106">
        <v>-80.634906064110993</v>
      </c>
      <c r="Y81" s="98" t="s">
        <v>598</v>
      </c>
      <c r="Z81" s="107"/>
      <c r="AA81" s="21" t="s">
        <v>1064</v>
      </c>
      <c r="AB81" s="21" t="s">
        <v>1064</v>
      </c>
      <c r="AC81" s="21" t="s">
        <v>1064</v>
      </c>
      <c r="AD81" s="102" t="s">
        <v>1075</v>
      </c>
    </row>
    <row r="82" spans="1:30" x14ac:dyDescent="0.3">
      <c r="A82" s="97">
        <v>2524</v>
      </c>
      <c r="B82" s="97" t="s">
        <v>95</v>
      </c>
      <c r="C82" s="98" t="s">
        <v>598</v>
      </c>
      <c r="D82" s="153" t="s">
        <v>117</v>
      </c>
      <c r="E82" s="97" t="s">
        <v>473</v>
      </c>
      <c r="F82" s="98" t="s">
        <v>588</v>
      </c>
      <c r="G82" s="97" t="s">
        <v>522</v>
      </c>
      <c r="H82" s="97" t="s">
        <v>4</v>
      </c>
      <c r="I82" s="106">
        <v>2013</v>
      </c>
      <c r="J82" s="101">
        <v>0</v>
      </c>
      <c r="K82" s="101">
        <v>0</v>
      </c>
      <c r="L82" s="102" t="s">
        <v>376</v>
      </c>
      <c r="M82" s="101">
        <v>0.2</v>
      </c>
      <c r="N82" s="103" t="s">
        <v>598</v>
      </c>
      <c r="O82" s="108">
        <v>120</v>
      </c>
      <c r="P82" s="113" t="s">
        <v>598</v>
      </c>
      <c r="Q82" s="103" t="s">
        <v>598</v>
      </c>
      <c r="R82" s="97" t="s">
        <v>520</v>
      </c>
      <c r="S82" s="97" t="s">
        <v>264</v>
      </c>
      <c r="T82" s="97" t="s">
        <v>4</v>
      </c>
      <c r="U82" s="97">
        <v>2013</v>
      </c>
      <c r="V82" s="97" t="s">
        <v>304</v>
      </c>
      <c r="W82" s="106">
        <v>28.365911401517799</v>
      </c>
      <c r="X82" s="106">
        <v>-80.605321864334897</v>
      </c>
      <c r="Y82" s="98" t="s">
        <v>598</v>
      </c>
      <c r="Z82" s="107"/>
      <c r="AA82" s="21" t="s">
        <v>1064</v>
      </c>
      <c r="AB82" s="21" t="s">
        <v>1064</v>
      </c>
      <c r="AC82" s="21" t="s">
        <v>1064</v>
      </c>
      <c r="AD82" s="102" t="s">
        <v>1075</v>
      </c>
    </row>
    <row r="83" spans="1:30" x14ac:dyDescent="0.3">
      <c r="A83" s="97">
        <v>2489</v>
      </c>
      <c r="B83" s="97" t="s">
        <v>95</v>
      </c>
      <c r="C83" s="98" t="s">
        <v>598</v>
      </c>
      <c r="D83" s="153" t="s">
        <v>118</v>
      </c>
      <c r="E83" s="97" t="s">
        <v>614</v>
      </c>
      <c r="F83" s="98" t="s">
        <v>588</v>
      </c>
      <c r="G83" s="97" t="s">
        <v>522</v>
      </c>
      <c r="H83" s="97" t="s">
        <v>4</v>
      </c>
      <c r="I83" s="106">
        <v>2013</v>
      </c>
      <c r="J83" s="101">
        <v>20</v>
      </c>
      <c r="K83" s="101">
        <v>4.8</v>
      </c>
      <c r="L83" s="102" t="s">
        <v>376</v>
      </c>
      <c r="M83" s="101">
        <v>1.3</v>
      </c>
      <c r="N83" s="103" t="s">
        <v>598</v>
      </c>
      <c r="O83" s="108">
        <v>500</v>
      </c>
      <c r="P83" s="113" t="s">
        <v>598</v>
      </c>
      <c r="Q83" s="103" t="s">
        <v>598</v>
      </c>
      <c r="R83" s="97" t="s">
        <v>520</v>
      </c>
      <c r="S83" s="97" t="s">
        <v>264</v>
      </c>
      <c r="T83" s="97" t="s">
        <v>4</v>
      </c>
      <c r="U83" s="97">
        <v>2013</v>
      </c>
      <c r="V83" s="97" t="s">
        <v>304</v>
      </c>
      <c r="W83" s="106">
        <v>28.318469982300702</v>
      </c>
      <c r="X83" s="106">
        <v>-80.628682858083394</v>
      </c>
      <c r="Y83" s="98" t="s">
        <v>598</v>
      </c>
      <c r="Z83" s="107"/>
      <c r="AA83" s="21" t="s">
        <v>1064</v>
      </c>
      <c r="AB83" s="21" t="s">
        <v>1064</v>
      </c>
      <c r="AC83" s="21" t="s">
        <v>1064</v>
      </c>
      <c r="AD83" s="102" t="s">
        <v>1075</v>
      </c>
    </row>
    <row r="84" spans="1:30" x14ac:dyDescent="0.3">
      <c r="A84" s="97">
        <v>2537</v>
      </c>
      <c r="B84" s="97" t="s">
        <v>95</v>
      </c>
      <c r="C84" s="98" t="s">
        <v>598</v>
      </c>
      <c r="D84" s="153" t="s">
        <v>119</v>
      </c>
      <c r="E84" s="97" t="s">
        <v>615</v>
      </c>
      <c r="F84" s="98" t="s">
        <v>588</v>
      </c>
      <c r="G84" s="97" t="s">
        <v>522</v>
      </c>
      <c r="H84" s="97" t="s">
        <v>4</v>
      </c>
      <c r="I84" s="106">
        <v>2013</v>
      </c>
      <c r="J84" s="101">
        <v>4</v>
      </c>
      <c r="K84" s="101">
        <v>0.8</v>
      </c>
      <c r="L84" s="102" t="s">
        <v>376</v>
      </c>
      <c r="M84" s="101">
        <v>1.9</v>
      </c>
      <c r="N84" s="103" t="s">
        <v>598</v>
      </c>
      <c r="O84" s="108">
        <v>3000</v>
      </c>
      <c r="P84" s="113" t="s">
        <v>598</v>
      </c>
      <c r="Q84" s="103" t="s">
        <v>598</v>
      </c>
      <c r="R84" s="97" t="s">
        <v>520</v>
      </c>
      <c r="S84" s="97" t="s">
        <v>264</v>
      </c>
      <c r="T84" s="97" t="s">
        <v>4</v>
      </c>
      <c r="U84" s="97">
        <v>2013</v>
      </c>
      <c r="V84" s="97" t="s">
        <v>304</v>
      </c>
      <c r="W84" s="106">
        <v>28.318083299195902</v>
      </c>
      <c r="X84" s="106">
        <v>-80.632786546717298</v>
      </c>
      <c r="Y84" s="98" t="s">
        <v>598</v>
      </c>
      <c r="Z84" s="107"/>
      <c r="AA84" s="21" t="s">
        <v>1064</v>
      </c>
      <c r="AB84" s="21" t="s">
        <v>1064</v>
      </c>
      <c r="AC84" s="21" t="s">
        <v>1064</v>
      </c>
      <c r="AD84" s="102" t="s">
        <v>1075</v>
      </c>
    </row>
    <row r="85" spans="1:30" x14ac:dyDescent="0.3">
      <c r="A85" s="97">
        <v>2509</v>
      </c>
      <c r="B85" s="97" t="s">
        <v>95</v>
      </c>
      <c r="C85" s="98" t="s">
        <v>598</v>
      </c>
      <c r="D85" s="153" t="s">
        <v>120</v>
      </c>
      <c r="E85" s="97" t="s">
        <v>616</v>
      </c>
      <c r="F85" s="98" t="s">
        <v>588</v>
      </c>
      <c r="G85" s="97" t="s">
        <v>522</v>
      </c>
      <c r="H85" s="97" t="s">
        <v>4</v>
      </c>
      <c r="I85" s="106">
        <v>2013</v>
      </c>
      <c r="J85" s="101">
        <v>3</v>
      </c>
      <c r="K85" s="101">
        <v>0.4</v>
      </c>
      <c r="L85" s="102" t="s">
        <v>376</v>
      </c>
      <c r="M85" s="101">
        <v>0.9</v>
      </c>
      <c r="N85" s="103" t="s">
        <v>598</v>
      </c>
      <c r="O85" s="108">
        <v>3000</v>
      </c>
      <c r="P85" s="113" t="s">
        <v>598</v>
      </c>
      <c r="Q85" s="103" t="s">
        <v>598</v>
      </c>
      <c r="R85" s="97" t="s">
        <v>520</v>
      </c>
      <c r="S85" s="97" t="s">
        <v>264</v>
      </c>
      <c r="T85" s="97" t="s">
        <v>4</v>
      </c>
      <c r="U85" s="97">
        <v>2013</v>
      </c>
      <c r="V85" s="97" t="s">
        <v>304</v>
      </c>
      <c r="W85" s="106">
        <v>28.317820979310699</v>
      </c>
      <c r="X85" s="106">
        <v>-80.634102008711494</v>
      </c>
      <c r="Y85" s="98" t="s">
        <v>598</v>
      </c>
      <c r="Z85" s="107"/>
      <c r="AA85" s="21" t="s">
        <v>1064</v>
      </c>
      <c r="AB85" s="21" t="s">
        <v>1064</v>
      </c>
      <c r="AC85" s="21" t="s">
        <v>1064</v>
      </c>
      <c r="AD85" s="102" t="s">
        <v>1075</v>
      </c>
    </row>
    <row r="86" spans="1:30" x14ac:dyDescent="0.3">
      <c r="A86" s="97">
        <v>2508</v>
      </c>
      <c r="B86" s="97" t="s">
        <v>95</v>
      </c>
      <c r="C86" s="98" t="s">
        <v>598</v>
      </c>
      <c r="D86" s="153" t="s">
        <v>121</v>
      </c>
      <c r="E86" s="97" t="s">
        <v>122</v>
      </c>
      <c r="F86" s="98" t="s">
        <v>588</v>
      </c>
      <c r="G86" s="97" t="s">
        <v>522</v>
      </c>
      <c r="H86" s="97" t="s">
        <v>4</v>
      </c>
      <c r="I86" s="106">
        <v>2013</v>
      </c>
      <c r="J86" s="101">
        <v>3</v>
      </c>
      <c r="K86" s="101">
        <v>0.5</v>
      </c>
      <c r="L86" s="102" t="s">
        <v>376</v>
      </c>
      <c r="M86" s="101">
        <v>0.6</v>
      </c>
      <c r="N86" s="103" t="s">
        <v>598</v>
      </c>
      <c r="O86" s="108">
        <v>120</v>
      </c>
      <c r="P86" s="113" t="s">
        <v>598</v>
      </c>
      <c r="Q86" s="103" t="s">
        <v>598</v>
      </c>
      <c r="R86" s="97" t="s">
        <v>520</v>
      </c>
      <c r="S86" s="97" t="s">
        <v>264</v>
      </c>
      <c r="T86" s="97" t="s">
        <v>4</v>
      </c>
      <c r="U86" s="97">
        <v>2013</v>
      </c>
      <c r="V86" s="97" t="s">
        <v>304</v>
      </c>
      <c r="W86" s="106">
        <v>28.3685198081753</v>
      </c>
      <c r="X86" s="106">
        <v>-80.608027380451603</v>
      </c>
      <c r="Y86" s="98" t="s">
        <v>598</v>
      </c>
      <c r="Z86" s="107"/>
      <c r="AA86" s="21" t="s">
        <v>1064</v>
      </c>
      <c r="AB86" s="21" t="s">
        <v>1064</v>
      </c>
      <c r="AC86" s="21" t="s">
        <v>1064</v>
      </c>
      <c r="AD86" s="102" t="s">
        <v>1075</v>
      </c>
    </row>
    <row r="87" spans="1:30" x14ac:dyDescent="0.3">
      <c r="A87" s="97">
        <v>2507</v>
      </c>
      <c r="B87" s="97" t="s">
        <v>95</v>
      </c>
      <c r="C87" s="98" t="s">
        <v>598</v>
      </c>
      <c r="D87" s="153" t="s">
        <v>124</v>
      </c>
      <c r="E87" s="97" t="s">
        <v>122</v>
      </c>
      <c r="F87" s="98" t="s">
        <v>588</v>
      </c>
      <c r="G87" s="97" t="s">
        <v>522</v>
      </c>
      <c r="H87" s="97" t="s">
        <v>4</v>
      </c>
      <c r="I87" s="106">
        <v>2013</v>
      </c>
      <c r="J87" s="101">
        <v>5</v>
      </c>
      <c r="K87" s="101">
        <v>0.4</v>
      </c>
      <c r="L87" s="102" t="s">
        <v>376</v>
      </c>
      <c r="M87" s="101">
        <v>1.3</v>
      </c>
      <c r="N87" s="103" t="s">
        <v>598</v>
      </c>
      <c r="O87" s="108">
        <v>120</v>
      </c>
      <c r="P87" s="113" t="s">
        <v>598</v>
      </c>
      <c r="Q87" s="103" t="s">
        <v>598</v>
      </c>
      <c r="R87" s="97" t="s">
        <v>520</v>
      </c>
      <c r="S87" s="97" t="s">
        <v>264</v>
      </c>
      <c r="T87" s="97" t="s">
        <v>4</v>
      </c>
      <c r="U87" s="97">
        <v>2013</v>
      </c>
      <c r="V87" s="97" t="s">
        <v>304</v>
      </c>
      <c r="W87" s="106">
        <v>28.368252804921401</v>
      </c>
      <c r="X87" s="106">
        <v>-80.605905568881795</v>
      </c>
      <c r="Y87" s="98" t="s">
        <v>598</v>
      </c>
      <c r="Z87" s="107"/>
      <c r="AA87" s="21" t="s">
        <v>1064</v>
      </c>
      <c r="AB87" s="21" t="s">
        <v>1064</v>
      </c>
      <c r="AC87" s="21" t="s">
        <v>1064</v>
      </c>
      <c r="AD87" s="102" t="s">
        <v>1075</v>
      </c>
    </row>
    <row r="88" spans="1:30" x14ac:dyDescent="0.3">
      <c r="A88" s="97">
        <v>2506</v>
      </c>
      <c r="B88" s="97" t="s">
        <v>95</v>
      </c>
      <c r="C88" s="97" t="s">
        <v>598</v>
      </c>
      <c r="D88" s="97" t="s">
        <v>125</v>
      </c>
      <c r="E88" s="97" t="s">
        <v>474</v>
      </c>
      <c r="F88" s="97" t="s">
        <v>588</v>
      </c>
      <c r="G88" s="97" t="s">
        <v>522</v>
      </c>
      <c r="H88" s="97" t="s">
        <v>548</v>
      </c>
      <c r="I88" s="106" t="s">
        <v>520</v>
      </c>
      <c r="J88" s="116" t="s">
        <v>520</v>
      </c>
      <c r="K88" s="116" t="s">
        <v>520</v>
      </c>
      <c r="L88" s="97" t="s">
        <v>520</v>
      </c>
      <c r="M88" s="116" t="s">
        <v>520</v>
      </c>
      <c r="N88" s="110" t="s">
        <v>520</v>
      </c>
      <c r="O88" s="110" t="s">
        <v>520</v>
      </c>
      <c r="P88" s="97" t="s">
        <v>520</v>
      </c>
      <c r="Q88" s="110" t="s">
        <v>520</v>
      </c>
      <c r="R88" s="97" t="s">
        <v>520</v>
      </c>
      <c r="S88" s="97" t="s">
        <v>264</v>
      </c>
      <c r="T88" s="97" t="s">
        <v>306</v>
      </c>
      <c r="U88" s="97">
        <v>2013</v>
      </c>
      <c r="V88" s="97" t="s">
        <v>304</v>
      </c>
      <c r="W88" s="106" t="s">
        <v>520</v>
      </c>
      <c r="X88" s="106" t="s">
        <v>520</v>
      </c>
      <c r="Y88" s="97" t="s">
        <v>520</v>
      </c>
      <c r="Z88" s="117"/>
      <c r="AA88" s="97" t="s">
        <v>306</v>
      </c>
      <c r="AB88" s="97" t="s">
        <v>1065</v>
      </c>
      <c r="AC88" s="97" t="s">
        <v>520</v>
      </c>
      <c r="AD88" s="97" t="s">
        <v>520</v>
      </c>
    </row>
    <row r="89" spans="1:30" x14ac:dyDescent="0.3">
      <c r="A89" s="97">
        <v>2505</v>
      </c>
      <c r="B89" s="97" t="s">
        <v>95</v>
      </c>
      <c r="C89" s="98" t="s">
        <v>598</v>
      </c>
      <c r="D89" s="153" t="s">
        <v>126</v>
      </c>
      <c r="E89" s="97" t="s">
        <v>617</v>
      </c>
      <c r="F89" s="98" t="s">
        <v>588</v>
      </c>
      <c r="G89" s="97" t="s">
        <v>522</v>
      </c>
      <c r="H89" s="97" t="s">
        <v>4</v>
      </c>
      <c r="I89" s="106">
        <v>2013</v>
      </c>
      <c r="J89" s="101">
        <v>2</v>
      </c>
      <c r="K89" s="101">
        <v>0.2</v>
      </c>
      <c r="L89" s="102" t="s">
        <v>376</v>
      </c>
      <c r="M89" s="101">
        <v>1</v>
      </c>
      <c r="N89" s="103" t="s">
        <v>598</v>
      </c>
      <c r="O89" s="108">
        <v>120</v>
      </c>
      <c r="P89" s="113" t="s">
        <v>598</v>
      </c>
      <c r="Q89" s="103" t="s">
        <v>598</v>
      </c>
      <c r="R89" s="97" t="s">
        <v>520</v>
      </c>
      <c r="S89" s="97" t="s">
        <v>264</v>
      </c>
      <c r="T89" s="97" t="s">
        <v>4</v>
      </c>
      <c r="U89" s="97">
        <v>2013</v>
      </c>
      <c r="V89" s="97" t="s">
        <v>304</v>
      </c>
      <c r="W89" s="106">
        <v>28.363659744418101</v>
      </c>
      <c r="X89" s="106">
        <v>-80.608347521541305</v>
      </c>
      <c r="Y89" s="98" t="s">
        <v>598</v>
      </c>
      <c r="Z89" s="107"/>
      <c r="AA89" s="21" t="s">
        <v>1064</v>
      </c>
      <c r="AB89" s="21" t="s">
        <v>1064</v>
      </c>
      <c r="AC89" s="21" t="s">
        <v>1064</v>
      </c>
      <c r="AD89" s="102" t="s">
        <v>1075</v>
      </c>
    </row>
    <row r="90" spans="1:30" x14ac:dyDescent="0.3">
      <c r="A90" s="97">
        <v>2504</v>
      </c>
      <c r="B90" s="97" t="s">
        <v>95</v>
      </c>
      <c r="C90" s="98" t="s">
        <v>598</v>
      </c>
      <c r="D90" s="153" t="s">
        <v>127</v>
      </c>
      <c r="E90" s="97" t="s">
        <v>617</v>
      </c>
      <c r="F90" s="98" t="s">
        <v>588</v>
      </c>
      <c r="G90" s="97" t="s">
        <v>522</v>
      </c>
      <c r="H90" s="97" t="s">
        <v>4</v>
      </c>
      <c r="I90" s="106">
        <v>2013</v>
      </c>
      <c r="J90" s="101">
        <v>3</v>
      </c>
      <c r="K90" s="101">
        <v>0.4</v>
      </c>
      <c r="L90" s="102" t="s">
        <v>376</v>
      </c>
      <c r="M90" s="101">
        <v>2.2999999999999998</v>
      </c>
      <c r="N90" s="103" t="s">
        <v>598</v>
      </c>
      <c r="O90" s="108">
        <v>120</v>
      </c>
      <c r="P90" s="113" t="s">
        <v>598</v>
      </c>
      <c r="Q90" s="103" t="s">
        <v>598</v>
      </c>
      <c r="R90" s="97" t="s">
        <v>520</v>
      </c>
      <c r="S90" s="97" t="s">
        <v>264</v>
      </c>
      <c r="T90" s="97" t="s">
        <v>4</v>
      </c>
      <c r="U90" s="97">
        <v>2013</v>
      </c>
      <c r="V90" s="97" t="s">
        <v>304</v>
      </c>
      <c r="W90" s="106">
        <v>28.363495927252998</v>
      </c>
      <c r="X90" s="106">
        <v>-80.609159647678595</v>
      </c>
      <c r="Y90" s="98" t="s">
        <v>598</v>
      </c>
      <c r="Z90" s="107"/>
      <c r="AA90" s="21" t="s">
        <v>1064</v>
      </c>
      <c r="AB90" s="21" t="s">
        <v>1064</v>
      </c>
      <c r="AC90" s="21" t="s">
        <v>1064</v>
      </c>
      <c r="AD90" s="102" t="s">
        <v>1075</v>
      </c>
    </row>
    <row r="91" spans="1:30" x14ac:dyDescent="0.3">
      <c r="A91" s="97">
        <v>2503</v>
      </c>
      <c r="B91" s="97" t="s">
        <v>95</v>
      </c>
      <c r="C91" s="98" t="s">
        <v>598</v>
      </c>
      <c r="D91" s="153" t="s">
        <v>128</v>
      </c>
      <c r="E91" s="99" t="s">
        <v>129</v>
      </c>
      <c r="F91" s="98" t="s">
        <v>588</v>
      </c>
      <c r="G91" s="97" t="s">
        <v>71</v>
      </c>
      <c r="H91" s="97" t="s">
        <v>2</v>
      </c>
      <c r="I91" s="106">
        <v>2013</v>
      </c>
      <c r="J91" s="101">
        <v>32</v>
      </c>
      <c r="K91" s="101">
        <v>10.3</v>
      </c>
      <c r="L91" s="102" t="s">
        <v>376</v>
      </c>
      <c r="M91" s="101" t="s">
        <v>598</v>
      </c>
      <c r="N91" s="103" t="s">
        <v>598</v>
      </c>
      <c r="O91" s="108">
        <v>1200</v>
      </c>
      <c r="P91" s="113" t="s">
        <v>598</v>
      </c>
      <c r="Q91" s="103" t="s">
        <v>598</v>
      </c>
      <c r="R91" s="97" t="s">
        <v>520</v>
      </c>
      <c r="S91" s="97" t="s">
        <v>265</v>
      </c>
      <c r="T91" s="97" t="s">
        <v>4</v>
      </c>
      <c r="U91" s="97">
        <v>2013</v>
      </c>
      <c r="V91" s="97" t="s">
        <v>304</v>
      </c>
      <c r="W91" s="100" t="s">
        <v>520</v>
      </c>
      <c r="X91" s="100" t="s">
        <v>520</v>
      </c>
      <c r="Y91" s="98" t="s">
        <v>598</v>
      </c>
      <c r="Z91" s="107"/>
      <c r="AA91" s="98" t="s">
        <v>1065</v>
      </c>
      <c r="AB91" s="21" t="s">
        <v>1065</v>
      </c>
      <c r="AC91" s="21" t="s">
        <v>1074</v>
      </c>
      <c r="AD91" s="102" t="s">
        <v>1071</v>
      </c>
    </row>
    <row r="92" spans="1:30" x14ac:dyDescent="0.3">
      <c r="A92" s="97">
        <v>2502</v>
      </c>
      <c r="B92" s="97" t="s">
        <v>95</v>
      </c>
      <c r="C92" s="98" t="s">
        <v>598</v>
      </c>
      <c r="D92" s="153" t="s">
        <v>130</v>
      </c>
      <c r="E92" s="97" t="s">
        <v>475</v>
      </c>
      <c r="F92" s="98" t="s">
        <v>588</v>
      </c>
      <c r="G92" s="97" t="s">
        <v>345</v>
      </c>
      <c r="H92" s="97" t="s">
        <v>4</v>
      </c>
      <c r="I92" s="106">
        <v>2013</v>
      </c>
      <c r="J92" s="101">
        <v>4</v>
      </c>
      <c r="K92" s="101">
        <v>0.9</v>
      </c>
      <c r="L92" s="102" t="s">
        <v>376</v>
      </c>
      <c r="M92" s="101">
        <v>2.1</v>
      </c>
      <c r="N92" s="103" t="s">
        <v>598</v>
      </c>
      <c r="O92" s="108">
        <v>120</v>
      </c>
      <c r="P92" s="113" t="s">
        <v>598</v>
      </c>
      <c r="Q92" s="103" t="s">
        <v>598</v>
      </c>
      <c r="R92" s="97" t="s">
        <v>520</v>
      </c>
      <c r="S92" s="97" t="s">
        <v>264</v>
      </c>
      <c r="T92" s="97" t="s">
        <v>4</v>
      </c>
      <c r="U92" s="97">
        <v>2013</v>
      </c>
      <c r="V92" s="97" t="s">
        <v>304</v>
      </c>
      <c r="W92" s="106">
        <v>28.342228741416601</v>
      </c>
      <c r="X92" s="106">
        <v>-80.610582360338398</v>
      </c>
      <c r="Y92" s="98" t="s">
        <v>598</v>
      </c>
      <c r="Z92" s="107"/>
      <c r="AA92" s="21" t="s">
        <v>1064</v>
      </c>
      <c r="AB92" s="21" t="s">
        <v>1064</v>
      </c>
      <c r="AC92" s="21" t="s">
        <v>1064</v>
      </c>
      <c r="AD92" s="102" t="s">
        <v>1075</v>
      </c>
    </row>
    <row r="93" spans="1:30" x14ac:dyDescent="0.3">
      <c r="A93" s="97">
        <v>2501</v>
      </c>
      <c r="B93" s="97" t="s">
        <v>95</v>
      </c>
      <c r="C93" s="98" t="s">
        <v>598</v>
      </c>
      <c r="D93" s="153" t="s">
        <v>131</v>
      </c>
      <c r="E93" s="99" t="s">
        <v>476</v>
      </c>
      <c r="F93" s="98" t="s">
        <v>588</v>
      </c>
      <c r="G93" s="97" t="s">
        <v>345</v>
      </c>
      <c r="H93" s="97" t="s">
        <v>4</v>
      </c>
      <c r="I93" s="106">
        <v>2013</v>
      </c>
      <c r="J93" s="101">
        <v>1</v>
      </c>
      <c r="K93" s="101">
        <v>0.2</v>
      </c>
      <c r="L93" s="102" t="s">
        <v>376</v>
      </c>
      <c r="M93" s="101">
        <v>0.5</v>
      </c>
      <c r="N93" s="103" t="s">
        <v>598</v>
      </c>
      <c r="O93" s="108">
        <v>120</v>
      </c>
      <c r="P93" s="113" t="s">
        <v>598</v>
      </c>
      <c r="Q93" s="103" t="s">
        <v>598</v>
      </c>
      <c r="R93" s="97" t="s">
        <v>520</v>
      </c>
      <c r="S93" s="97" t="s">
        <v>264</v>
      </c>
      <c r="T93" s="97" t="s">
        <v>4</v>
      </c>
      <c r="U93" s="97">
        <v>2013</v>
      </c>
      <c r="V93" s="97" t="s">
        <v>304</v>
      </c>
      <c r="W93" s="106">
        <v>28.324182015609502</v>
      </c>
      <c r="X93" s="106">
        <v>-80.610548943116996</v>
      </c>
      <c r="Y93" s="98" t="s">
        <v>598</v>
      </c>
      <c r="Z93" s="107"/>
      <c r="AA93" s="21" t="s">
        <v>1064</v>
      </c>
      <c r="AB93" s="21" t="s">
        <v>1064</v>
      </c>
      <c r="AC93" s="21" t="s">
        <v>1064</v>
      </c>
      <c r="AD93" s="102" t="s">
        <v>1075</v>
      </c>
    </row>
    <row r="94" spans="1:30" x14ac:dyDescent="0.3">
      <c r="A94" s="97">
        <v>2488</v>
      </c>
      <c r="B94" s="97" t="s">
        <v>95</v>
      </c>
      <c r="C94" s="98" t="s">
        <v>598</v>
      </c>
      <c r="D94" s="153" t="s">
        <v>132</v>
      </c>
      <c r="E94" s="97" t="s">
        <v>350</v>
      </c>
      <c r="F94" s="98" t="s">
        <v>588</v>
      </c>
      <c r="G94" s="97" t="s">
        <v>350</v>
      </c>
      <c r="H94" s="97" t="s">
        <v>4</v>
      </c>
      <c r="I94" s="100" t="s">
        <v>520</v>
      </c>
      <c r="J94" s="101">
        <v>84</v>
      </c>
      <c r="K94" s="101">
        <v>54</v>
      </c>
      <c r="L94" s="102" t="s">
        <v>376</v>
      </c>
      <c r="M94" s="101" t="s">
        <v>520</v>
      </c>
      <c r="N94" s="108">
        <v>38405</v>
      </c>
      <c r="O94" s="108">
        <v>38405</v>
      </c>
      <c r="P94" s="113" t="s">
        <v>598</v>
      </c>
      <c r="Q94" s="108">
        <v>38405</v>
      </c>
      <c r="R94" s="97" t="s">
        <v>520</v>
      </c>
      <c r="S94" s="97" t="s">
        <v>265</v>
      </c>
      <c r="T94" s="97" t="s">
        <v>2</v>
      </c>
      <c r="U94" s="97">
        <v>2013</v>
      </c>
      <c r="V94" s="97" t="s">
        <v>304</v>
      </c>
      <c r="W94" s="100" t="s">
        <v>520</v>
      </c>
      <c r="X94" s="100" t="s">
        <v>520</v>
      </c>
      <c r="Y94" s="98" t="s">
        <v>598</v>
      </c>
      <c r="Z94" s="107"/>
      <c r="AA94" s="98" t="s">
        <v>1065</v>
      </c>
      <c r="AB94" s="21" t="s">
        <v>1065</v>
      </c>
      <c r="AC94" s="21" t="s">
        <v>1074</v>
      </c>
      <c r="AD94" s="102" t="s">
        <v>1071</v>
      </c>
    </row>
    <row r="95" spans="1:30" x14ac:dyDescent="0.3">
      <c r="A95" s="97">
        <v>2499</v>
      </c>
      <c r="B95" s="97" t="s">
        <v>95</v>
      </c>
      <c r="C95" s="98" t="s">
        <v>520</v>
      </c>
      <c r="D95" s="153" t="s">
        <v>133</v>
      </c>
      <c r="E95" s="97" t="s">
        <v>1</v>
      </c>
      <c r="F95" s="97" t="s">
        <v>478</v>
      </c>
      <c r="G95" s="97" t="s">
        <v>1</v>
      </c>
      <c r="H95" s="97" t="s">
        <v>2</v>
      </c>
      <c r="I95" s="100" t="s">
        <v>520</v>
      </c>
      <c r="J95" s="101">
        <v>1098</v>
      </c>
      <c r="K95" s="101">
        <v>228</v>
      </c>
      <c r="L95" s="102" t="s">
        <v>376</v>
      </c>
      <c r="M95" s="101" t="s">
        <v>520</v>
      </c>
      <c r="N95" s="108">
        <v>5000</v>
      </c>
      <c r="O95" s="108">
        <v>5000</v>
      </c>
      <c r="P95" s="113" t="s">
        <v>598</v>
      </c>
      <c r="Q95" s="108">
        <v>5000</v>
      </c>
      <c r="R95" s="97" t="s">
        <v>520</v>
      </c>
      <c r="S95" s="97" t="s">
        <v>265</v>
      </c>
      <c r="T95" s="97" t="s">
        <v>2</v>
      </c>
      <c r="U95" s="97">
        <v>2013</v>
      </c>
      <c r="V95" s="97" t="s">
        <v>304</v>
      </c>
      <c r="W95" s="100" t="s">
        <v>520</v>
      </c>
      <c r="X95" s="100" t="s">
        <v>520</v>
      </c>
      <c r="Y95" s="98" t="s">
        <v>598</v>
      </c>
      <c r="Z95" s="107"/>
      <c r="AA95" s="98" t="s">
        <v>1065</v>
      </c>
      <c r="AB95" s="21" t="s">
        <v>1065</v>
      </c>
      <c r="AC95" s="21" t="s">
        <v>1073</v>
      </c>
      <c r="AD95" s="102" t="s">
        <v>1072</v>
      </c>
    </row>
    <row r="96" spans="1:30" x14ac:dyDescent="0.3">
      <c r="A96" s="97">
        <v>2511</v>
      </c>
      <c r="B96" s="97" t="s">
        <v>95</v>
      </c>
      <c r="C96" s="97" t="s">
        <v>643</v>
      </c>
      <c r="D96" s="153" t="s">
        <v>134</v>
      </c>
      <c r="E96" s="97" t="s">
        <v>618</v>
      </c>
      <c r="F96" s="97" t="s">
        <v>870</v>
      </c>
      <c r="G96" s="97" t="s">
        <v>490</v>
      </c>
      <c r="H96" s="97" t="s">
        <v>4</v>
      </c>
      <c r="I96" s="106">
        <v>2016</v>
      </c>
      <c r="J96" s="101" t="s">
        <v>361</v>
      </c>
      <c r="K96" s="101" t="s">
        <v>361</v>
      </c>
      <c r="L96" s="102" t="s">
        <v>376</v>
      </c>
      <c r="M96" s="101">
        <v>20.3</v>
      </c>
      <c r="N96" s="108">
        <v>2975671</v>
      </c>
      <c r="O96" s="108">
        <v>12000</v>
      </c>
      <c r="P96" s="97" t="s">
        <v>1023</v>
      </c>
      <c r="Q96" s="108">
        <v>779464</v>
      </c>
      <c r="R96" s="97" t="s">
        <v>268</v>
      </c>
      <c r="S96" s="97" t="s">
        <v>264</v>
      </c>
      <c r="T96" s="97" t="s">
        <v>382</v>
      </c>
      <c r="U96" s="97">
        <v>2013</v>
      </c>
      <c r="V96" s="97" t="s">
        <v>304</v>
      </c>
      <c r="W96" s="106">
        <v>28.318804974663699</v>
      </c>
      <c r="X96" s="106">
        <v>-80.609938082517601</v>
      </c>
      <c r="Y96" s="98" t="s">
        <v>598</v>
      </c>
      <c r="Z96" s="107"/>
      <c r="AA96" s="21" t="s">
        <v>1064</v>
      </c>
      <c r="AB96" s="21" t="s">
        <v>1064</v>
      </c>
      <c r="AC96" s="21" t="s">
        <v>1064</v>
      </c>
      <c r="AD96" s="102" t="s">
        <v>1075</v>
      </c>
    </row>
    <row r="97" spans="1:30" x14ac:dyDescent="0.3">
      <c r="A97" s="97">
        <v>2497</v>
      </c>
      <c r="B97" s="97" t="s">
        <v>95</v>
      </c>
      <c r="C97" s="98" t="s">
        <v>598</v>
      </c>
      <c r="D97" s="153" t="s">
        <v>305</v>
      </c>
      <c r="E97" s="97" t="s">
        <v>644</v>
      </c>
      <c r="F97" s="97" t="s">
        <v>870</v>
      </c>
      <c r="G97" s="97" t="s">
        <v>490</v>
      </c>
      <c r="H97" s="97" t="s">
        <v>530</v>
      </c>
      <c r="I97" s="106">
        <v>2020</v>
      </c>
      <c r="J97" s="59" t="s">
        <v>361</v>
      </c>
      <c r="K97" s="59" t="s">
        <v>361</v>
      </c>
      <c r="L97" s="97" t="s">
        <v>376</v>
      </c>
      <c r="M97" s="116">
        <v>11</v>
      </c>
      <c r="N97" s="110">
        <v>276000</v>
      </c>
      <c r="O97" s="110">
        <v>3000</v>
      </c>
      <c r="P97" s="113" t="s">
        <v>361</v>
      </c>
      <c r="Q97" s="103" t="s">
        <v>361</v>
      </c>
      <c r="R97" s="97" t="s">
        <v>361</v>
      </c>
      <c r="S97" s="97" t="s">
        <v>264</v>
      </c>
      <c r="T97" s="97" t="s">
        <v>340</v>
      </c>
      <c r="U97" s="97">
        <v>2016</v>
      </c>
      <c r="V97" s="97" t="s">
        <v>304</v>
      </c>
      <c r="W97" s="106">
        <v>28.320034</v>
      </c>
      <c r="X97" s="106">
        <v>-80.611035000000001</v>
      </c>
      <c r="Y97" s="121" t="s">
        <v>554</v>
      </c>
      <c r="Z97" s="107">
        <v>1</v>
      </c>
      <c r="AA97" s="98" t="s">
        <v>1065</v>
      </c>
      <c r="AB97" s="21" t="s">
        <v>1064</v>
      </c>
      <c r="AC97" s="21" t="s">
        <v>1081</v>
      </c>
      <c r="AD97" s="21" t="s">
        <v>520</v>
      </c>
    </row>
    <row r="98" spans="1:30" x14ac:dyDescent="0.3">
      <c r="A98" s="99">
        <v>4339</v>
      </c>
      <c r="B98" s="97" t="s">
        <v>95</v>
      </c>
      <c r="C98" s="98" t="s">
        <v>598</v>
      </c>
      <c r="D98" s="153" t="s">
        <v>645</v>
      </c>
      <c r="E98" s="99" t="s">
        <v>646</v>
      </c>
      <c r="F98" s="97" t="s">
        <v>870</v>
      </c>
      <c r="G98" s="97" t="s">
        <v>490</v>
      </c>
      <c r="H98" s="97" t="s">
        <v>530</v>
      </c>
      <c r="I98" s="106">
        <v>2020</v>
      </c>
      <c r="J98" s="59" t="s">
        <v>361</v>
      </c>
      <c r="K98" s="59" t="s">
        <v>361</v>
      </c>
      <c r="L98" s="97" t="s">
        <v>376</v>
      </c>
      <c r="M98" s="116">
        <v>12.6</v>
      </c>
      <c r="N98" s="110">
        <v>250000</v>
      </c>
      <c r="O98" s="110">
        <v>3000</v>
      </c>
      <c r="P98" s="113" t="s">
        <v>361</v>
      </c>
      <c r="Q98" s="103" t="s">
        <v>361</v>
      </c>
      <c r="R98" s="97" t="s">
        <v>361</v>
      </c>
      <c r="S98" s="97" t="s">
        <v>264</v>
      </c>
      <c r="T98" s="98" t="s">
        <v>598</v>
      </c>
      <c r="U98" s="97">
        <v>2018</v>
      </c>
      <c r="V98" s="97" t="s">
        <v>304</v>
      </c>
      <c r="W98" s="106">
        <v>28.320284999999998</v>
      </c>
      <c r="X98" s="106">
        <v>-80.611547000000002</v>
      </c>
      <c r="Y98" s="121">
        <v>2020</v>
      </c>
      <c r="Z98" s="107"/>
      <c r="AA98" s="98" t="s">
        <v>1065</v>
      </c>
      <c r="AB98" s="21" t="s">
        <v>1064</v>
      </c>
      <c r="AC98" s="21" t="s">
        <v>1081</v>
      </c>
      <c r="AD98" s="21" t="s">
        <v>520</v>
      </c>
    </row>
    <row r="99" spans="1:30" x14ac:dyDescent="0.3">
      <c r="A99" s="97">
        <v>2464</v>
      </c>
      <c r="B99" s="97" t="s">
        <v>138</v>
      </c>
      <c r="C99" s="97" t="s">
        <v>538</v>
      </c>
      <c r="D99" s="97" t="s">
        <v>383</v>
      </c>
      <c r="E99" s="97" t="s">
        <v>278</v>
      </c>
      <c r="F99" s="97" t="s">
        <v>531</v>
      </c>
      <c r="G99" s="97" t="s">
        <v>670</v>
      </c>
      <c r="H99" s="97" t="s">
        <v>4</v>
      </c>
      <c r="I99" s="106">
        <v>2006</v>
      </c>
      <c r="J99" s="101">
        <v>1.9</v>
      </c>
      <c r="K99" s="101">
        <v>2.1</v>
      </c>
      <c r="L99" s="102" t="s">
        <v>376</v>
      </c>
      <c r="M99" s="101">
        <v>29.2</v>
      </c>
      <c r="N99" s="108">
        <v>75000</v>
      </c>
      <c r="O99" s="108">
        <v>1200</v>
      </c>
      <c r="P99" s="97" t="s">
        <v>604</v>
      </c>
      <c r="Q99" s="110" t="s">
        <v>793</v>
      </c>
      <c r="R99" s="97" t="s">
        <v>520</v>
      </c>
      <c r="S99" s="97" t="s">
        <v>264</v>
      </c>
      <c r="T99" s="97" t="s">
        <v>4</v>
      </c>
      <c r="U99" s="97">
        <v>2013</v>
      </c>
      <c r="V99" s="97" t="s">
        <v>304</v>
      </c>
      <c r="W99" s="106">
        <v>28.3749361035383</v>
      </c>
      <c r="X99" s="106">
        <v>-80.606346869190304</v>
      </c>
      <c r="Y99" s="97">
        <v>2005</v>
      </c>
      <c r="Z99" s="107"/>
      <c r="AA99" s="21" t="s">
        <v>1064</v>
      </c>
      <c r="AB99" s="21" t="s">
        <v>1064</v>
      </c>
      <c r="AC99" s="21" t="s">
        <v>1064</v>
      </c>
      <c r="AD99" s="102" t="s">
        <v>1075</v>
      </c>
    </row>
    <row r="100" spans="1:30" x14ac:dyDescent="0.3">
      <c r="A100" s="97">
        <v>2465</v>
      </c>
      <c r="B100" s="97" t="s">
        <v>138</v>
      </c>
      <c r="C100" s="97" t="s">
        <v>538</v>
      </c>
      <c r="D100" s="97" t="s">
        <v>384</v>
      </c>
      <c r="E100" s="97" t="s">
        <v>279</v>
      </c>
      <c r="F100" s="97" t="s">
        <v>532</v>
      </c>
      <c r="G100" s="97" t="s">
        <v>670</v>
      </c>
      <c r="H100" s="97" t="s">
        <v>4</v>
      </c>
      <c r="I100" s="106">
        <v>2006</v>
      </c>
      <c r="J100" s="101">
        <v>7.8</v>
      </c>
      <c r="K100" s="101">
        <v>8.8000000000000007</v>
      </c>
      <c r="L100" s="102" t="s">
        <v>376</v>
      </c>
      <c r="M100" s="101">
        <v>117.2</v>
      </c>
      <c r="N100" s="108">
        <v>75000</v>
      </c>
      <c r="O100" s="108">
        <v>1200</v>
      </c>
      <c r="P100" s="97" t="s">
        <v>604</v>
      </c>
      <c r="Q100" s="110" t="s">
        <v>793</v>
      </c>
      <c r="R100" s="97" t="s">
        <v>520</v>
      </c>
      <c r="S100" s="97" t="s">
        <v>264</v>
      </c>
      <c r="T100" s="97" t="s">
        <v>4</v>
      </c>
      <c r="U100" s="97">
        <v>2013</v>
      </c>
      <c r="V100" s="97" t="s">
        <v>304</v>
      </c>
      <c r="W100" s="106">
        <v>28.382044117292899</v>
      </c>
      <c r="X100" s="106">
        <v>-80.603857373959201</v>
      </c>
      <c r="Y100" s="97">
        <v>2005</v>
      </c>
      <c r="Z100" s="107"/>
      <c r="AA100" s="21" t="s">
        <v>1064</v>
      </c>
      <c r="AB100" s="21" t="s">
        <v>1064</v>
      </c>
      <c r="AC100" s="21" t="s">
        <v>1064</v>
      </c>
      <c r="AD100" s="102" t="s">
        <v>1075</v>
      </c>
    </row>
    <row r="101" spans="1:30" x14ac:dyDescent="0.3">
      <c r="A101" s="97">
        <v>2466</v>
      </c>
      <c r="B101" s="97" t="s">
        <v>138</v>
      </c>
      <c r="C101" s="97" t="s">
        <v>538</v>
      </c>
      <c r="D101" s="97" t="s">
        <v>385</v>
      </c>
      <c r="E101" s="97" t="s">
        <v>882</v>
      </c>
      <c r="F101" s="97" t="s">
        <v>533</v>
      </c>
      <c r="G101" s="97" t="s">
        <v>670</v>
      </c>
      <c r="H101" s="97" t="s">
        <v>4</v>
      </c>
      <c r="I101" s="106">
        <v>2006</v>
      </c>
      <c r="J101" s="101">
        <v>11.6</v>
      </c>
      <c r="K101" s="101">
        <v>3.5</v>
      </c>
      <c r="L101" s="102" t="s">
        <v>376</v>
      </c>
      <c r="M101" s="101">
        <v>179.4</v>
      </c>
      <c r="N101" s="108">
        <v>75000</v>
      </c>
      <c r="O101" s="108">
        <v>1200</v>
      </c>
      <c r="P101" s="97" t="s">
        <v>604</v>
      </c>
      <c r="Q101" s="110" t="s">
        <v>793</v>
      </c>
      <c r="R101" s="97" t="s">
        <v>520</v>
      </c>
      <c r="S101" s="97" t="s">
        <v>264</v>
      </c>
      <c r="T101" s="97" t="s">
        <v>4</v>
      </c>
      <c r="U101" s="97">
        <v>2013</v>
      </c>
      <c r="V101" s="97" t="s">
        <v>304</v>
      </c>
      <c r="W101" s="106">
        <v>28.388185698768801</v>
      </c>
      <c r="X101" s="106">
        <v>-80.602861849615707</v>
      </c>
      <c r="Y101" s="97">
        <v>2005</v>
      </c>
      <c r="Z101" s="107"/>
      <c r="AA101" s="21" t="s">
        <v>1064</v>
      </c>
      <c r="AB101" s="21" t="s">
        <v>1064</v>
      </c>
      <c r="AC101" s="21" t="s">
        <v>1064</v>
      </c>
      <c r="AD101" s="102" t="s">
        <v>1075</v>
      </c>
    </row>
    <row r="102" spans="1:30" x14ac:dyDescent="0.3">
      <c r="A102" s="97">
        <v>2467</v>
      </c>
      <c r="B102" s="97" t="s">
        <v>138</v>
      </c>
      <c r="C102" s="97" t="s">
        <v>538</v>
      </c>
      <c r="D102" s="97" t="s">
        <v>386</v>
      </c>
      <c r="E102" s="97" t="s">
        <v>280</v>
      </c>
      <c r="F102" s="97" t="s">
        <v>534</v>
      </c>
      <c r="G102" s="97" t="s">
        <v>670</v>
      </c>
      <c r="H102" s="97" t="s">
        <v>4</v>
      </c>
      <c r="I102" s="106">
        <v>2006</v>
      </c>
      <c r="J102" s="101">
        <v>3.5</v>
      </c>
      <c r="K102" s="101">
        <v>2.8</v>
      </c>
      <c r="L102" s="102" t="s">
        <v>376</v>
      </c>
      <c r="M102" s="101">
        <v>105.5</v>
      </c>
      <c r="N102" s="108">
        <v>75000</v>
      </c>
      <c r="O102" s="108">
        <v>1200</v>
      </c>
      <c r="P102" s="97" t="s">
        <v>604</v>
      </c>
      <c r="Q102" s="110" t="s">
        <v>793</v>
      </c>
      <c r="R102" s="97" t="s">
        <v>520</v>
      </c>
      <c r="S102" s="97" t="s">
        <v>264</v>
      </c>
      <c r="T102" s="97" t="s">
        <v>4</v>
      </c>
      <c r="U102" s="97">
        <v>2013</v>
      </c>
      <c r="V102" s="97" t="s">
        <v>304</v>
      </c>
      <c r="W102" s="106">
        <v>28.3961230249623</v>
      </c>
      <c r="X102" s="106">
        <v>-80.615634070741507</v>
      </c>
      <c r="Y102" s="97">
        <v>2005</v>
      </c>
      <c r="Z102" s="107"/>
      <c r="AA102" s="21" t="s">
        <v>1064</v>
      </c>
      <c r="AB102" s="21" t="s">
        <v>1064</v>
      </c>
      <c r="AC102" s="21" t="s">
        <v>1064</v>
      </c>
      <c r="AD102" s="102" t="s">
        <v>1075</v>
      </c>
    </row>
    <row r="103" spans="1:30" x14ac:dyDescent="0.3">
      <c r="A103" s="97">
        <v>2468</v>
      </c>
      <c r="B103" s="97" t="s">
        <v>138</v>
      </c>
      <c r="C103" s="98" t="s">
        <v>520</v>
      </c>
      <c r="D103" s="153" t="s">
        <v>387</v>
      </c>
      <c r="E103" s="97" t="s">
        <v>281</v>
      </c>
      <c r="F103" s="97" t="s">
        <v>535</v>
      </c>
      <c r="G103" s="97" t="s">
        <v>670</v>
      </c>
      <c r="H103" s="97" t="s">
        <v>4</v>
      </c>
      <c r="I103" s="106">
        <v>2004</v>
      </c>
      <c r="J103" s="101">
        <v>0.1</v>
      </c>
      <c r="K103" s="101">
        <v>0.1</v>
      </c>
      <c r="L103" s="102" t="s">
        <v>376</v>
      </c>
      <c r="M103" s="101">
        <v>11.1</v>
      </c>
      <c r="N103" s="108">
        <v>15000</v>
      </c>
      <c r="O103" s="108">
        <v>1200</v>
      </c>
      <c r="P103" s="97" t="s">
        <v>553</v>
      </c>
      <c r="Q103" s="110" t="s">
        <v>912</v>
      </c>
      <c r="R103" s="97" t="s">
        <v>520</v>
      </c>
      <c r="S103" s="97" t="s">
        <v>264</v>
      </c>
      <c r="T103" s="97" t="s">
        <v>4</v>
      </c>
      <c r="U103" s="97">
        <v>2013</v>
      </c>
      <c r="V103" s="97" t="s">
        <v>304</v>
      </c>
      <c r="W103" s="106">
        <v>28.392499132907599</v>
      </c>
      <c r="X103" s="106">
        <v>-80.617712101443004</v>
      </c>
      <c r="Y103" s="97">
        <v>2003</v>
      </c>
      <c r="Z103" s="107"/>
      <c r="AA103" s="21" t="s">
        <v>1064</v>
      </c>
      <c r="AB103" s="21" t="s">
        <v>1064</v>
      </c>
      <c r="AC103" s="21" t="s">
        <v>1064</v>
      </c>
      <c r="AD103" s="102" t="s">
        <v>1075</v>
      </c>
    </row>
    <row r="104" spans="1:30" x14ac:dyDescent="0.3">
      <c r="A104" s="97">
        <v>2469</v>
      </c>
      <c r="B104" s="97" t="s">
        <v>138</v>
      </c>
      <c r="C104" s="97" t="s">
        <v>538</v>
      </c>
      <c r="D104" s="97" t="s">
        <v>388</v>
      </c>
      <c r="E104" s="97" t="s">
        <v>282</v>
      </c>
      <c r="F104" s="97" t="s">
        <v>536</v>
      </c>
      <c r="G104" s="97" t="s">
        <v>670</v>
      </c>
      <c r="H104" s="97" t="s">
        <v>4</v>
      </c>
      <c r="I104" s="106">
        <v>2005</v>
      </c>
      <c r="J104" s="101">
        <v>12.6</v>
      </c>
      <c r="K104" s="101">
        <v>13.6</v>
      </c>
      <c r="L104" s="102" t="s">
        <v>376</v>
      </c>
      <c r="M104" s="101">
        <v>213.4</v>
      </c>
      <c r="N104" s="108">
        <v>75000</v>
      </c>
      <c r="O104" s="108">
        <v>1200</v>
      </c>
      <c r="P104" s="97" t="s">
        <v>604</v>
      </c>
      <c r="Q104" s="110" t="s">
        <v>793</v>
      </c>
      <c r="R104" s="97" t="s">
        <v>520</v>
      </c>
      <c r="S104" s="97" t="s">
        <v>264</v>
      </c>
      <c r="T104" s="97" t="s">
        <v>4</v>
      </c>
      <c r="U104" s="97">
        <v>2013</v>
      </c>
      <c r="V104" s="97" t="s">
        <v>304</v>
      </c>
      <c r="W104" s="106">
        <v>28.3971961609979</v>
      </c>
      <c r="X104" s="106">
        <v>-80.601454869591095</v>
      </c>
      <c r="Y104" s="97">
        <v>2004</v>
      </c>
      <c r="Z104" s="107"/>
      <c r="AA104" s="21" t="s">
        <v>1064</v>
      </c>
      <c r="AB104" s="21" t="s">
        <v>1064</v>
      </c>
      <c r="AC104" s="21" t="s">
        <v>1064</v>
      </c>
      <c r="AD104" s="102" t="s">
        <v>1075</v>
      </c>
    </row>
    <row r="105" spans="1:30" x14ac:dyDescent="0.3">
      <c r="A105" s="97">
        <v>2470</v>
      </c>
      <c r="B105" s="97" t="s">
        <v>138</v>
      </c>
      <c r="C105" s="97" t="s">
        <v>539</v>
      </c>
      <c r="D105" s="97" t="s">
        <v>389</v>
      </c>
      <c r="E105" s="97" t="s">
        <v>480</v>
      </c>
      <c r="F105" s="97" t="s">
        <v>537</v>
      </c>
      <c r="G105" s="97" t="s">
        <v>669</v>
      </c>
      <c r="H105" s="97" t="s">
        <v>4</v>
      </c>
      <c r="I105" s="106">
        <v>2009</v>
      </c>
      <c r="J105" s="101">
        <v>222.8</v>
      </c>
      <c r="K105" s="101">
        <v>39.6</v>
      </c>
      <c r="L105" s="102" t="s">
        <v>376</v>
      </c>
      <c r="M105" s="101">
        <v>248.2</v>
      </c>
      <c r="N105" s="108">
        <v>443003</v>
      </c>
      <c r="O105" s="108">
        <v>3600</v>
      </c>
      <c r="P105" s="97" t="s">
        <v>599</v>
      </c>
      <c r="Q105" s="110" t="s">
        <v>794</v>
      </c>
      <c r="R105" s="105" t="s">
        <v>266</v>
      </c>
      <c r="S105" s="97" t="s">
        <v>264</v>
      </c>
      <c r="T105" s="97" t="s">
        <v>4</v>
      </c>
      <c r="U105" s="97">
        <v>2013</v>
      </c>
      <c r="V105" s="97" t="s">
        <v>304</v>
      </c>
      <c r="W105" s="106">
        <v>28.4007115390535</v>
      </c>
      <c r="X105" s="106">
        <v>-80.607057218162097</v>
      </c>
      <c r="Y105" s="97">
        <v>2008</v>
      </c>
      <c r="Z105" s="107"/>
      <c r="AA105" s="21" t="s">
        <v>1064</v>
      </c>
      <c r="AB105" s="21" t="s">
        <v>1064</v>
      </c>
      <c r="AC105" s="21" t="s">
        <v>1064</v>
      </c>
      <c r="AD105" s="102" t="s">
        <v>1075</v>
      </c>
    </row>
    <row r="106" spans="1:30" x14ac:dyDescent="0.3">
      <c r="A106" s="97">
        <v>2471</v>
      </c>
      <c r="B106" s="97" t="s">
        <v>138</v>
      </c>
      <c r="C106" s="98" t="s">
        <v>520</v>
      </c>
      <c r="D106" s="153" t="s">
        <v>390</v>
      </c>
      <c r="E106" s="97" t="s">
        <v>350</v>
      </c>
      <c r="F106" s="97" t="s">
        <v>481</v>
      </c>
      <c r="G106" s="97" t="s">
        <v>350</v>
      </c>
      <c r="H106" s="97" t="s">
        <v>4</v>
      </c>
      <c r="I106" s="100" t="s">
        <v>520</v>
      </c>
      <c r="J106" s="101" t="s">
        <v>361</v>
      </c>
      <c r="K106" s="101" t="s">
        <v>361</v>
      </c>
      <c r="L106" s="102" t="s">
        <v>376</v>
      </c>
      <c r="M106" s="101" t="s">
        <v>520</v>
      </c>
      <c r="N106" s="108">
        <v>12322</v>
      </c>
      <c r="O106" s="104" t="s">
        <v>520</v>
      </c>
      <c r="P106" s="97" t="s">
        <v>553</v>
      </c>
      <c r="Q106" s="110" t="s">
        <v>913</v>
      </c>
      <c r="R106" s="105" t="s">
        <v>520</v>
      </c>
      <c r="S106" s="97" t="s">
        <v>265</v>
      </c>
      <c r="T106" s="97" t="s">
        <v>2</v>
      </c>
      <c r="U106" s="97">
        <v>2013</v>
      </c>
      <c r="V106" s="97" t="s">
        <v>304</v>
      </c>
      <c r="W106" s="136" t="s">
        <v>520</v>
      </c>
      <c r="X106" s="136" t="s">
        <v>520</v>
      </c>
      <c r="Y106" s="97">
        <v>2002</v>
      </c>
      <c r="Z106" s="107"/>
      <c r="AA106" s="98" t="s">
        <v>1065</v>
      </c>
      <c r="AB106" s="21" t="s">
        <v>1065</v>
      </c>
      <c r="AC106" s="21" t="s">
        <v>1074</v>
      </c>
      <c r="AD106" s="102" t="s">
        <v>1071</v>
      </c>
    </row>
    <row r="107" spans="1:30" x14ac:dyDescent="0.3">
      <c r="A107" s="97">
        <v>2487</v>
      </c>
      <c r="B107" s="97" t="s">
        <v>138</v>
      </c>
      <c r="C107" s="98" t="s">
        <v>520</v>
      </c>
      <c r="D107" s="153" t="s">
        <v>391</v>
      </c>
      <c r="E107" s="97" t="s">
        <v>605</v>
      </c>
      <c r="F107" s="97" t="s">
        <v>482</v>
      </c>
      <c r="G107" s="99" t="s">
        <v>353</v>
      </c>
      <c r="H107" s="97" t="s">
        <v>4</v>
      </c>
      <c r="I107" s="100" t="s">
        <v>649</v>
      </c>
      <c r="J107" s="101" t="s">
        <v>361</v>
      </c>
      <c r="K107" s="101" t="s">
        <v>361</v>
      </c>
      <c r="L107" s="102" t="s">
        <v>376</v>
      </c>
      <c r="M107" s="101">
        <v>169.8</v>
      </c>
      <c r="N107" s="103" t="s">
        <v>598</v>
      </c>
      <c r="O107" s="104">
        <v>0</v>
      </c>
      <c r="P107" s="97" t="s">
        <v>549</v>
      </c>
      <c r="Q107" s="103" t="s">
        <v>598</v>
      </c>
      <c r="R107" s="105" t="s">
        <v>520</v>
      </c>
      <c r="S107" s="97" t="s">
        <v>264</v>
      </c>
      <c r="T107" s="97" t="s">
        <v>4</v>
      </c>
      <c r="U107" s="97">
        <v>2013</v>
      </c>
      <c r="V107" s="97" t="s">
        <v>304</v>
      </c>
      <c r="W107" s="106">
        <v>28.403493405344399</v>
      </c>
      <c r="X107" s="106">
        <v>-80.597409205138007</v>
      </c>
      <c r="Y107" s="137" t="s">
        <v>598</v>
      </c>
      <c r="Z107" s="107"/>
      <c r="AA107" s="21" t="s">
        <v>1064</v>
      </c>
      <c r="AB107" s="21" t="s">
        <v>1064</v>
      </c>
      <c r="AC107" s="21" t="s">
        <v>1064</v>
      </c>
      <c r="AD107" s="102" t="s">
        <v>1075</v>
      </c>
    </row>
    <row r="108" spans="1:30" x14ac:dyDescent="0.3">
      <c r="A108" s="97">
        <v>2473</v>
      </c>
      <c r="B108" s="97" t="s">
        <v>138</v>
      </c>
      <c r="C108" s="98" t="s">
        <v>520</v>
      </c>
      <c r="D108" s="153" t="s">
        <v>139</v>
      </c>
      <c r="E108" s="97" t="s">
        <v>1</v>
      </c>
      <c r="F108" s="97" t="s">
        <v>483</v>
      </c>
      <c r="G108" s="97" t="s">
        <v>1</v>
      </c>
      <c r="H108" s="97" t="s">
        <v>2</v>
      </c>
      <c r="I108" s="100" t="s">
        <v>520</v>
      </c>
      <c r="J108" s="101">
        <v>230.1</v>
      </c>
      <c r="K108" s="101">
        <v>54.6</v>
      </c>
      <c r="L108" s="102" t="s">
        <v>376</v>
      </c>
      <c r="M108" s="101" t="s">
        <v>520</v>
      </c>
      <c r="N108" s="108">
        <v>3100</v>
      </c>
      <c r="O108" s="108">
        <v>500</v>
      </c>
      <c r="P108" s="97" t="s">
        <v>553</v>
      </c>
      <c r="Q108" s="110" t="s">
        <v>914</v>
      </c>
      <c r="R108" s="105" t="s">
        <v>520</v>
      </c>
      <c r="S108" s="97" t="s">
        <v>265</v>
      </c>
      <c r="T108" s="97" t="s">
        <v>2</v>
      </c>
      <c r="U108" s="97">
        <v>2013</v>
      </c>
      <c r="V108" s="97" t="s">
        <v>304</v>
      </c>
      <c r="W108" s="100" t="s">
        <v>520</v>
      </c>
      <c r="X108" s="100" t="s">
        <v>520</v>
      </c>
      <c r="Y108" s="97">
        <v>2013</v>
      </c>
      <c r="Z108" s="107"/>
      <c r="AA108" s="98" t="s">
        <v>1065</v>
      </c>
      <c r="AB108" s="21" t="s">
        <v>1065</v>
      </c>
      <c r="AC108" s="21" t="s">
        <v>1073</v>
      </c>
      <c r="AD108" s="102" t="s">
        <v>1072</v>
      </c>
    </row>
    <row r="109" spans="1:30" x14ac:dyDescent="0.3">
      <c r="A109" s="97">
        <v>2610</v>
      </c>
      <c r="B109" s="97" t="s">
        <v>138</v>
      </c>
      <c r="C109" s="98" t="s">
        <v>520</v>
      </c>
      <c r="D109" s="153" t="s">
        <v>140</v>
      </c>
      <c r="E109" s="97" t="s">
        <v>459</v>
      </c>
      <c r="F109" s="97" t="s">
        <v>484</v>
      </c>
      <c r="G109" s="97" t="s">
        <v>351</v>
      </c>
      <c r="H109" s="97" t="s">
        <v>4</v>
      </c>
      <c r="I109" s="106">
        <v>2013</v>
      </c>
      <c r="J109" s="101">
        <v>59.3</v>
      </c>
      <c r="K109" s="101">
        <v>27.8</v>
      </c>
      <c r="L109" s="102" t="s">
        <v>376</v>
      </c>
      <c r="M109" s="101">
        <v>11.1</v>
      </c>
      <c r="N109" s="108">
        <v>193000</v>
      </c>
      <c r="O109" s="108">
        <v>5000</v>
      </c>
      <c r="P109" s="97" t="s">
        <v>553</v>
      </c>
      <c r="Q109" s="110" t="s">
        <v>915</v>
      </c>
      <c r="R109" s="105" t="s">
        <v>520</v>
      </c>
      <c r="S109" s="97" t="s">
        <v>264</v>
      </c>
      <c r="T109" s="97" t="s">
        <v>4</v>
      </c>
      <c r="U109" s="97">
        <v>2013</v>
      </c>
      <c r="V109" s="97" t="s">
        <v>304</v>
      </c>
      <c r="W109" s="106">
        <v>28.394373180350701</v>
      </c>
      <c r="X109" s="106">
        <v>-80.618285013495495</v>
      </c>
      <c r="Y109" s="97">
        <v>2012</v>
      </c>
      <c r="Z109" s="107"/>
      <c r="AA109" s="21" t="s">
        <v>1064</v>
      </c>
      <c r="AB109" s="21" t="s">
        <v>1064</v>
      </c>
      <c r="AC109" s="21" t="s">
        <v>1064</v>
      </c>
      <c r="AD109" s="102" t="s">
        <v>1075</v>
      </c>
    </row>
    <row r="110" spans="1:30" x14ac:dyDescent="0.3">
      <c r="A110" s="97">
        <v>2438</v>
      </c>
      <c r="B110" s="97" t="s">
        <v>138</v>
      </c>
      <c r="C110" s="98" t="s">
        <v>520</v>
      </c>
      <c r="D110" s="153" t="s">
        <v>141</v>
      </c>
      <c r="E110" s="97" t="s">
        <v>460</v>
      </c>
      <c r="F110" s="97" t="s">
        <v>485</v>
      </c>
      <c r="G110" s="97" t="s">
        <v>522</v>
      </c>
      <c r="H110" s="97" t="s">
        <v>4</v>
      </c>
      <c r="I110" s="106">
        <v>2013</v>
      </c>
      <c r="J110" s="101">
        <v>40.4</v>
      </c>
      <c r="K110" s="101">
        <v>10.6</v>
      </c>
      <c r="L110" s="102" t="s">
        <v>376</v>
      </c>
      <c r="M110" s="101">
        <v>5.3</v>
      </c>
      <c r="N110" s="108">
        <v>38000</v>
      </c>
      <c r="O110" s="108">
        <v>2500</v>
      </c>
      <c r="P110" s="97" t="s">
        <v>553</v>
      </c>
      <c r="Q110" s="110" t="s">
        <v>916</v>
      </c>
      <c r="R110" s="105" t="s">
        <v>520</v>
      </c>
      <c r="S110" s="97" t="s">
        <v>264</v>
      </c>
      <c r="T110" s="97" t="s">
        <v>4</v>
      </c>
      <c r="U110" s="97">
        <v>2013</v>
      </c>
      <c r="V110" s="97" t="s">
        <v>304</v>
      </c>
      <c r="W110" s="106">
        <v>28.3976035575018</v>
      </c>
      <c r="X110" s="106">
        <v>-80.618838822813302</v>
      </c>
      <c r="Y110" s="97">
        <v>2012</v>
      </c>
      <c r="Z110" s="107"/>
      <c r="AA110" s="21" t="s">
        <v>1064</v>
      </c>
      <c r="AB110" s="21" t="s">
        <v>1064</v>
      </c>
      <c r="AC110" s="21" t="s">
        <v>1064</v>
      </c>
      <c r="AD110" s="102" t="s">
        <v>1075</v>
      </c>
    </row>
    <row r="111" spans="1:30" x14ac:dyDescent="0.3">
      <c r="A111" s="97">
        <v>2437</v>
      </c>
      <c r="B111" s="97" t="s">
        <v>138</v>
      </c>
      <c r="C111" s="98" t="s">
        <v>520</v>
      </c>
      <c r="D111" s="153" t="s">
        <v>142</v>
      </c>
      <c r="E111" s="97" t="s">
        <v>461</v>
      </c>
      <c r="F111" s="97" t="s">
        <v>485</v>
      </c>
      <c r="G111" s="97" t="s">
        <v>522</v>
      </c>
      <c r="H111" s="97" t="s">
        <v>4</v>
      </c>
      <c r="I111" s="106">
        <v>2016</v>
      </c>
      <c r="J111" s="101">
        <v>102</v>
      </c>
      <c r="K111" s="101">
        <v>24</v>
      </c>
      <c r="L111" s="102" t="s">
        <v>376</v>
      </c>
      <c r="M111" s="101">
        <v>37</v>
      </c>
      <c r="N111" s="108">
        <v>436000</v>
      </c>
      <c r="O111" s="108">
        <v>5000</v>
      </c>
      <c r="P111" s="97" t="s">
        <v>553</v>
      </c>
      <c r="Q111" s="110" t="s">
        <v>917</v>
      </c>
      <c r="R111" s="97" t="s">
        <v>520</v>
      </c>
      <c r="S111" s="97" t="s">
        <v>264</v>
      </c>
      <c r="T111" s="97" t="s">
        <v>4</v>
      </c>
      <c r="U111" s="97">
        <v>2013</v>
      </c>
      <c r="V111" s="97" t="s">
        <v>304</v>
      </c>
      <c r="W111" s="106">
        <v>28.3962598045843</v>
      </c>
      <c r="X111" s="106">
        <v>-80.604848074011997</v>
      </c>
      <c r="Y111" s="97">
        <v>2014</v>
      </c>
      <c r="Z111" s="107"/>
      <c r="AA111" s="21" t="s">
        <v>1064</v>
      </c>
      <c r="AB111" s="21" t="s">
        <v>1064</v>
      </c>
      <c r="AC111" s="21" t="s">
        <v>1064</v>
      </c>
      <c r="AD111" s="102" t="s">
        <v>1075</v>
      </c>
    </row>
    <row r="112" spans="1:30" x14ac:dyDescent="0.3">
      <c r="A112" s="97">
        <v>2436</v>
      </c>
      <c r="B112" s="97" t="s">
        <v>138</v>
      </c>
      <c r="C112" s="97" t="s">
        <v>539</v>
      </c>
      <c r="D112" s="97" t="s">
        <v>144</v>
      </c>
      <c r="E112" s="97" t="s">
        <v>462</v>
      </c>
      <c r="F112" s="97" t="s">
        <v>956</v>
      </c>
      <c r="G112" s="97" t="s">
        <v>523</v>
      </c>
      <c r="H112" s="97" t="s">
        <v>4</v>
      </c>
      <c r="I112" s="106">
        <v>2017</v>
      </c>
      <c r="J112" s="101">
        <v>324.11</v>
      </c>
      <c r="K112" s="101">
        <v>76.430000000000007</v>
      </c>
      <c r="L112" s="102" t="s">
        <v>376</v>
      </c>
      <c r="M112" s="101">
        <v>30.3</v>
      </c>
      <c r="N112" s="108">
        <v>1820500</v>
      </c>
      <c r="O112" s="108">
        <v>3500</v>
      </c>
      <c r="P112" s="97" t="s">
        <v>599</v>
      </c>
      <c r="Q112" s="110" t="s">
        <v>795</v>
      </c>
      <c r="R112" s="97" t="s">
        <v>606</v>
      </c>
      <c r="S112" s="97" t="s">
        <v>264</v>
      </c>
      <c r="T112" s="97" t="s">
        <v>4</v>
      </c>
      <c r="U112" s="97">
        <v>2013</v>
      </c>
      <c r="V112" s="97" t="s">
        <v>304</v>
      </c>
      <c r="W112" s="106">
        <v>28.387071090410998</v>
      </c>
      <c r="X112" s="106">
        <v>-80.601781004748702</v>
      </c>
      <c r="Y112" s="97">
        <v>2015</v>
      </c>
      <c r="Z112" s="107"/>
      <c r="AA112" s="21" t="s">
        <v>1064</v>
      </c>
      <c r="AB112" s="21" t="s">
        <v>1064</v>
      </c>
      <c r="AC112" s="21" t="s">
        <v>1064</v>
      </c>
      <c r="AD112" s="102" t="s">
        <v>1075</v>
      </c>
    </row>
    <row r="113" spans="1:30" x14ac:dyDescent="0.3">
      <c r="A113" s="97">
        <v>2405</v>
      </c>
      <c r="B113" s="97" t="s">
        <v>138</v>
      </c>
      <c r="C113" s="98" t="s">
        <v>361</v>
      </c>
      <c r="D113" s="153" t="s">
        <v>146</v>
      </c>
      <c r="E113" s="97" t="s">
        <v>463</v>
      </c>
      <c r="F113" s="97" t="s">
        <v>484</v>
      </c>
      <c r="G113" s="97" t="s">
        <v>351</v>
      </c>
      <c r="H113" s="97" t="s">
        <v>530</v>
      </c>
      <c r="I113" s="106">
        <v>2022</v>
      </c>
      <c r="J113" s="101">
        <v>1420.2</v>
      </c>
      <c r="K113" s="101">
        <v>548.70000000000005</v>
      </c>
      <c r="L113" s="102" t="s">
        <v>376</v>
      </c>
      <c r="M113" s="101">
        <v>333.98</v>
      </c>
      <c r="N113" s="108">
        <v>3130200</v>
      </c>
      <c r="O113" s="108">
        <v>10000</v>
      </c>
      <c r="P113" s="98" t="s">
        <v>361</v>
      </c>
      <c r="Q113" s="103" t="s">
        <v>361</v>
      </c>
      <c r="R113" s="97" t="s">
        <v>361</v>
      </c>
      <c r="S113" s="97" t="s">
        <v>264</v>
      </c>
      <c r="T113" s="97" t="s">
        <v>302</v>
      </c>
      <c r="U113" s="97">
        <v>2013</v>
      </c>
      <c r="V113" s="97" t="s">
        <v>304</v>
      </c>
      <c r="W113" s="106">
        <v>28.396375302078599</v>
      </c>
      <c r="X113" s="106">
        <v>-80.602895940119197</v>
      </c>
      <c r="Y113" s="97">
        <v>2021</v>
      </c>
      <c r="Z113" s="107">
        <v>3</v>
      </c>
      <c r="AA113" s="21" t="s">
        <v>1064</v>
      </c>
      <c r="AB113" s="21" t="s">
        <v>1064</v>
      </c>
      <c r="AC113" s="21" t="s">
        <v>1064</v>
      </c>
      <c r="AD113" s="102" t="s">
        <v>1075</v>
      </c>
    </row>
    <row r="114" spans="1:30" x14ac:dyDescent="0.3">
      <c r="A114" s="97">
        <v>2435</v>
      </c>
      <c r="B114" s="97" t="s">
        <v>138</v>
      </c>
      <c r="C114" s="98" t="s">
        <v>520</v>
      </c>
      <c r="D114" s="153" t="s">
        <v>147</v>
      </c>
      <c r="E114" s="97" t="s">
        <v>148</v>
      </c>
      <c r="F114" s="97" t="s">
        <v>486</v>
      </c>
      <c r="G114" s="97" t="s">
        <v>71</v>
      </c>
      <c r="H114" s="97" t="s">
        <v>2</v>
      </c>
      <c r="I114" s="100" t="s">
        <v>520</v>
      </c>
      <c r="J114" s="101">
        <v>1</v>
      </c>
      <c r="K114" s="101">
        <v>0</v>
      </c>
      <c r="L114" s="102" t="s">
        <v>376</v>
      </c>
      <c r="M114" s="101" t="s">
        <v>520</v>
      </c>
      <c r="N114" s="108">
        <v>4500</v>
      </c>
      <c r="O114" s="108">
        <v>1500</v>
      </c>
      <c r="P114" s="97" t="s">
        <v>553</v>
      </c>
      <c r="Q114" s="110" t="s">
        <v>918</v>
      </c>
      <c r="R114" s="97" t="s">
        <v>520</v>
      </c>
      <c r="S114" s="97" t="s">
        <v>265</v>
      </c>
      <c r="T114" s="97" t="s">
        <v>2</v>
      </c>
      <c r="U114" s="97">
        <v>2014</v>
      </c>
      <c r="V114" s="97" t="s">
        <v>304</v>
      </c>
      <c r="W114" s="100" t="s">
        <v>520</v>
      </c>
      <c r="X114" s="100" t="s">
        <v>520</v>
      </c>
      <c r="Y114" s="97">
        <v>2014</v>
      </c>
      <c r="Z114" s="107"/>
      <c r="AA114" s="98" t="s">
        <v>1065</v>
      </c>
      <c r="AB114" s="21" t="s">
        <v>1065</v>
      </c>
      <c r="AC114" s="21" t="s">
        <v>1074</v>
      </c>
      <c r="AD114" s="102" t="s">
        <v>1071</v>
      </c>
    </row>
    <row r="115" spans="1:30" x14ac:dyDescent="0.3">
      <c r="A115" s="97">
        <v>2433</v>
      </c>
      <c r="B115" s="97" t="s">
        <v>138</v>
      </c>
      <c r="C115" s="97" t="s">
        <v>520</v>
      </c>
      <c r="D115" s="97" t="s">
        <v>149</v>
      </c>
      <c r="E115" s="97" t="s">
        <v>150</v>
      </c>
      <c r="F115" s="97" t="s">
        <v>487</v>
      </c>
      <c r="G115" s="97" t="s">
        <v>580</v>
      </c>
      <c r="H115" s="97" t="s">
        <v>548</v>
      </c>
      <c r="I115" s="106" t="s">
        <v>520</v>
      </c>
      <c r="J115" s="116" t="s">
        <v>520</v>
      </c>
      <c r="K115" s="116" t="s">
        <v>520</v>
      </c>
      <c r="L115" s="106" t="s">
        <v>520</v>
      </c>
      <c r="M115" s="116" t="s">
        <v>520</v>
      </c>
      <c r="N115" s="108" t="s">
        <v>520</v>
      </c>
      <c r="O115" s="108" t="s">
        <v>520</v>
      </c>
      <c r="P115" s="97" t="s">
        <v>520</v>
      </c>
      <c r="Q115" s="110" t="s">
        <v>520</v>
      </c>
      <c r="R115" s="97" t="s">
        <v>520</v>
      </c>
      <c r="S115" s="97" t="s">
        <v>265</v>
      </c>
      <c r="T115" s="97" t="s">
        <v>548</v>
      </c>
      <c r="U115" s="97">
        <v>2014</v>
      </c>
      <c r="V115" s="97" t="s">
        <v>304</v>
      </c>
      <c r="W115" s="106" t="s">
        <v>520</v>
      </c>
      <c r="X115" s="106" t="s">
        <v>520</v>
      </c>
      <c r="Y115" s="97" t="s">
        <v>520</v>
      </c>
      <c r="Z115" s="117"/>
      <c r="AA115" s="97" t="s">
        <v>548</v>
      </c>
      <c r="AB115" s="97" t="s">
        <v>1065</v>
      </c>
      <c r="AC115" s="97" t="s">
        <v>520</v>
      </c>
      <c r="AD115" s="97" t="s">
        <v>520</v>
      </c>
    </row>
    <row r="116" spans="1:30" x14ac:dyDescent="0.3">
      <c r="A116" s="97">
        <v>2434</v>
      </c>
      <c r="B116" s="97" t="s">
        <v>138</v>
      </c>
      <c r="C116" s="98" t="s">
        <v>520</v>
      </c>
      <c r="D116" s="153" t="s">
        <v>151</v>
      </c>
      <c r="E116" s="97" t="s">
        <v>283</v>
      </c>
      <c r="F116" s="97" t="s">
        <v>765</v>
      </c>
      <c r="G116" s="97" t="s">
        <v>523</v>
      </c>
      <c r="H116" s="97" t="s">
        <v>4</v>
      </c>
      <c r="I116" s="106">
        <v>2014</v>
      </c>
      <c r="J116" s="116" t="s">
        <v>361</v>
      </c>
      <c r="K116" s="116" t="s">
        <v>361</v>
      </c>
      <c r="L116" s="97" t="s">
        <v>376</v>
      </c>
      <c r="M116" s="116">
        <v>4500</v>
      </c>
      <c r="N116" s="103">
        <v>0</v>
      </c>
      <c r="O116" s="104" t="s">
        <v>520</v>
      </c>
      <c r="P116" s="97" t="s">
        <v>553</v>
      </c>
      <c r="Q116" s="110" t="s">
        <v>918</v>
      </c>
      <c r="R116" s="97" t="s">
        <v>520</v>
      </c>
      <c r="S116" s="97" t="s">
        <v>264</v>
      </c>
      <c r="T116" s="97" t="s">
        <v>548</v>
      </c>
      <c r="U116" s="97">
        <v>2014</v>
      </c>
      <c r="V116" s="97" t="s">
        <v>304</v>
      </c>
      <c r="W116" s="100" t="s">
        <v>520</v>
      </c>
      <c r="X116" s="100" t="s">
        <v>520</v>
      </c>
      <c r="Y116" s="98" t="s">
        <v>520</v>
      </c>
      <c r="Z116" s="107"/>
      <c r="AA116" s="98" t="s">
        <v>1065</v>
      </c>
      <c r="AB116" s="21" t="s">
        <v>1064</v>
      </c>
      <c r="AC116" s="21" t="s">
        <v>1081</v>
      </c>
      <c r="AD116" s="21" t="s">
        <v>520</v>
      </c>
    </row>
    <row r="117" spans="1:30" x14ac:dyDescent="0.3">
      <c r="A117" s="97">
        <v>2472</v>
      </c>
      <c r="B117" s="97" t="s">
        <v>138</v>
      </c>
      <c r="C117" s="97" t="s">
        <v>538</v>
      </c>
      <c r="D117" s="97" t="s">
        <v>152</v>
      </c>
      <c r="E117" s="97" t="s">
        <v>465</v>
      </c>
      <c r="F117" s="97" t="s">
        <v>464</v>
      </c>
      <c r="G117" s="97" t="s">
        <v>488</v>
      </c>
      <c r="H117" s="97" t="s">
        <v>4</v>
      </c>
      <c r="I117" s="106">
        <v>2016</v>
      </c>
      <c r="J117" s="128">
        <v>2151</v>
      </c>
      <c r="K117" s="128">
        <v>158</v>
      </c>
      <c r="L117" s="102" t="s">
        <v>376</v>
      </c>
      <c r="M117" s="128" t="s">
        <v>520</v>
      </c>
      <c r="N117" s="108">
        <v>3030000</v>
      </c>
      <c r="O117" s="108">
        <v>10000</v>
      </c>
      <c r="P117" s="97" t="s">
        <v>604</v>
      </c>
      <c r="Q117" s="110" t="s">
        <v>796</v>
      </c>
      <c r="R117" s="97" t="s">
        <v>267</v>
      </c>
      <c r="S117" s="97" t="s">
        <v>264</v>
      </c>
      <c r="T117" s="97" t="s">
        <v>4</v>
      </c>
      <c r="U117" s="97">
        <v>2014</v>
      </c>
      <c r="V117" s="97" t="s">
        <v>304</v>
      </c>
      <c r="W117" s="106">
        <v>28.392468692923199</v>
      </c>
      <c r="X117" s="106">
        <v>-80.617801922165597</v>
      </c>
      <c r="Y117" s="97">
        <v>2014</v>
      </c>
      <c r="Z117" s="107"/>
      <c r="AA117" s="97" t="s">
        <v>1065</v>
      </c>
      <c r="AB117" s="97" t="s">
        <v>1065</v>
      </c>
      <c r="AC117" s="97" t="s">
        <v>1064</v>
      </c>
      <c r="AD117" s="87" t="s">
        <v>1077</v>
      </c>
    </row>
    <row r="118" spans="1:30" x14ac:dyDescent="0.3">
      <c r="A118" s="97">
        <v>2444</v>
      </c>
      <c r="B118" s="97" t="s">
        <v>138</v>
      </c>
      <c r="C118" s="97" t="s">
        <v>889</v>
      </c>
      <c r="D118" s="97" t="s">
        <v>153</v>
      </c>
      <c r="E118" s="97" t="s">
        <v>540</v>
      </c>
      <c r="F118" s="97" t="s">
        <v>542</v>
      </c>
      <c r="G118" s="97" t="s">
        <v>669</v>
      </c>
      <c r="H118" s="97" t="s">
        <v>4</v>
      </c>
      <c r="I118" s="106">
        <v>2017</v>
      </c>
      <c r="J118" s="101">
        <v>1221</v>
      </c>
      <c r="K118" s="101">
        <v>207</v>
      </c>
      <c r="L118" s="102" t="s">
        <v>376</v>
      </c>
      <c r="M118" s="101">
        <v>213</v>
      </c>
      <c r="N118" s="108">
        <v>43700</v>
      </c>
      <c r="O118" s="108">
        <v>1200</v>
      </c>
      <c r="P118" s="97" t="s">
        <v>607</v>
      </c>
      <c r="Q118" s="110" t="s">
        <v>1031</v>
      </c>
      <c r="R118" s="97" t="s">
        <v>550</v>
      </c>
      <c r="S118" s="97" t="s">
        <v>264</v>
      </c>
      <c r="T118" s="97" t="s">
        <v>145</v>
      </c>
      <c r="U118" s="97">
        <v>2014</v>
      </c>
      <c r="V118" s="97" t="s">
        <v>304</v>
      </c>
      <c r="W118" s="106">
        <v>28.396122999999999</v>
      </c>
      <c r="X118" s="106">
        <v>-80.608024999999998</v>
      </c>
      <c r="Y118" s="97">
        <v>2017</v>
      </c>
      <c r="Z118" s="107"/>
      <c r="AA118" s="21" t="s">
        <v>1064</v>
      </c>
      <c r="AB118" s="21" t="s">
        <v>1064</v>
      </c>
      <c r="AC118" s="21" t="s">
        <v>1064</v>
      </c>
      <c r="AD118" s="102" t="s">
        <v>1075</v>
      </c>
    </row>
    <row r="119" spans="1:30" x14ac:dyDescent="0.3">
      <c r="A119" s="97">
        <v>2446</v>
      </c>
      <c r="B119" s="97" t="s">
        <v>138</v>
      </c>
      <c r="C119" s="97" t="s">
        <v>890</v>
      </c>
      <c r="D119" s="97" t="s">
        <v>154</v>
      </c>
      <c r="E119" s="97" t="s">
        <v>155</v>
      </c>
      <c r="F119" s="97" t="s">
        <v>489</v>
      </c>
      <c r="G119" s="97" t="s">
        <v>490</v>
      </c>
      <c r="H119" s="97" t="s">
        <v>548</v>
      </c>
      <c r="I119" s="106">
        <v>2021</v>
      </c>
      <c r="J119" s="116" t="s">
        <v>520</v>
      </c>
      <c r="K119" s="116" t="s">
        <v>520</v>
      </c>
      <c r="L119" s="106" t="s">
        <v>520</v>
      </c>
      <c r="M119" s="116" t="s">
        <v>520</v>
      </c>
      <c r="N119" s="108">
        <v>28000</v>
      </c>
      <c r="O119" s="108">
        <v>500</v>
      </c>
      <c r="P119" s="97" t="s">
        <v>608</v>
      </c>
      <c r="Q119" s="122" t="s">
        <v>520</v>
      </c>
      <c r="R119" s="97" t="s">
        <v>520</v>
      </c>
      <c r="S119" s="97" t="s">
        <v>264</v>
      </c>
      <c r="T119" s="97" t="s">
        <v>548</v>
      </c>
      <c r="U119" s="97">
        <v>2015</v>
      </c>
      <c r="V119" s="97" t="s">
        <v>304</v>
      </c>
      <c r="W119" s="106" t="s">
        <v>520</v>
      </c>
      <c r="X119" s="106" t="s">
        <v>520</v>
      </c>
      <c r="Y119" s="97">
        <v>2019</v>
      </c>
      <c r="Z119" s="107"/>
      <c r="AA119" s="97" t="s">
        <v>548</v>
      </c>
      <c r="AB119" s="97" t="s">
        <v>520</v>
      </c>
      <c r="AC119" s="97" t="s">
        <v>520</v>
      </c>
      <c r="AD119" s="97" t="s">
        <v>520</v>
      </c>
    </row>
    <row r="120" spans="1:30" x14ac:dyDescent="0.3">
      <c r="A120" s="97">
        <v>2486</v>
      </c>
      <c r="B120" s="97" t="s">
        <v>138</v>
      </c>
      <c r="C120" s="97" t="s">
        <v>890</v>
      </c>
      <c r="D120" s="97" t="s">
        <v>284</v>
      </c>
      <c r="E120" s="97" t="s">
        <v>294</v>
      </c>
      <c r="F120" s="97" t="s">
        <v>491</v>
      </c>
      <c r="G120" s="97" t="s">
        <v>490</v>
      </c>
      <c r="H120" s="97" t="s">
        <v>548</v>
      </c>
      <c r="I120" s="106">
        <v>2021</v>
      </c>
      <c r="J120" s="116" t="s">
        <v>520</v>
      </c>
      <c r="K120" s="116" t="s">
        <v>520</v>
      </c>
      <c r="L120" s="106" t="s">
        <v>520</v>
      </c>
      <c r="M120" s="116" t="s">
        <v>520</v>
      </c>
      <c r="N120" s="110">
        <v>85000</v>
      </c>
      <c r="O120" s="110">
        <v>1000</v>
      </c>
      <c r="P120" s="97" t="s">
        <v>608</v>
      </c>
      <c r="Q120" s="122" t="s">
        <v>520</v>
      </c>
      <c r="R120" s="122" t="s">
        <v>520</v>
      </c>
      <c r="S120" s="97" t="s">
        <v>264</v>
      </c>
      <c r="T120" s="97" t="s">
        <v>548</v>
      </c>
      <c r="U120" s="97">
        <v>2016</v>
      </c>
      <c r="V120" s="97" t="s">
        <v>304</v>
      </c>
      <c r="W120" s="106" t="s">
        <v>520</v>
      </c>
      <c r="X120" s="106" t="s">
        <v>520</v>
      </c>
      <c r="Y120" s="97">
        <v>2018</v>
      </c>
      <c r="Z120" s="107"/>
      <c r="AA120" s="97" t="s">
        <v>548</v>
      </c>
      <c r="AB120" s="97" t="s">
        <v>520</v>
      </c>
      <c r="AC120" s="97" t="s">
        <v>520</v>
      </c>
      <c r="AD120" s="97" t="s">
        <v>520</v>
      </c>
    </row>
    <row r="121" spans="1:30" x14ac:dyDescent="0.3">
      <c r="A121" s="97">
        <v>2485</v>
      </c>
      <c r="B121" s="97" t="s">
        <v>138</v>
      </c>
      <c r="C121" s="97" t="s">
        <v>520</v>
      </c>
      <c r="D121" s="97" t="s">
        <v>285</v>
      </c>
      <c r="E121" s="97" t="s">
        <v>295</v>
      </c>
      <c r="F121" s="97" t="s">
        <v>543</v>
      </c>
      <c r="G121" s="97" t="s">
        <v>490</v>
      </c>
      <c r="H121" s="97" t="s">
        <v>548</v>
      </c>
      <c r="I121" s="106" t="s">
        <v>520</v>
      </c>
      <c r="J121" s="116" t="s">
        <v>520</v>
      </c>
      <c r="K121" s="116" t="s">
        <v>520</v>
      </c>
      <c r="L121" s="106" t="s">
        <v>520</v>
      </c>
      <c r="M121" s="116" t="s">
        <v>520</v>
      </c>
      <c r="N121" s="110" t="s">
        <v>520</v>
      </c>
      <c r="O121" s="110" t="s">
        <v>520</v>
      </c>
      <c r="P121" s="97" t="s">
        <v>520</v>
      </c>
      <c r="Q121" s="110" t="s">
        <v>520</v>
      </c>
      <c r="R121" s="122" t="s">
        <v>520</v>
      </c>
      <c r="S121" s="97" t="s">
        <v>264</v>
      </c>
      <c r="T121" s="97" t="s">
        <v>548</v>
      </c>
      <c r="U121" s="97">
        <v>2016</v>
      </c>
      <c r="V121" s="97" t="s">
        <v>304</v>
      </c>
      <c r="W121" s="106" t="s">
        <v>520</v>
      </c>
      <c r="X121" s="106" t="s">
        <v>520</v>
      </c>
      <c r="Y121" s="97" t="s">
        <v>520</v>
      </c>
      <c r="Z121" s="117"/>
      <c r="AA121" s="97" t="s">
        <v>548</v>
      </c>
      <c r="AB121" s="97" t="s">
        <v>520</v>
      </c>
      <c r="AC121" s="97" t="s">
        <v>520</v>
      </c>
      <c r="AD121" s="97" t="s">
        <v>520</v>
      </c>
    </row>
    <row r="122" spans="1:30" x14ac:dyDescent="0.3">
      <c r="A122" s="97">
        <v>2484</v>
      </c>
      <c r="B122" s="97" t="s">
        <v>138</v>
      </c>
      <c r="C122" s="97" t="s">
        <v>890</v>
      </c>
      <c r="D122" s="97" t="s">
        <v>286</v>
      </c>
      <c r="E122" s="97" t="s">
        <v>541</v>
      </c>
      <c r="F122" s="97" t="s">
        <v>543</v>
      </c>
      <c r="G122" s="97" t="s">
        <v>490</v>
      </c>
      <c r="H122" s="97" t="s">
        <v>548</v>
      </c>
      <c r="I122" s="106">
        <v>2021</v>
      </c>
      <c r="J122" s="116" t="s">
        <v>520</v>
      </c>
      <c r="K122" s="116" t="s">
        <v>520</v>
      </c>
      <c r="L122" s="106" t="s">
        <v>520</v>
      </c>
      <c r="M122" s="116" t="s">
        <v>520</v>
      </c>
      <c r="N122" s="110">
        <v>20340</v>
      </c>
      <c r="O122" s="110">
        <v>1000</v>
      </c>
      <c r="P122" s="97" t="s">
        <v>608</v>
      </c>
      <c r="Q122" s="122" t="s">
        <v>520</v>
      </c>
      <c r="R122" s="122" t="s">
        <v>520</v>
      </c>
      <c r="S122" s="97" t="s">
        <v>264</v>
      </c>
      <c r="T122" s="97" t="s">
        <v>548</v>
      </c>
      <c r="U122" s="97">
        <v>2016</v>
      </c>
      <c r="V122" s="97" t="s">
        <v>304</v>
      </c>
      <c r="W122" s="106" t="s">
        <v>520</v>
      </c>
      <c r="X122" s="106" t="s">
        <v>520</v>
      </c>
      <c r="Y122" s="97">
        <v>2018</v>
      </c>
      <c r="Z122" s="107"/>
      <c r="AA122" s="97" t="s">
        <v>548</v>
      </c>
      <c r="AB122" s="97" t="s">
        <v>520</v>
      </c>
      <c r="AC122" s="97" t="s">
        <v>520</v>
      </c>
      <c r="AD122" s="97" t="s">
        <v>520</v>
      </c>
    </row>
    <row r="123" spans="1:30" x14ac:dyDescent="0.3">
      <c r="A123" s="97">
        <v>2483</v>
      </c>
      <c r="B123" s="97" t="s">
        <v>138</v>
      </c>
      <c r="C123" s="97" t="s">
        <v>890</v>
      </c>
      <c r="D123" s="97" t="s">
        <v>287</v>
      </c>
      <c r="E123" s="97" t="s">
        <v>296</v>
      </c>
      <c r="F123" s="97" t="s">
        <v>543</v>
      </c>
      <c r="G123" s="97" t="s">
        <v>490</v>
      </c>
      <c r="H123" s="97" t="s">
        <v>548</v>
      </c>
      <c r="I123" s="106" t="s">
        <v>520</v>
      </c>
      <c r="J123" s="116" t="s">
        <v>520</v>
      </c>
      <c r="K123" s="116" t="s">
        <v>520</v>
      </c>
      <c r="L123" s="106" t="s">
        <v>520</v>
      </c>
      <c r="M123" s="106" t="s">
        <v>520</v>
      </c>
      <c r="N123" s="110" t="s">
        <v>520</v>
      </c>
      <c r="O123" s="110" t="s">
        <v>520</v>
      </c>
      <c r="P123" s="97" t="s">
        <v>520</v>
      </c>
      <c r="Q123" s="110" t="s">
        <v>520</v>
      </c>
      <c r="R123" s="122" t="s">
        <v>520</v>
      </c>
      <c r="S123" s="97" t="s">
        <v>264</v>
      </c>
      <c r="T123" s="97" t="s">
        <v>548</v>
      </c>
      <c r="U123" s="97">
        <v>2016</v>
      </c>
      <c r="V123" s="97" t="s">
        <v>304</v>
      </c>
      <c r="W123" s="106" t="s">
        <v>520</v>
      </c>
      <c r="X123" s="106" t="s">
        <v>520</v>
      </c>
      <c r="Y123" s="97">
        <v>2018</v>
      </c>
      <c r="Z123" s="117"/>
      <c r="AA123" s="97" t="s">
        <v>548</v>
      </c>
      <c r="AB123" s="97" t="s">
        <v>520</v>
      </c>
      <c r="AC123" s="97" t="s">
        <v>520</v>
      </c>
      <c r="AD123" s="97" t="s">
        <v>520</v>
      </c>
    </row>
    <row r="124" spans="1:30" x14ac:dyDescent="0.3">
      <c r="A124" s="97">
        <v>2482</v>
      </c>
      <c r="B124" s="97" t="s">
        <v>138</v>
      </c>
      <c r="C124" s="97" t="s">
        <v>448</v>
      </c>
      <c r="D124" s="97" t="s">
        <v>288</v>
      </c>
      <c r="E124" s="97" t="s">
        <v>297</v>
      </c>
      <c r="F124" s="97" t="s">
        <v>544</v>
      </c>
      <c r="G124" s="97" t="s">
        <v>351</v>
      </c>
      <c r="H124" s="97" t="s">
        <v>530</v>
      </c>
      <c r="I124" s="106">
        <v>2022</v>
      </c>
      <c r="J124" s="101">
        <v>600.79999999999995</v>
      </c>
      <c r="K124" s="101">
        <v>283.2</v>
      </c>
      <c r="L124" s="102" t="s">
        <v>376</v>
      </c>
      <c r="M124" s="101">
        <v>168.14</v>
      </c>
      <c r="N124" s="110">
        <v>708450</v>
      </c>
      <c r="O124" s="110">
        <v>2500</v>
      </c>
      <c r="P124" s="97" t="s">
        <v>448</v>
      </c>
      <c r="Q124" s="110" t="s">
        <v>919</v>
      </c>
      <c r="R124" s="122" t="s">
        <v>520</v>
      </c>
      <c r="S124" s="97" t="s">
        <v>264</v>
      </c>
      <c r="T124" s="97" t="s">
        <v>302</v>
      </c>
      <c r="U124" s="97">
        <v>2016</v>
      </c>
      <c r="V124" s="97" t="s">
        <v>304</v>
      </c>
      <c r="W124" s="106">
        <v>28.388860537447901</v>
      </c>
      <c r="X124" s="106">
        <v>-80.601234441154702</v>
      </c>
      <c r="Y124" s="97">
        <v>2021</v>
      </c>
      <c r="Z124" s="107"/>
      <c r="AA124" s="21" t="s">
        <v>1064</v>
      </c>
      <c r="AB124" s="21" t="s">
        <v>1064</v>
      </c>
      <c r="AC124" s="21" t="s">
        <v>1064</v>
      </c>
      <c r="AD124" s="102" t="s">
        <v>1075</v>
      </c>
    </row>
    <row r="125" spans="1:30" x14ac:dyDescent="0.3">
      <c r="A125" s="97">
        <v>2481</v>
      </c>
      <c r="B125" s="97" t="s">
        <v>138</v>
      </c>
      <c r="C125" s="97" t="s">
        <v>890</v>
      </c>
      <c r="D125" s="97" t="s">
        <v>289</v>
      </c>
      <c r="E125" s="97" t="s">
        <v>298</v>
      </c>
      <c r="F125" s="97" t="s">
        <v>545</v>
      </c>
      <c r="G125" s="97" t="s">
        <v>490</v>
      </c>
      <c r="H125" s="97" t="s">
        <v>548</v>
      </c>
      <c r="I125" s="106">
        <v>2021</v>
      </c>
      <c r="J125" s="116" t="s">
        <v>520</v>
      </c>
      <c r="K125" s="116" t="s">
        <v>520</v>
      </c>
      <c r="L125" s="106" t="s">
        <v>520</v>
      </c>
      <c r="M125" s="116" t="s">
        <v>520</v>
      </c>
      <c r="N125" s="110">
        <v>7800</v>
      </c>
      <c r="O125" s="110">
        <v>1000</v>
      </c>
      <c r="P125" s="97" t="s">
        <v>608</v>
      </c>
      <c r="Q125" s="110" t="s">
        <v>520</v>
      </c>
      <c r="R125" s="122" t="s">
        <v>520</v>
      </c>
      <c r="S125" s="97" t="s">
        <v>264</v>
      </c>
      <c r="T125" s="97" t="s">
        <v>548</v>
      </c>
      <c r="U125" s="97">
        <v>2016</v>
      </c>
      <c r="V125" s="97" t="s">
        <v>304</v>
      </c>
      <c r="W125" s="110" t="s">
        <v>520</v>
      </c>
      <c r="X125" s="110" t="s">
        <v>520</v>
      </c>
      <c r="Y125" s="97">
        <v>2018</v>
      </c>
      <c r="Z125" s="107"/>
      <c r="AA125" s="97" t="s">
        <v>548</v>
      </c>
      <c r="AB125" s="110" t="s">
        <v>520</v>
      </c>
      <c r="AC125" s="110" t="s">
        <v>520</v>
      </c>
      <c r="AD125" s="110" t="s">
        <v>520</v>
      </c>
    </row>
    <row r="126" spans="1:30" x14ac:dyDescent="0.3">
      <c r="A126" s="97">
        <v>2480</v>
      </c>
      <c r="B126" s="97" t="s">
        <v>138</v>
      </c>
      <c r="C126" s="97" t="s">
        <v>890</v>
      </c>
      <c r="D126" s="97" t="s">
        <v>290</v>
      </c>
      <c r="E126" s="97" t="s">
        <v>299</v>
      </c>
      <c r="F126" s="97" t="s">
        <v>546</v>
      </c>
      <c r="G126" s="97" t="s">
        <v>490</v>
      </c>
      <c r="H126" s="97" t="s">
        <v>548</v>
      </c>
      <c r="I126" s="106">
        <v>2021</v>
      </c>
      <c r="J126" s="116" t="s">
        <v>520</v>
      </c>
      <c r="K126" s="116" t="s">
        <v>520</v>
      </c>
      <c r="L126" s="106" t="s">
        <v>520</v>
      </c>
      <c r="M126" s="116" t="s">
        <v>520</v>
      </c>
      <c r="N126" s="110">
        <v>40300</v>
      </c>
      <c r="O126" s="110">
        <v>1000</v>
      </c>
      <c r="P126" s="97" t="s">
        <v>608</v>
      </c>
      <c r="Q126" s="116" t="s">
        <v>520</v>
      </c>
      <c r="R126" s="122" t="s">
        <v>520</v>
      </c>
      <c r="S126" s="97" t="s">
        <v>264</v>
      </c>
      <c r="T126" s="97" t="s">
        <v>548</v>
      </c>
      <c r="U126" s="97">
        <v>2016</v>
      </c>
      <c r="V126" s="97" t="s">
        <v>304</v>
      </c>
      <c r="W126" s="110" t="s">
        <v>520</v>
      </c>
      <c r="X126" s="110" t="s">
        <v>520</v>
      </c>
      <c r="Y126" s="97">
        <v>2018</v>
      </c>
      <c r="Z126" s="107"/>
      <c r="AA126" s="97" t="s">
        <v>548</v>
      </c>
      <c r="AB126" s="110" t="s">
        <v>520</v>
      </c>
      <c r="AC126" s="110" t="s">
        <v>520</v>
      </c>
      <c r="AD126" s="110" t="s">
        <v>520</v>
      </c>
    </row>
    <row r="127" spans="1:30" x14ac:dyDescent="0.3">
      <c r="A127" s="97">
        <v>2479</v>
      </c>
      <c r="B127" s="97" t="s">
        <v>138</v>
      </c>
      <c r="C127" s="97" t="s">
        <v>890</v>
      </c>
      <c r="D127" s="97" t="s">
        <v>291</v>
      </c>
      <c r="E127" s="97" t="s">
        <v>300</v>
      </c>
      <c r="F127" s="97" t="s">
        <v>547</v>
      </c>
      <c r="G127" s="97" t="s">
        <v>351</v>
      </c>
      <c r="H127" s="97" t="s">
        <v>530</v>
      </c>
      <c r="I127" s="106">
        <v>2021</v>
      </c>
      <c r="J127" s="101">
        <v>992</v>
      </c>
      <c r="K127" s="101">
        <v>337</v>
      </c>
      <c r="L127" s="102" t="s">
        <v>376</v>
      </c>
      <c r="M127" s="101">
        <v>106.41</v>
      </c>
      <c r="N127" s="110">
        <v>277850</v>
      </c>
      <c r="O127" s="110">
        <v>2500</v>
      </c>
      <c r="P127" s="97" t="s">
        <v>608</v>
      </c>
      <c r="Q127" s="103" t="s">
        <v>361</v>
      </c>
      <c r="R127" s="122" t="s">
        <v>520</v>
      </c>
      <c r="S127" s="97" t="s">
        <v>264</v>
      </c>
      <c r="T127" s="97" t="s">
        <v>145</v>
      </c>
      <c r="U127" s="97">
        <v>2016</v>
      </c>
      <c r="V127" s="97" t="s">
        <v>304</v>
      </c>
      <c r="W127" s="106">
        <v>28.382169689765199</v>
      </c>
      <c r="X127" s="106">
        <v>-80.603211544079201</v>
      </c>
      <c r="Y127" s="97">
        <v>2020</v>
      </c>
      <c r="Z127" s="107"/>
      <c r="AA127" s="21" t="s">
        <v>1064</v>
      </c>
      <c r="AB127" s="21" t="s">
        <v>1064</v>
      </c>
      <c r="AC127" s="21" t="s">
        <v>1064</v>
      </c>
      <c r="AD127" s="102" t="s">
        <v>1075</v>
      </c>
    </row>
    <row r="128" spans="1:30" x14ac:dyDescent="0.3">
      <c r="A128" s="97">
        <v>2478</v>
      </c>
      <c r="B128" s="97" t="s">
        <v>138</v>
      </c>
      <c r="C128" s="97" t="s">
        <v>890</v>
      </c>
      <c r="D128" s="97" t="s">
        <v>292</v>
      </c>
      <c r="E128" s="97" t="s">
        <v>303</v>
      </c>
      <c r="F128" s="97" t="s">
        <v>547</v>
      </c>
      <c r="G128" s="97" t="s">
        <v>351</v>
      </c>
      <c r="H128" s="97" t="s">
        <v>548</v>
      </c>
      <c r="I128" s="106">
        <v>2022</v>
      </c>
      <c r="J128" s="116" t="s">
        <v>520</v>
      </c>
      <c r="K128" s="116" t="s">
        <v>520</v>
      </c>
      <c r="L128" s="106" t="s">
        <v>520</v>
      </c>
      <c r="M128" s="116" t="s">
        <v>520</v>
      </c>
      <c r="N128" s="110">
        <v>235630</v>
      </c>
      <c r="O128" s="110">
        <v>2500</v>
      </c>
      <c r="P128" s="97" t="s">
        <v>608</v>
      </c>
      <c r="Q128" s="116" t="s">
        <v>520</v>
      </c>
      <c r="R128" s="122" t="s">
        <v>520</v>
      </c>
      <c r="S128" s="97" t="s">
        <v>264</v>
      </c>
      <c r="T128" s="97" t="s">
        <v>548</v>
      </c>
      <c r="U128" s="97">
        <v>2016</v>
      </c>
      <c r="V128" s="97" t="s">
        <v>304</v>
      </c>
      <c r="W128" s="110" t="s">
        <v>520</v>
      </c>
      <c r="X128" s="110" t="s">
        <v>520</v>
      </c>
      <c r="Y128" s="97">
        <v>2021</v>
      </c>
      <c r="Z128" s="107"/>
      <c r="AA128" s="97" t="s">
        <v>548</v>
      </c>
      <c r="AB128" s="110" t="s">
        <v>520</v>
      </c>
      <c r="AC128" s="110" t="s">
        <v>520</v>
      </c>
      <c r="AD128" s="110" t="s">
        <v>520</v>
      </c>
    </row>
    <row r="129" spans="1:30" x14ac:dyDescent="0.3">
      <c r="A129" s="97">
        <v>2477</v>
      </c>
      <c r="B129" s="97" t="s">
        <v>138</v>
      </c>
      <c r="C129" s="97" t="s">
        <v>890</v>
      </c>
      <c r="D129" s="97" t="s">
        <v>293</v>
      </c>
      <c r="E129" s="97" t="s">
        <v>301</v>
      </c>
      <c r="F129" s="97" t="s">
        <v>545</v>
      </c>
      <c r="G129" s="97" t="s">
        <v>345</v>
      </c>
      <c r="H129" s="97" t="s">
        <v>548</v>
      </c>
      <c r="I129" s="106">
        <v>2021</v>
      </c>
      <c r="J129" s="116" t="s">
        <v>520</v>
      </c>
      <c r="K129" s="116" t="s">
        <v>520</v>
      </c>
      <c r="L129" s="106" t="s">
        <v>520</v>
      </c>
      <c r="M129" s="116" t="s">
        <v>520</v>
      </c>
      <c r="N129" s="110">
        <v>58120</v>
      </c>
      <c r="O129" s="110">
        <v>2500</v>
      </c>
      <c r="P129" s="97" t="s">
        <v>608</v>
      </c>
      <c r="Q129" s="116" t="s">
        <v>520</v>
      </c>
      <c r="R129" s="97" t="s">
        <v>520</v>
      </c>
      <c r="S129" s="97" t="s">
        <v>264</v>
      </c>
      <c r="T129" s="97" t="s">
        <v>548</v>
      </c>
      <c r="U129" s="97">
        <v>2016</v>
      </c>
      <c r="V129" s="97" t="s">
        <v>304</v>
      </c>
      <c r="W129" s="110" t="s">
        <v>520</v>
      </c>
      <c r="X129" s="110" t="s">
        <v>520</v>
      </c>
      <c r="Y129" s="97">
        <v>2019</v>
      </c>
      <c r="Z129" s="107"/>
      <c r="AA129" s="97" t="s">
        <v>548</v>
      </c>
      <c r="AB129" s="110" t="s">
        <v>520</v>
      </c>
      <c r="AC129" s="110" t="s">
        <v>520</v>
      </c>
      <c r="AD129" s="110" t="s">
        <v>520</v>
      </c>
    </row>
    <row r="130" spans="1:30" x14ac:dyDescent="0.3">
      <c r="A130" s="97">
        <v>2476</v>
      </c>
      <c r="B130" s="97" t="s">
        <v>138</v>
      </c>
      <c r="C130" s="97" t="s">
        <v>890</v>
      </c>
      <c r="D130" s="97" t="s">
        <v>380</v>
      </c>
      <c r="E130" s="97" t="s">
        <v>466</v>
      </c>
      <c r="F130" s="97" t="s">
        <v>491</v>
      </c>
      <c r="G130" s="97" t="s">
        <v>490</v>
      </c>
      <c r="H130" s="97" t="s">
        <v>548</v>
      </c>
      <c r="I130" s="106">
        <v>2021</v>
      </c>
      <c r="J130" s="116" t="s">
        <v>520</v>
      </c>
      <c r="K130" s="116" t="s">
        <v>520</v>
      </c>
      <c r="L130" s="106" t="s">
        <v>520</v>
      </c>
      <c r="M130" s="116" t="s">
        <v>520</v>
      </c>
      <c r="N130" s="110">
        <v>18800</v>
      </c>
      <c r="O130" s="110">
        <v>1000</v>
      </c>
      <c r="P130" s="97" t="s">
        <v>608</v>
      </c>
      <c r="Q130" s="116" t="s">
        <v>520</v>
      </c>
      <c r="R130" s="97" t="s">
        <v>520</v>
      </c>
      <c r="S130" s="97" t="s">
        <v>264</v>
      </c>
      <c r="T130" s="97" t="s">
        <v>548</v>
      </c>
      <c r="U130" s="97">
        <v>2016</v>
      </c>
      <c r="V130" s="97" t="s">
        <v>304</v>
      </c>
      <c r="W130" s="110" t="s">
        <v>520</v>
      </c>
      <c r="X130" s="110" t="s">
        <v>520</v>
      </c>
      <c r="Y130" s="97">
        <v>2021</v>
      </c>
      <c r="Z130" s="107"/>
      <c r="AA130" s="97" t="s">
        <v>548</v>
      </c>
      <c r="AB130" s="110" t="s">
        <v>520</v>
      </c>
      <c r="AC130" s="110" t="s">
        <v>520</v>
      </c>
      <c r="AD130" s="110" t="s">
        <v>520</v>
      </c>
    </row>
    <row r="131" spans="1:30" x14ac:dyDescent="0.3">
      <c r="A131" s="99">
        <v>4340</v>
      </c>
      <c r="B131" s="97" t="s">
        <v>138</v>
      </c>
      <c r="C131" s="98" t="s">
        <v>520</v>
      </c>
      <c r="D131" s="153" t="s">
        <v>766</v>
      </c>
      <c r="E131" s="97" t="s">
        <v>774</v>
      </c>
      <c r="F131" s="97" t="s">
        <v>775</v>
      </c>
      <c r="G131" s="106" t="s">
        <v>579</v>
      </c>
      <c r="H131" s="97" t="s">
        <v>4</v>
      </c>
      <c r="I131" s="106">
        <v>2018</v>
      </c>
      <c r="J131" s="116" t="s">
        <v>361</v>
      </c>
      <c r="K131" s="116" t="s">
        <v>361</v>
      </c>
      <c r="L131" s="97" t="s">
        <v>376</v>
      </c>
      <c r="M131" s="116">
        <v>1</v>
      </c>
      <c r="N131" s="110">
        <v>193850</v>
      </c>
      <c r="O131" s="110">
        <v>1000</v>
      </c>
      <c r="P131" s="97" t="s">
        <v>553</v>
      </c>
      <c r="Q131" s="110" t="s">
        <v>920</v>
      </c>
      <c r="R131" s="97" t="s">
        <v>520</v>
      </c>
      <c r="S131" s="97" t="s">
        <v>264</v>
      </c>
      <c r="T131" s="97" t="s">
        <v>4</v>
      </c>
      <c r="U131" s="97">
        <v>2018</v>
      </c>
      <c r="V131" s="97" t="s">
        <v>304</v>
      </c>
      <c r="W131" s="106">
        <v>28.381668000000001</v>
      </c>
      <c r="X131" s="106">
        <v>-80.607943000000006</v>
      </c>
      <c r="Y131" s="98" t="s">
        <v>598</v>
      </c>
      <c r="Z131" s="107"/>
      <c r="AA131" s="98" t="s">
        <v>1065</v>
      </c>
      <c r="AB131" s="21" t="s">
        <v>1065</v>
      </c>
      <c r="AC131" s="21" t="s">
        <v>1081</v>
      </c>
      <c r="AD131" s="21" t="s">
        <v>520</v>
      </c>
    </row>
    <row r="132" spans="1:30" x14ac:dyDescent="0.3">
      <c r="A132" s="99">
        <v>4341</v>
      </c>
      <c r="B132" s="97" t="s">
        <v>138</v>
      </c>
      <c r="C132" s="98" t="s">
        <v>520</v>
      </c>
      <c r="D132" s="153" t="s">
        <v>767</v>
      </c>
      <c r="E132" s="97" t="s">
        <v>776</v>
      </c>
      <c r="F132" s="97" t="s">
        <v>777</v>
      </c>
      <c r="G132" s="97" t="s">
        <v>791</v>
      </c>
      <c r="H132" s="97" t="s">
        <v>256</v>
      </c>
      <c r="I132" s="100" t="s">
        <v>520</v>
      </c>
      <c r="J132" s="101" t="s">
        <v>361</v>
      </c>
      <c r="K132" s="101" t="s">
        <v>361</v>
      </c>
      <c r="L132" s="102" t="s">
        <v>376</v>
      </c>
      <c r="M132" s="101">
        <v>1</v>
      </c>
      <c r="N132" s="110">
        <v>15000</v>
      </c>
      <c r="O132" s="110">
        <v>2500</v>
      </c>
      <c r="P132" s="97" t="s">
        <v>553</v>
      </c>
      <c r="Q132" s="110" t="s">
        <v>912</v>
      </c>
      <c r="R132" s="97" t="s">
        <v>520</v>
      </c>
      <c r="S132" s="97" t="s">
        <v>264</v>
      </c>
      <c r="T132" s="97" t="s">
        <v>4</v>
      </c>
      <c r="U132" s="97">
        <v>2018</v>
      </c>
      <c r="V132" s="97" t="s">
        <v>304</v>
      </c>
      <c r="W132" s="109">
        <v>28.392517999999999</v>
      </c>
      <c r="X132" s="109">
        <v>-80.618622000000002</v>
      </c>
      <c r="Y132" s="98" t="s">
        <v>598</v>
      </c>
      <c r="Z132" s="107"/>
      <c r="AA132" s="21" t="s">
        <v>1064</v>
      </c>
      <c r="AB132" s="21" t="s">
        <v>1064</v>
      </c>
      <c r="AC132" s="21" t="s">
        <v>1064</v>
      </c>
      <c r="AD132" s="102" t="s">
        <v>1075</v>
      </c>
    </row>
    <row r="133" spans="1:30" x14ac:dyDescent="0.3">
      <c r="A133" s="99">
        <v>4342</v>
      </c>
      <c r="B133" s="97" t="s">
        <v>138</v>
      </c>
      <c r="C133" s="98" t="s">
        <v>520</v>
      </c>
      <c r="D133" s="153" t="s">
        <v>768</v>
      </c>
      <c r="E133" s="97" t="s">
        <v>778</v>
      </c>
      <c r="F133" s="97" t="s">
        <v>779</v>
      </c>
      <c r="G133" s="97" t="s">
        <v>71</v>
      </c>
      <c r="H133" s="97" t="s">
        <v>2</v>
      </c>
      <c r="I133" s="106" t="s">
        <v>555</v>
      </c>
      <c r="J133" s="101" t="s">
        <v>520</v>
      </c>
      <c r="K133" s="101" t="s">
        <v>520</v>
      </c>
      <c r="L133" s="102" t="s">
        <v>376</v>
      </c>
      <c r="M133" s="101" t="s">
        <v>520</v>
      </c>
      <c r="N133" s="103" t="s">
        <v>520</v>
      </c>
      <c r="O133" s="103" t="s">
        <v>520</v>
      </c>
      <c r="P133" s="98" t="s">
        <v>520</v>
      </c>
      <c r="Q133" s="103" t="s">
        <v>520</v>
      </c>
      <c r="R133" s="97" t="s">
        <v>520</v>
      </c>
      <c r="S133" s="97" t="s">
        <v>264</v>
      </c>
      <c r="T133" s="97" t="s">
        <v>4</v>
      </c>
      <c r="U133" s="97">
        <v>2018</v>
      </c>
      <c r="V133" s="97" t="s">
        <v>304</v>
      </c>
      <c r="W133" s="100" t="s">
        <v>520</v>
      </c>
      <c r="X133" s="100" t="s">
        <v>520</v>
      </c>
      <c r="Y133" s="98" t="s">
        <v>598</v>
      </c>
      <c r="Z133" s="107"/>
      <c r="AA133" s="98" t="s">
        <v>1065</v>
      </c>
      <c r="AB133" s="21" t="s">
        <v>1065</v>
      </c>
      <c r="AC133" s="21" t="s">
        <v>1074</v>
      </c>
      <c r="AD133" s="102" t="s">
        <v>1071</v>
      </c>
    </row>
    <row r="134" spans="1:30" x14ac:dyDescent="0.3">
      <c r="A134" s="99">
        <v>4343</v>
      </c>
      <c r="B134" s="97" t="s">
        <v>138</v>
      </c>
      <c r="C134" s="98" t="s">
        <v>520</v>
      </c>
      <c r="D134" s="153" t="s">
        <v>769</v>
      </c>
      <c r="E134" s="97" t="s">
        <v>780</v>
      </c>
      <c r="F134" s="97" t="s">
        <v>781</v>
      </c>
      <c r="G134" s="97" t="s">
        <v>488</v>
      </c>
      <c r="H134" s="97" t="s">
        <v>4</v>
      </c>
      <c r="I134" s="106" t="s">
        <v>555</v>
      </c>
      <c r="J134" s="116" t="s">
        <v>520</v>
      </c>
      <c r="K134" s="116" t="s">
        <v>520</v>
      </c>
      <c r="L134" s="97" t="s">
        <v>376</v>
      </c>
      <c r="M134" s="116" t="s">
        <v>520</v>
      </c>
      <c r="N134" s="103" t="s">
        <v>520</v>
      </c>
      <c r="O134" s="103" t="s">
        <v>520</v>
      </c>
      <c r="P134" s="98" t="s">
        <v>520</v>
      </c>
      <c r="Q134" s="103" t="s">
        <v>520</v>
      </c>
      <c r="R134" s="97" t="s">
        <v>520</v>
      </c>
      <c r="S134" s="97" t="s">
        <v>264</v>
      </c>
      <c r="T134" s="97" t="s">
        <v>4</v>
      </c>
      <c r="U134" s="97">
        <v>2018</v>
      </c>
      <c r="V134" s="97" t="s">
        <v>304</v>
      </c>
      <c r="W134" s="106">
        <v>28.381668000000001</v>
      </c>
      <c r="X134" s="106">
        <v>-80.607943000000006</v>
      </c>
      <c r="Y134" s="98" t="s">
        <v>598</v>
      </c>
      <c r="Z134" s="107"/>
      <c r="AA134" s="98" t="s">
        <v>1065</v>
      </c>
      <c r="AB134" s="21" t="s">
        <v>1065</v>
      </c>
      <c r="AC134" s="21" t="s">
        <v>1081</v>
      </c>
      <c r="AD134" s="21" t="s">
        <v>520</v>
      </c>
    </row>
    <row r="135" spans="1:30" x14ac:dyDescent="0.3">
      <c r="A135" s="99">
        <v>4344</v>
      </c>
      <c r="B135" s="97" t="s">
        <v>138</v>
      </c>
      <c r="C135" s="98" t="s">
        <v>520</v>
      </c>
      <c r="D135" s="153" t="s">
        <v>770</v>
      </c>
      <c r="E135" s="97" t="s">
        <v>782</v>
      </c>
      <c r="F135" s="97" t="s">
        <v>783</v>
      </c>
      <c r="G135" s="97" t="s">
        <v>488</v>
      </c>
      <c r="H135" s="97" t="s">
        <v>4</v>
      </c>
      <c r="I135" s="106" t="s">
        <v>555</v>
      </c>
      <c r="J135" s="116" t="s">
        <v>520</v>
      </c>
      <c r="K135" s="116" t="s">
        <v>520</v>
      </c>
      <c r="L135" s="97" t="s">
        <v>376</v>
      </c>
      <c r="M135" s="116" t="s">
        <v>520</v>
      </c>
      <c r="N135" s="103" t="s">
        <v>520</v>
      </c>
      <c r="O135" s="103" t="s">
        <v>520</v>
      </c>
      <c r="P135" s="98" t="s">
        <v>520</v>
      </c>
      <c r="Q135" s="103" t="s">
        <v>520</v>
      </c>
      <c r="R135" s="97" t="s">
        <v>520</v>
      </c>
      <c r="S135" s="97" t="s">
        <v>264</v>
      </c>
      <c r="T135" s="97" t="s">
        <v>4</v>
      </c>
      <c r="U135" s="97">
        <v>2018</v>
      </c>
      <c r="V135" s="97" t="s">
        <v>304</v>
      </c>
      <c r="W135" s="106">
        <v>28.396446999999998</v>
      </c>
      <c r="X135" s="106">
        <v>-80.608036999999996</v>
      </c>
      <c r="Y135" s="98" t="s">
        <v>598</v>
      </c>
      <c r="Z135" s="107"/>
      <c r="AA135" s="98" t="s">
        <v>1065</v>
      </c>
      <c r="AB135" s="21" t="s">
        <v>1065</v>
      </c>
      <c r="AC135" s="21" t="s">
        <v>1081</v>
      </c>
      <c r="AD135" s="21" t="s">
        <v>520</v>
      </c>
    </row>
    <row r="136" spans="1:30" x14ac:dyDescent="0.3">
      <c r="A136" s="132">
        <v>4345</v>
      </c>
      <c r="B136" s="21" t="s">
        <v>138</v>
      </c>
      <c r="C136" s="98" t="s">
        <v>520</v>
      </c>
      <c r="D136" s="153" t="s">
        <v>771</v>
      </c>
      <c r="E136" s="21" t="s">
        <v>784</v>
      </c>
      <c r="F136" s="97" t="s">
        <v>957</v>
      </c>
      <c r="G136" s="97" t="s">
        <v>785</v>
      </c>
      <c r="H136" s="97" t="s">
        <v>256</v>
      </c>
      <c r="I136" s="100" t="s">
        <v>520</v>
      </c>
      <c r="J136" s="116" t="s">
        <v>520</v>
      </c>
      <c r="K136" s="116" t="s">
        <v>520</v>
      </c>
      <c r="L136" s="97" t="s">
        <v>376</v>
      </c>
      <c r="M136" s="116" t="s">
        <v>520</v>
      </c>
      <c r="N136" s="103" t="s">
        <v>520</v>
      </c>
      <c r="O136" s="103" t="s">
        <v>520</v>
      </c>
      <c r="P136" s="98" t="s">
        <v>520</v>
      </c>
      <c r="Q136" s="103" t="s">
        <v>520</v>
      </c>
      <c r="R136" s="97" t="s">
        <v>520</v>
      </c>
      <c r="S136" s="97" t="s">
        <v>264</v>
      </c>
      <c r="T136" s="97" t="s">
        <v>256</v>
      </c>
      <c r="U136" s="97">
        <v>2018</v>
      </c>
      <c r="V136" s="97" t="s">
        <v>304</v>
      </c>
      <c r="W136" s="106">
        <v>28.387537999999999</v>
      </c>
      <c r="X136" s="106">
        <v>-80.601541999999995</v>
      </c>
      <c r="Y136" s="98" t="s">
        <v>598</v>
      </c>
      <c r="Z136" s="107"/>
      <c r="AA136" s="21" t="s">
        <v>1064</v>
      </c>
      <c r="AB136" s="21" t="s">
        <v>1065</v>
      </c>
      <c r="AC136" s="21" t="s">
        <v>1081</v>
      </c>
      <c r="AD136" s="21" t="s">
        <v>520</v>
      </c>
    </row>
    <row r="137" spans="1:30" x14ac:dyDescent="0.3">
      <c r="A137" s="99">
        <v>4346</v>
      </c>
      <c r="B137" s="97" t="s">
        <v>138</v>
      </c>
      <c r="C137" s="97" t="s">
        <v>538</v>
      </c>
      <c r="D137" s="153" t="s">
        <v>772</v>
      </c>
      <c r="E137" s="97" t="s">
        <v>786</v>
      </c>
      <c r="F137" s="97" t="s">
        <v>787</v>
      </c>
      <c r="G137" s="97" t="s">
        <v>570</v>
      </c>
      <c r="H137" s="97" t="s">
        <v>256</v>
      </c>
      <c r="I137" s="106">
        <v>2021</v>
      </c>
      <c r="J137" s="116" t="s">
        <v>520</v>
      </c>
      <c r="K137" s="116" t="s">
        <v>520</v>
      </c>
      <c r="L137" s="97" t="s">
        <v>376</v>
      </c>
      <c r="M137" s="116">
        <v>10</v>
      </c>
      <c r="N137" s="103" t="s">
        <v>361</v>
      </c>
      <c r="O137" s="103" t="s">
        <v>361</v>
      </c>
      <c r="P137" s="97" t="s">
        <v>604</v>
      </c>
      <c r="Q137" s="103" t="s">
        <v>361</v>
      </c>
      <c r="R137" s="97" t="s">
        <v>520</v>
      </c>
      <c r="S137" s="97" t="s">
        <v>265</v>
      </c>
      <c r="T137" s="97" t="s">
        <v>256</v>
      </c>
      <c r="U137" s="97">
        <v>2018</v>
      </c>
      <c r="V137" s="97" t="s">
        <v>304</v>
      </c>
      <c r="W137" s="106">
        <v>28.389980999999999</v>
      </c>
      <c r="X137" s="106">
        <v>-80.611395999999999</v>
      </c>
      <c r="Y137" s="98" t="s">
        <v>598</v>
      </c>
      <c r="Z137" s="107"/>
      <c r="AA137" s="21" t="s">
        <v>1064</v>
      </c>
      <c r="AB137" s="21" t="s">
        <v>1065</v>
      </c>
      <c r="AC137" s="21" t="s">
        <v>1065</v>
      </c>
      <c r="AD137" s="21" t="s">
        <v>520</v>
      </c>
    </row>
    <row r="138" spans="1:30" x14ac:dyDescent="0.3">
      <c r="A138" s="99">
        <v>4347</v>
      </c>
      <c r="B138" s="97" t="s">
        <v>138</v>
      </c>
      <c r="C138" s="97" t="s">
        <v>539</v>
      </c>
      <c r="D138" s="153" t="s">
        <v>773</v>
      </c>
      <c r="E138" s="97" t="s">
        <v>788</v>
      </c>
      <c r="F138" s="97" t="s">
        <v>789</v>
      </c>
      <c r="G138" s="106" t="s">
        <v>809</v>
      </c>
      <c r="H138" s="97" t="s">
        <v>4</v>
      </c>
      <c r="I138" s="106">
        <v>2016</v>
      </c>
      <c r="J138" s="116" t="s">
        <v>520</v>
      </c>
      <c r="K138" s="116" t="s">
        <v>520</v>
      </c>
      <c r="L138" s="97" t="s">
        <v>376</v>
      </c>
      <c r="M138" s="116">
        <v>1</v>
      </c>
      <c r="N138" s="110">
        <v>232664</v>
      </c>
      <c r="O138" s="110">
        <v>1000</v>
      </c>
      <c r="P138" s="97" t="s">
        <v>599</v>
      </c>
      <c r="Q138" s="110" t="s">
        <v>792</v>
      </c>
      <c r="R138" s="97" t="s">
        <v>790</v>
      </c>
      <c r="S138" s="97" t="s">
        <v>264</v>
      </c>
      <c r="T138" s="97" t="s">
        <v>4</v>
      </c>
      <c r="U138" s="97">
        <v>2018</v>
      </c>
      <c r="V138" s="97" t="s">
        <v>304</v>
      </c>
      <c r="W138" s="109">
        <v>28.39453</v>
      </c>
      <c r="X138" s="109">
        <v>-80.619078000000002</v>
      </c>
      <c r="Y138" s="98" t="s">
        <v>598</v>
      </c>
      <c r="Z138" s="107"/>
      <c r="AA138" s="98" t="s">
        <v>1065</v>
      </c>
      <c r="AB138" s="21" t="s">
        <v>1065</v>
      </c>
      <c r="AC138" s="21" t="s">
        <v>1081</v>
      </c>
      <c r="AD138" s="21" t="s">
        <v>520</v>
      </c>
    </row>
    <row r="139" spans="1:30" x14ac:dyDescent="0.3">
      <c r="A139" s="97">
        <v>5159</v>
      </c>
      <c r="B139" s="97" t="s">
        <v>138</v>
      </c>
      <c r="C139" s="98" t="s">
        <v>520</v>
      </c>
      <c r="D139" s="153" t="s">
        <v>958</v>
      </c>
      <c r="E139" s="97" t="s">
        <v>959</v>
      </c>
      <c r="F139" s="97" t="s">
        <v>1035</v>
      </c>
      <c r="G139" s="97" t="s">
        <v>488</v>
      </c>
      <c r="H139" s="97" t="s">
        <v>256</v>
      </c>
      <c r="I139" s="106">
        <v>2021</v>
      </c>
      <c r="J139" s="116" t="s">
        <v>361</v>
      </c>
      <c r="K139" s="116" t="s">
        <v>361</v>
      </c>
      <c r="L139" s="97" t="s">
        <v>376</v>
      </c>
      <c r="M139" s="116" t="s">
        <v>520</v>
      </c>
      <c r="N139" s="103" t="s">
        <v>361</v>
      </c>
      <c r="O139" s="103" t="s">
        <v>361</v>
      </c>
      <c r="P139" s="97" t="s">
        <v>553</v>
      </c>
      <c r="Q139" s="103" t="s">
        <v>361</v>
      </c>
      <c r="R139" s="97" t="s">
        <v>520</v>
      </c>
      <c r="S139" s="97" t="s">
        <v>264</v>
      </c>
      <c r="T139" s="97" t="s">
        <v>256</v>
      </c>
      <c r="U139" s="97">
        <v>2019</v>
      </c>
      <c r="V139" s="97" t="s">
        <v>304</v>
      </c>
      <c r="W139" s="106">
        <v>28.392531999999999</v>
      </c>
      <c r="X139" s="106">
        <v>-80.617655999999997</v>
      </c>
      <c r="Y139" s="98" t="s">
        <v>598</v>
      </c>
      <c r="Z139" s="107"/>
      <c r="AA139" s="98" t="s">
        <v>1065</v>
      </c>
      <c r="AB139" s="21" t="s">
        <v>1065</v>
      </c>
      <c r="AC139" s="21" t="s">
        <v>1081</v>
      </c>
      <c r="AD139" s="21" t="s">
        <v>520</v>
      </c>
    </row>
    <row r="140" spans="1:30" x14ac:dyDescent="0.3">
      <c r="A140" s="97">
        <v>2575</v>
      </c>
      <c r="B140" s="97" t="s">
        <v>379</v>
      </c>
      <c r="C140" s="98" t="s">
        <v>520</v>
      </c>
      <c r="D140" s="153" t="s">
        <v>444</v>
      </c>
      <c r="E140" s="97" t="s">
        <v>5</v>
      </c>
      <c r="F140" s="97" t="s">
        <v>600</v>
      </c>
      <c r="G140" s="97" t="s">
        <v>1</v>
      </c>
      <c r="H140" s="97" t="s">
        <v>2</v>
      </c>
      <c r="I140" s="100" t="s">
        <v>520</v>
      </c>
      <c r="J140" s="101">
        <v>377</v>
      </c>
      <c r="K140" s="101">
        <v>107.9</v>
      </c>
      <c r="L140" s="102" t="s">
        <v>373</v>
      </c>
      <c r="M140" s="101" t="s">
        <v>520</v>
      </c>
      <c r="N140" s="103" t="s">
        <v>520</v>
      </c>
      <c r="O140" s="103" t="s">
        <v>520</v>
      </c>
      <c r="P140" s="97" t="s">
        <v>601</v>
      </c>
      <c r="Q140" s="103" t="s">
        <v>520</v>
      </c>
      <c r="R140" s="97" t="s">
        <v>520</v>
      </c>
      <c r="S140" s="97" t="s">
        <v>265</v>
      </c>
      <c r="T140" s="97" t="s">
        <v>2</v>
      </c>
      <c r="U140" s="97">
        <v>2013</v>
      </c>
      <c r="V140" s="97" t="s">
        <v>304</v>
      </c>
      <c r="W140" s="100" t="s">
        <v>520</v>
      </c>
      <c r="X140" s="100" t="s">
        <v>520</v>
      </c>
      <c r="Y140" s="104" t="s">
        <v>598</v>
      </c>
      <c r="Z140" s="107"/>
      <c r="AA140" s="98" t="s">
        <v>1065</v>
      </c>
      <c r="AB140" s="21" t="s">
        <v>1065</v>
      </c>
      <c r="AC140" s="21" t="s">
        <v>1073</v>
      </c>
      <c r="AD140" s="102" t="s">
        <v>1072</v>
      </c>
    </row>
    <row r="141" spans="1:30" x14ac:dyDescent="0.3">
      <c r="A141" s="97">
        <v>2574</v>
      </c>
      <c r="B141" s="97" t="s">
        <v>379</v>
      </c>
      <c r="C141" s="98" t="s">
        <v>520</v>
      </c>
      <c r="D141" s="153" t="s">
        <v>445</v>
      </c>
      <c r="E141" s="97" t="s">
        <v>350</v>
      </c>
      <c r="F141" s="97" t="s">
        <v>706</v>
      </c>
      <c r="G141" s="97" t="s">
        <v>350</v>
      </c>
      <c r="H141" s="97" t="s">
        <v>4</v>
      </c>
      <c r="I141" s="100" t="s">
        <v>520</v>
      </c>
      <c r="J141" s="101">
        <v>27</v>
      </c>
      <c r="K141" s="101">
        <v>17</v>
      </c>
      <c r="L141" s="102" t="s">
        <v>373</v>
      </c>
      <c r="M141" s="101" t="s">
        <v>520</v>
      </c>
      <c r="N141" s="104" t="s">
        <v>598</v>
      </c>
      <c r="O141" s="110">
        <v>715</v>
      </c>
      <c r="P141" s="97" t="s">
        <v>452</v>
      </c>
      <c r="Q141" s="103" t="s">
        <v>598</v>
      </c>
      <c r="R141" s="97" t="s">
        <v>520</v>
      </c>
      <c r="S141" s="97" t="s">
        <v>265</v>
      </c>
      <c r="T141" s="97" t="s">
        <v>2</v>
      </c>
      <c r="U141" s="97">
        <v>2013</v>
      </c>
      <c r="V141" s="97" t="s">
        <v>304</v>
      </c>
      <c r="W141" s="100" t="s">
        <v>520</v>
      </c>
      <c r="X141" s="100" t="s">
        <v>520</v>
      </c>
      <c r="Y141" s="104" t="s">
        <v>598</v>
      </c>
      <c r="Z141" s="107"/>
      <c r="AA141" s="98" t="s">
        <v>1065</v>
      </c>
      <c r="AB141" s="21" t="s">
        <v>1065</v>
      </c>
      <c r="AC141" s="21" t="s">
        <v>1074</v>
      </c>
      <c r="AD141" s="102" t="s">
        <v>1071</v>
      </c>
    </row>
    <row r="142" spans="1:30" x14ac:dyDescent="0.3">
      <c r="A142" s="97">
        <v>2583</v>
      </c>
      <c r="B142" s="97" t="s">
        <v>379</v>
      </c>
      <c r="C142" s="98" t="s">
        <v>520</v>
      </c>
      <c r="D142" s="153" t="s">
        <v>516</v>
      </c>
      <c r="E142" s="97" t="s">
        <v>558</v>
      </c>
      <c r="F142" s="97" t="s">
        <v>707</v>
      </c>
      <c r="G142" s="97" t="s">
        <v>345</v>
      </c>
      <c r="H142" s="97" t="s">
        <v>4</v>
      </c>
      <c r="I142" s="100" t="s">
        <v>649</v>
      </c>
      <c r="J142" s="101">
        <v>70</v>
      </c>
      <c r="K142" s="101">
        <v>14</v>
      </c>
      <c r="L142" s="102" t="s">
        <v>373</v>
      </c>
      <c r="M142" s="101">
        <v>477</v>
      </c>
      <c r="N142" s="103" t="s">
        <v>520</v>
      </c>
      <c r="O142" s="110">
        <v>12000</v>
      </c>
      <c r="P142" s="97" t="s">
        <v>452</v>
      </c>
      <c r="Q142" s="103" t="s">
        <v>520</v>
      </c>
      <c r="R142" s="97" t="s">
        <v>520</v>
      </c>
      <c r="S142" s="97" t="s">
        <v>264</v>
      </c>
      <c r="T142" s="97" t="s">
        <v>4</v>
      </c>
      <c r="U142" s="97">
        <v>2016</v>
      </c>
      <c r="V142" s="97" t="s">
        <v>304</v>
      </c>
      <c r="W142" s="106">
        <v>28.488325</v>
      </c>
      <c r="X142" s="106">
        <v>-80.583517999999998</v>
      </c>
      <c r="Y142" s="98" t="s">
        <v>520</v>
      </c>
      <c r="Z142" s="107"/>
      <c r="AA142" s="21" t="s">
        <v>1064</v>
      </c>
      <c r="AB142" s="21" t="s">
        <v>1064</v>
      </c>
      <c r="AC142" s="21" t="s">
        <v>1064</v>
      </c>
      <c r="AD142" s="102" t="s">
        <v>1075</v>
      </c>
    </row>
    <row r="143" spans="1:30" x14ac:dyDescent="0.3">
      <c r="A143" s="97">
        <v>2569</v>
      </c>
      <c r="B143" s="97" t="s">
        <v>379</v>
      </c>
      <c r="C143" s="98" t="s">
        <v>520</v>
      </c>
      <c r="D143" s="153" t="s">
        <v>517</v>
      </c>
      <c r="E143" s="97" t="s">
        <v>518</v>
      </c>
      <c r="F143" s="97" t="s">
        <v>708</v>
      </c>
      <c r="G143" s="97" t="s">
        <v>703</v>
      </c>
      <c r="H143" s="97" t="s">
        <v>4</v>
      </c>
      <c r="I143" s="100" t="s">
        <v>649</v>
      </c>
      <c r="J143" s="101">
        <v>319</v>
      </c>
      <c r="K143" s="101">
        <v>115</v>
      </c>
      <c r="L143" s="102" t="s">
        <v>373</v>
      </c>
      <c r="M143" s="101">
        <v>157</v>
      </c>
      <c r="N143" s="103" t="s">
        <v>520</v>
      </c>
      <c r="O143" s="110">
        <v>2000</v>
      </c>
      <c r="P143" s="97" t="s">
        <v>452</v>
      </c>
      <c r="Q143" s="103" t="s">
        <v>520</v>
      </c>
      <c r="R143" s="97" t="s">
        <v>520</v>
      </c>
      <c r="S143" s="97" t="s">
        <v>264</v>
      </c>
      <c r="T143" s="97" t="s">
        <v>4</v>
      </c>
      <c r="U143" s="97">
        <v>2016</v>
      </c>
      <c r="V143" s="97" t="s">
        <v>304</v>
      </c>
      <c r="W143" s="106">
        <v>28.488325</v>
      </c>
      <c r="X143" s="106">
        <v>-80.583517999999998</v>
      </c>
      <c r="Y143" s="98" t="s">
        <v>520</v>
      </c>
      <c r="Z143" s="107"/>
      <c r="AA143" s="21" t="s">
        <v>1064</v>
      </c>
      <c r="AB143" s="21" t="s">
        <v>1064</v>
      </c>
      <c r="AC143" s="21" t="s">
        <v>1064</v>
      </c>
      <c r="AD143" s="102" t="s">
        <v>1075</v>
      </c>
    </row>
    <row r="144" spans="1:30" x14ac:dyDescent="0.3">
      <c r="A144" s="97">
        <v>2401</v>
      </c>
      <c r="B144" s="97" t="s">
        <v>379</v>
      </c>
      <c r="C144" s="98" t="s">
        <v>520</v>
      </c>
      <c r="D144" s="153" t="s">
        <v>559</v>
      </c>
      <c r="E144" s="97" t="s">
        <v>565</v>
      </c>
      <c r="F144" s="97" t="s">
        <v>709</v>
      </c>
      <c r="G144" s="97" t="s">
        <v>566</v>
      </c>
      <c r="H144" s="97" t="s">
        <v>4</v>
      </c>
      <c r="I144" s="106">
        <v>2018</v>
      </c>
      <c r="J144" s="116" t="s">
        <v>520</v>
      </c>
      <c r="K144" s="116" t="s">
        <v>520</v>
      </c>
      <c r="L144" s="97" t="s">
        <v>373</v>
      </c>
      <c r="M144" s="116" t="s">
        <v>520</v>
      </c>
      <c r="N144" s="108">
        <v>1850000</v>
      </c>
      <c r="O144" s="110">
        <v>370000</v>
      </c>
      <c r="P144" s="97" t="s">
        <v>452</v>
      </c>
      <c r="Q144" s="108" t="s">
        <v>910</v>
      </c>
      <c r="R144" s="97" t="s">
        <v>520</v>
      </c>
      <c r="S144" s="97" t="s">
        <v>265</v>
      </c>
      <c r="T144" s="97" t="s">
        <v>2</v>
      </c>
      <c r="U144" s="97">
        <v>2017</v>
      </c>
      <c r="V144" s="97" t="s">
        <v>304</v>
      </c>
      <c r="W144" s="100" t="s">
        <v>520</v>
      </c>
      <c r="X144" s="100" t="s">
        <v>520</v>
      </c>
      <c r="Y144" s="97">
        <v>2011</v>
      </c>
      <c r="Z144" s="107"/>
      <c r="AA144" s="98" t="s">
        <v>1065</v>
      </c>
      <c r="AB144" s="21" t="s">
        <v>1065</v>
      </c>
      <c r="AC144" s="21" t="s">
        <v>1065</v>
      </c>
      <c r="AD144" s="21" t="s">
        <v>520</v>
      </c>
    </row>
    <row r="145" spans="1:30" x14ac:dyDescent="0.3">
      <c r="A145" s="97">
        <v>2406</v>
      </c>
      <c r="B145" s="97" t="s">
        <v>379</v>
      </c>
      <c r="C145" s="98" t="s">
        <v>520</v>
      </c>
      <c r="D145" s="153" t="s">
        <v>560</v>
      </c>
      <c r="E145" s="97" t="s">
        <v>567</v>
      </c>
      <c r="F145" s="97" t="s">
        <v>710</v>
      </c>
      <c r="G145" s="97" t="s">
        <v>568</v>
      </c>
      <c r="H145" s="97" t="s">
        <v>4</v>
      </c>
      <c r="I145" s="106">
        <v>2017</v>
      </c>
      <c r="J145" s="116" t="s">
        <v>520</v>
      </c>
      <c r="K145" s="116" t="s">
        <v>520</v>
      </c>
      <c r="L145" s="97" t="s">
        <v>373</v>
      </c>
      <c r="M145" s="116" t="s">
        <v>520</v>
      </c>
      <c r="N145" s="110">
        <v>46000</v>
      </c>
      <c r="O145" s="103" t="s">
        <v>520</v>
      </c>
      <c r="P145" s="97" t="s">
        <v>452</v>
      </c>
      <c r="Q145" s="110" t="s">
        <v>911</v>
      </c>
      <c r="R145" s="97" t="s">
        <v>520</v>
      </c>
      <c r="S145" s="97" t="s">
        <v>265</v>
      </c>
      <c r="T145" s="97" t="s">
        <v>2</v>
      </c>
      <c r="U145" s="97">
        <v>2017</v>
      </c>
      <c r="V145" s="97" t="s">
        <v>304</v>
      </c>
      <c r="W145" s="109">
        <v>28.5303</v>
      </c>
      <c r="X145" s="109">
        <v>-80.565939999999998</v>
      </c>
      <c r="Y145" s="97">
        <v>2017</v>
      </c>
      <c r="Z145" s="107"/>
      <c r="AA145" s="98" t="s">
        <v>1065</v>
      </c>
      <c r="AB145" s="21" t="s">
        <v>1065</v>
      </c>
      <c r="AC145" s="21" t="s">
        <v>1065</v>
      </c>
      <c r="AD145" s="21" t="s">
        <v>520</v>
      </c>
    </row>
    <row r="146" spans="1:30" x14ac:dyDescent="0.3">
      <c r="A146" s="97">
        <v>2474</v>
      </c>
      <c r="B146" s="97" t="s">
        <v>379</v>
      </c>
      <c r="C146" s="98" t="s">
        <v>520</v>
      </c>
      <c r="D146" s="153" t="s">
        <v>561</v>
      </c>
      <c r="E146" s="97" t="s">
        <v>569</v>
      </c>
      <c r="F146" s="97" t="s">
        <v>711</v>
      </c>
      <c r="G146" s="97" t="s">
        <v>570</v>
      </c>
      <c r="H146" s="97" t="s">
        <v>256</v>
      </c>
      <c r="I146" s="100" t="s">
        <v>361</v>
      </c>
      <c r="J146" s="116" t="s">
        <v>520</v>
      </c>
      <c r="K146" s="116" t="s">
        <v>520</v>
      </c>
      <c r="L146" s="97" t="s">
        <v>373</v>
      </c>
      <c r="M146" s="116" t="s">
        <v>520</v>
      </c>
      <c r="N146" s="104" t="s">
        <v>598</v>
      </c>
      <c r="O146" s="104" t="s">
        <v>598</v>
      </c>
      <c r="P146" s="97" t="s">
        <v>452</v>
      </c>
      <c r="Q146" s="104" t="s">
        <v>598</v>
      </c>
      <c r="R146" s="116" t="s">
        <v>520</v>
      </c>
      <c r="S146" s="97" t="s">
        <v>265</v>
      </c>
      <c r="T146" s="97" t="s">
        <v>598</v>
      </c>
      <c r="U146" s="97">
        <v>2017</v>
      </c>
      <c r="V146" s="97" t="s">
        <v>304</v>
      </c>
      <c r="W146" s="100" t="s">
        <v>520</v>
      </c>
      <c r="X146" s="100" t="s">
        <v>520</v>
      </c>
      <c r="Y146" s="97">
        <v>2017</v>
      </c>
      <c r="Z146" s="107"/>
      <c r="AA146" s="98" t="s">
        <v>1065</v>
      </c>
      <c r="AB146" s="21" t="s">
        <v>1065</v>
      </c>
      <c r="AC146" s="21" t="s">
        <v>1065</v>
      </c>
      <c r="AD146" s="21" t="s">
        <v>520</v>
      </c>
    </row>
    <row r="147" spans="1:30" x14ac:dyDescent="0.3">
      <c r="A147" s="97">
        <v>2461</v>
      </c>
      <c r="B147" s="97" t="s">
        <v>379</v>
      </c>
      <c r="C147" s="98" t="s">
        <v>520</v>
      </c>
      <c r="D147" s="153" t="s">
        <v>562</v>
      </c>
      <c r="E147" s="97" t="s">
        <v>571</v>
      </c>
      <c r="F147" s="97" t="s">
        <v>602</v>
      </c>
      <c r="G147" s="97" t="s">
        <v>568</v>
      </c>
      <c r="H147" s="97" t="s">
        <v>256</v>
      </c>
      <c r="I147" s="106">
        <v>2019</v>
      </c>
      <c r="J147" s="59" t="s">
        <v>520</v>
      </c>
      <c r="K147" s="59" t="s">
        <v>520</v>
      </c>
      <c r="L147" s="21" t="s">
        <v>373</v>
      </c>
      <c r="M147" s="59" t="s">
        <v>520</v>
      </c>
      <c r="N147" s="103" t="s">
        <v>361</v>
      </c>
      <c r="O147" s="103" t="s">
        <v>520</v>
      </c>
      <c r="P147" s="97" t="s">
        <v>452</v>
      </c>
      <c r="Q147" s="103" t="s">
        <v>361</v>
      </c>
      <c r="R147" s="116" t="s">
        <v>520</v>
      </c>
      <c r="S147" s="97" t="s">
        <v>265</v>
      </c>
      <c r="T147" s="97" t="s">
        <v>2</v>
      </c>
      <c r="U147" s="97">
        <v>2017</v>
      </c>
      <c r="V147" s="97" t="s">
        <v>304</v>
      </c>
      <c r="W147" s="100" t="s">
        <v>520</v>
      </c>
      <c r="X147" s="100" t="s">
        <v>520</v>
      </c>
      <c r="Y147" s="97">
        <v>2018</v>
      </c>
      <c r="Z147" s="107"/>
      <c r="AA147" s="98" t="s">
        <v>1065</v>
      </c>
      <c r="AB147" s="21" t="s">
        <v>1065</v>
      </c>
      <c r="AC147" s="21" t="s">
        <v>1065</v>
      </c>
      <c r="AD147" s="21" t="s">
        <v>520</v>
      </c>
    </row>
    <row r="148" spans="1:30" x14ac:dyDescent="0.3">
      <c r="A148" s="97">
        <v>2462</v>
      </c>
      <c r="B148" s="97" t="s">
        <v>379</v>
      </c>
      <c r="C148" s="98" t="s">
        <v>520</v>
      </c>
      <c r="D148" s="153" t="s">
        <v>563</v>
      </c>
      <c r="E148" s="97" t="s">
        <v>572</v>
      </c>
      <c r="F148" s="97" t="s">
        <v>880</v>
      </c>
      <c r="G148" s="97" t="s">
        <v>573</v>
      </c>
      <c r="H148" s="97" t="s">
        <v>4</v>
      </c>
      <c r="I148" s="106">
        <v>2017</v>
      </c>
      <c r="J148" s="116" t="s">
        <v>520</v>
      </c>
      <c r="K148" s="116" t="s">
        <v>520</v>
      </c>
      <c r="L148" s="97" t="s">
        <v>373</v>
      </c>
      <c r="M148" s="116" t="s">
        <v>520</v>
      </c>
      <c r="N148" s="104" t="s">
        <v>598</v>
      </c>
      <c r="O148" s="103" t="s">
        <v>520</v>
      </c>
      <c r="P148" s="97" t="s">
        <v>452</v>
      </c>
      <c r="Q148" s="104" t="s">
        <v>598</v>
      </c>
      <c r="R148" s="97" t="s">
        <v>520</v>
      </c>
      <c r="S148" s="97" t="s">
        <v>265</v>
      </c>
      <c r="T148" s="97" t="s">
        <v>2</v>
      </c>
      <c r="U148" s="97">
        <v>2017</v>
      </c>
      <c r="V148" s="97" t="s">
        <v>304</v>
      </c>
      <c r="W148" s="100" t="s">
        <v>520</v>
      </c>
      <c r="X148" s="100" t="s">
        <v>520</v>
      </c>
      <c r="Y148" s="97">
        <v>2017</v>
      </c>
      <c r="Z148" s="107"/>
      <c r="AA148" s="98" t="s">
        <v>1065</v>
      </c>
      <c r="AB148" s="21" t="s">
        <v>1065</v>
      </c>
      <c r="AC148" s="21" t="s">
        <v>1065</v>
      </c>
      <c r="AD148" s="21" t="s">
        <v>520</v>
      </c>
    </row>
    <row r="149" spans="1:30" x14ac:dyDescent="0.3">
      <c r="A149" s="97">
        <v>2463</v>
      </c>
      <c r="B149" s="97" t="s">
        <v>379</v>
      </c>
      <c r="C149" s="97" t="s">
        <v>520</v>
      </c>
      <c r="D149" s="97" t="s">
        <v>564</v>
      </c>
      <c r="E149" s="97" t="s">
        <v>575</v>
      </c>
      <c r="F149" s="97" t="s">
        <v>603</v>
      </c>
      <c r="G149" s="97" t="s">
        <v>574</v>
      </c>
      <c r="H149" s="97" t="s">
        <v>548</v>
      </c>
      <c r="I149" s="106" t="s">
        <v>520</v>
      </c>
      <c r="J149" s="116" t="s">
        <v>520</v>
      </c>
      <c r="K149" s="116" t="s">
        <v>520</v>
      </c>
      <c r="L149" s="106" t="s">
        <v>520</v>
      </c>
      <c r="M149" s="106" t="s">
        <v>520</v>
      </c>
      <c r="N149" s="106" t="s">
        <v>520</v>
      </c>
      <c r="O149" s="106" t="s">
        <v>520</v>
      </c>
      <c r="P149" s="106" t="s">
        <v>520</v>
      </c>
      <c r="Q149" s="106" t="s">
        <v>520</v>
      </c>
      <c r="R149" s="97" t="s">
        <v>520</v>
      </c>
      <c r="S149" s="97" t="s">
        <v>265</v>
      </c>
      <c r="T149" s="97" t="s">
        <v>306</v>
      </c>
      <c r="U149" s="97">
        <v>2017</v>
      </c>
      <c r="V149" s="97" t="s">
        <v>304</v>
      </c>
      <c r="W149" s="106" t="s">
        <v>520</v>
      </c>
      <c r="X149" s="106" t="s">
        <v>520</v>
      </c>
      <c r="Y149" s="106" t="s">
        <v>520</v>
      </c>
      <c r="Z149" s="117"/>
      <c r="AA149" s="97" t="s">
        <v>306</v>
      </c>
      <c r="AB149" s="97" t="s">
        <v>1065</v>
      </c>
      <c r="AC149" s="97" t="s">
        <v>520</v>
      </c>
      <c r="AD149" s="97" t="s">
        <v>520</v>
      </c>
    </row>
    <row r="150" spans="1:30" x14ac:dyDescent="0.3">
      <c r="A150" s="132">
        <v>4348</v>
      </c>
      <c r="B150" s="21" t="s">
        <v>379</v>
      </c>
      <c r="C150" s="98" t="s">
        <v>520</v>
      </c>
      <c r="D150" s="153" t="s">
        <v>712</v>
      </c>
      <c r="E150" s="21" t="s">
        <v>488</v>
      </c>
      <c r="F150" s="21" t="s">
        <v>881</v>
      </c>
      <c r="G150" s="21" t="s">
        <v>488</v>
      </c>
      <c r="H150" s="21" t="s">
        <v>4</v>
      </c>
      <c r="I150" s="131">
        <v>2018</v>
      </c>
      <c r="J150" s="116">
        <v>10320</v>
      </c>
      <c r="K150" s="116" t="s">
        <v>520</v>
      </c>
      <c r="L150" s="102" t="s">
        <v>373</v>
      </c>
      <c r="M150" s="116" t="s">
        <v>520</v>
      </c>
      <c r="N150" s="103" t="s">
        <v>520</v>
      </c>
      <c r="O150" s="103" t="s">
        <v>520</v>
      </c>
      <c r="P150" s="97" t="s">
        <v>452</v>
      </c>
      <c r="Q150" s="103" t="s">
        <v>520</v>
      </c>
      <c r="R150" s="97" t="s">
        <v>520</v>
      </c>
      <c r="S150" s="97" t="s">
        <v>264</v>
      </c>
      <c r="T150" s="97" t="s">
        <v>4</v>
      </c>
      <c r="U150" s="97">
        <v>2018</v>
      </c>
      <c r="V150" s="97" t="s">
        <v>304</v>
      </c>
      <c r="W150" s="100" t="s">
        <v>520</v>
      </c>
      <c r="X150" s="100" t="s">
        <v>520</v>
      </c>
      <c r="Y150" s="98" t="s">
        <v>598</v>
      </c>
      <c r="Z150" s="107"/>
      <c r="AA150" s="98" t="s">
        <v>1065</v>
      </c>
      <c r="AB150" s="21" t="s">
        <v>1065</v>
      </c>
      <c r="AC150" s="21" t="s">
        <v>1079</v>
      </c>
      <c r="AD150" s="88" t="s">
        <v>1078</v>
      </c>
    </row>
    <row r="151" spans="1:30" x14ac:dyDescent="0.3">
      <c r="A151" s="99">
        <v>4349</v>
      </c>
      <c r="B151" s="97" t="s">
        <v>379</v>
      </c>
      <c r="C151" s="98" t="s">
        <v>520</v>
      </c>
      <c r="D151" s="153" t="s">
        <v>713</v>
      </c>
      <c r="E151" s="97" t="s">
        <v>579</v>
      </c>
      <c r="F151" s="99" t="s">
        <v>714</v>
      </c>
      <c r="G151" s="106" t="s">
        <v>579</v>
      </c>
      <c r="H151" s="97" t="s">
        <v>530</v>
      </c>
      <c r="I151" s="106">
        <v>2019</v>
      </c>
      <c r="J151" s="59" t="s">
        <v>361</v>
      </c>
      <c r="K151" s="59" t="s">
        <v>361</v>
      </c>
      <c r="L151" s="21" t="s">
        <v>373</v>
      </c>
      <c r="M151" s="59" t="s">
        <v>520</v>
      </c>
      <c r="N151" s="110">
        <v>4000000</v>
      </c>
      <c r="O151" s="103" t="s">
        <v>520</v>
      </c>
      <c r="P151" s="97" t="s">
        <v>452</v>
      </c>
      <c r="Q151" s="103" t="s">
        <v>520</v>
      </c>
      <c r="R151" s="97" t="s">
        <v>520</v>
      </c>
      <c r="S151" s="97" t="s">
        <v>264</v>
      </c>
      <c r="T151" s="97" t="s">
        <v>530</v>
      </c>
      <c r="U151" s="97">
        <v>2018</v>
      </c>
      <c r="V151" s="97" t="s">
        <v>304</v>
      </c>
      <c r="W151" s="106">
        <v>28.514361999999998</v>
      </c>
      <c r="X151" s="106">
        <v>-80.591837999999996</v>
      </c>
      <c r="Y151" s="98" t="s">
        <v>361</v>
      </c>
      <c r="Z151" s="107"/>
      <c r="AA151" s="98" t="s">
        <v>1065</v>
      </c>
      <c r="AB151" s="21" t="s">
        <v>1065</v>
      </c>
      <c r="AC151" s="21" t="s">
        <v>1081</v>
      </c>
      <c r="AD151" s="21" t="s">
        <v>520</v>
      </c>
    </row>
    <row r="152" spans="1:30" x14ac:dyDescent="0.3">
      <c r="A152" s="97">
        <v>2391</v>
      </c>
      <c r="B152" s="97" t="s">
        <v>375</v>
      </c>
      <c r="C152" s="98" t="s">
        <v>520</v>
      </c>
      <c r="D152" s="153" t="s">
        <v>419</v>
      </c>
      <c r="E152" s="97" t="s">
        <v>350</v>
      </c>
      <c r="F152" s="97" t="s">
        <v>591</v>
      </c>
      <c r="G152" s="97" t="s">
        <v>350</v>
      </c>
      <c r="H152" s="97" t="s">
        <v>4</v>
      </c>
      <c r="I152" s="100" t="s">
        <v>520</v>
      </c>
      <c r="J152" s="101">
        <v>49</v>
      </c>
      <c r="K152" s="101">
        <v>31.2</v>
      </c>
      <c r="L152" s="102" t="s">
        <v>373</v>
      </c>
      <c r="M152" s="101" t="s">
        <v>598</v>
      </c>
      <c r="N152" s="103" t="s">
        <v>598</v>
      </c>
      <c r="O152" s="103" t="s">
        <v>598</v>
      </c>
      <c r="P152" s="97" t="s">
        <v>552</v>
      </c>
      <c r="Q152" s="103" t="s">
        <v>598</v>
      </c>
      <c r="R152" s="97" t="s">
        <v>520</v>
      </c>
      <c r="S152" s="97" t="s">
        <v>265</v>
      </c>
      <c r="T152" s="97" t="s">
        <v>2</v>
      </c>
      <c r="U152" s="97">
        <v>2013</v>
      </c>
      <c r="V152" s="97" t="s">
        <v>304</v>
      </c>
      <c r="W152" s="100" t="s">
        <v>520</v>
      </c>
      <c r="X152" s="100" t="s">
        <v>520</v>
      </c>
      <c r="Y152" s="97">
        <v>2013</v>
      </c>
      <c r="Z152" s="107"/>
      <c r="AA152" s="98" t="s">
        <v>1065</v>
      </c>
      <c r="AB152" s="21" t="s">
        <v>1065</v>
      </c>
      <c r="AC152" s="21" t="s">
        <v>1074</v>
      </c>
      <c r="AD152" s="102" t="s">
        <v>1071</v>
      </c>
    </row>
    <row r="153" spans="1:30" x14ac:dyDescent="0.3">
      <c r="A153" s="97">
        <v>2392</v>
      </c>
      <c r="B153" s="97" t="s">
        <v>375</v>
      </c>
      <c r="C153" s="98" t="s">
        <v>520</v>
      </c>
      <c r="D153" s="153" t="s">
        <v>420</v>
      </c>
      <c r="E153" s="97" t="s">
        <v>1</v>
      </c>
      <c r="F153" s="97" t="s">
        <v>592</v>
      </c>
      <c r="G153" s="97" t="s">
        <v>1</v>
      </c>
      <c r="H153" s="97" t="s">
        <v>2</v>
      </c>
      <c r="I153" s="100" t="s">
        <v>520</v>
      </c>
      <c r="J153" s="101">
        <v>1</v>
      </c>
      <c r="K153" s="101">
        <v>0.5</v>
      </c>
      <c r="L153" s="102" t="s">
        <v>373</v>
      </c>
      <c r="M153" s="101" t="s">
        <v>520</v>
      </c>
      <c r="N153" s="103" t="s">
        <v>598</v>
      </c>
      <c r="O153" s="103" t="s">
        <v>598</v>
      </c>
      <c r="P153" s="97" t="s">
        <v>552</v>
      </c>
      <c r="Q153" s="103" t="s">
        <v>598</v>
      </c>
      <c r="R153" s="97" t="s">
        <v>520</v>
      </c>
      <c r="S153" s="97" t="s">
        <v>265</v>
      </c>
      <c r="T153" s="97" t="s">
        <v>2</v>
      </c>
      <c r="U153" s="97">
        <v>2013</v>
      </c>
      <c r="V153" s="97" t="s">
        <v>304</v>
      </c>
      <c r="W153" s="100" t="s">
        <v>520</v>
      </c>
      <c r="X153" s="100" t="s">
        <v>520</v>
      </c>
      <c r="Y153" s="97">
        <v>2004</v>
      </c>
      <c r="Z153" s="107"/>
      <c r="AA153" s="98" t="s">
        <v>1065</v>
      </c>
      <c r="AB153" s="21" t="s">
        <v>1065</v>
      </c>
      <c r="AC153" s="21" t="s">
        <v>1073</v>
      </c>
      <c r="AD153" s="102" t="s">
        <v>1072</v>
      </c>
    </row>
    <row r="154" spans="1:30" x14ac:dyDescent="0.3">
      <c r="A154" s="97">
        <v>2395</v>
      </c>
      <c r="B154" s="97" t="s">
        <v>375</v>
      </c>
      <c r="C154" s="98" t="s">
        <v>520</v>
      </c>
      <c r="D154" s="153" t="s">
        <v>421</v>
      </c>
      <c r="E154" s="97" t="s">
        <v>6</v>
      </c>
      <c r="F154" s="97" t="s">
        <v>515</v>
      </c>
      <c r="G154" s="97" t="s">
        <v>6</v>
      </c>
      <c r="H154" s="97" t="s">
        <v>4</v>
      </c>
      <c r="I154" s="106">
        <v>2005</v>
      </c>
      <c r="J154" s="101">
        <v>102</v>
      </c>
      <c r="K154" s="101">
        <v>0</v>
      </c>
      <c r="L154" s="102" t="s">
        <v>373</v>
      </c>
      <c r="M154" s="101">
        <v>103</v>
      </c>
      <c r="N154" s="103" t="s">
        <v>598</v>
      </c>
      <c r="O154" s="103" t="s">
        <v>598</v>
      </c>
      <c r="P154" s="97" t="s">
        <v>552</v>
      </c>
      <c r="Q154" s="103" t="s">
        <v>598</v>
      </c>
      <c r="R154" s="97" t="s">
        <v>520</v>
      </c>
      <c r="S154" s="97" t="s">
        <v>265</v>
      </c>
      <c r="T154" s="97" t="s">
        <v>4</v>
      </c>
      <c r="U154" s="97">
        <v>2013</v>
      </c>
      <c r="V154" s="97" t="s">
        <v>304</v>
      </c>
      <c r="W154" s="100" t="s">
        <v>520</v>
      </c>
      <c r="X154" s="100" t="s">
        <v>520</v>
      </c>
      <c r="Y154" s="97">
        <v>2012</v>
      </c>
      <c r="Z154" s="107"/>
      <c r="AA154" s="98" t="s">
        <v>1065</v>
      </c>
      <c r="AB154" s="21" t="s">
        <v>1065</v>
      </c>
      <c r="AC154" s="21" t="s">
        <v>1064</v>
      </c>
      <c r="AD154" s="102" t="s">
        <v>1072</v>
      </c>
    </row>
    <row r="155" spans="1:30" x14ac:dyDescent="0.3">
      <c r="A155" s="97">
        <v>2418</v>
      </c>
      <c r="B155" s="97" t="s">
        <v>375</v>
      </c>
      <c r="C155" s="98" t="s">
        <v>520</v>
      </c>
      <c r="D155" s="153" t="s">
        <v>422</v>
      </c>
      <c r="E155" s="97" t="s">
        <v>167</v>
      </c>
      <c r="F155" s="97" t="s">
        <v>593</v>
      </c>
      <c r="G155" s="97" t="s">
        <v>351</v>
      </c>
      <c r="H155" s="97" t="s">
        <v>4</v>
      </c>
      <c r="I155" s="106">
        <v>2013</v>
      </c>
      <c r="J155" s="101">
        <v>63</v>
      </c>
      <c r="K155" s="101">
        <v>15.8</v>
      </c>
      <c r="L155" s="102" t="s">
        <v>376</v>
      </c>
      <c r="M155" s="101">
        <v>4.7</v>
      </c>
      <c r="N155" s="103" t="s">
        <v>598</v>
      </c>
      <c r="O155" s="103" t="s">
        <v>598</v>
      </c>
      <c r="P155" s="97" t="s">
        <v>552</v>
      </c>
      <c r="Q155" s="103" t="s">
        <v>598</v>
      </c>
      <c r="R155" s="97" t="s">
        <v>520</v>
      </c>
      <c r="S155" s="97" t="s">
        <v>264</v>
      </c>
      <c r="T155" s="97" t="s">
        <v>4</v>
      </c>
      <c r="U155" s="97">
        <v>2013</v>
      </c>
      <c r="V155" s="97" t="s">
        <v>304</v>
      </c>
      <c r="W155" s="106">
        <v>28.138561570990699</v>
      </c>
      <c r="X155" s="106">
        <v>-80.594356470439493</v>
      </c>
      <c r="Y155" s="97">
        <v>2000</v>
      </c>
      <c r="Z155" s="107"/>
      <c r="AA155" s="21" t="s">
        <v>1064</v>
      </c>
      <c r="AB155" s="21" t="s">
        <v>1064</v>
      </c>
      <c r="AC155" s="21" t="s">
        <v>1064</v>
      </c>
      <c r="AD155" s="102" t="s">
        <v>1075</v>
      </c>
    </row>
    <row r="156" spans="1:30" x14ac:dyDescent="0.3">
      <c r="A156" s="97">
        <v>2430</v>
      </c>
      <c r="B156" s="97" t="s">
        <v>375</v>
      </c>
      <c r="C156" s="98" t="s">
        <v>520</v>
      </c>
      <c r="D156" s="153" t="s">
        <v>423</v>
      </c>
      <c r="E156" s="97" t="s">
        <v>168</v>
      </c>
      <c r="F156" s="97" t="s">
        <v>594</v>
      </c>
      <c r="G156" s="97" t="s">
        <v>703</v>
      </c>
      <c r="H156" s="97" t="s">
        <v>4</v>
      </c>
      <c r="I156" s="106">
        <v>2013</v>
      </c>
      <c r="J156" s="101">
        <v>23</v>
      </c>
      <c r="K156" s="101">
        <v>11.3</v>
      </c>
      <c r="L156" s="102" t="s">
        <v>376</v>
      </c>
      <c r="M156" s="101">
        <v>5</v>
      </c>
      <c r="N156" s="103" t="s">
        <v>598</v>
      </c>
      <c r="O156" s="103" t="s">
        <v>598</v>
      </c>
      <c r="P156" s="97" t="s">
        <v>552</v>
      </c>
      <c r="Q156" s="103" t="s">
        <v>598</v>
      </c>
      <c r="R156" s="97" t="s">
        <v>520</v>
      </c>
      <c r="S156" s="97" t="s">
        <v>264</v>
      </c>
      <c r="T156" s="97" t="s">
        <v>4</v>
      </c>
      <c r="U156" s="97">
        <v>2013</v>
      </c>
      <c r="V156" s="97" t="s">
        <v>304</v>
      </c>
      <c r="W156" s="106">
        <v>28.357415015404602</v>
      </c>
      <c r="X156" s="106">
        <v>-80.663853300850207</v>
      </c>
      <c r="Y156" s="97">
        <v>1997</v>
      </c>
      <c r="Z156" s="107"/>
      <c r="AA156" s="21" t="s">
        <v>1064</v>
      </c>
      <c r="AB156" s="21" t="s">
        <v>1064</v>
      </c>
      <c r="AC156" s="21" t="s">
        <v>1064</v>
      </c>
      <c r="AD156" s="102" t="s">
        <v>1075</v>
      </c>
    </row>
    <row r="157" spans="1:30" x14ac:dyDescent="0.3">
      <c r="A157" s="97">
        <v>2429</v>
      </c>
      <c r="B157" s="97" t="s">
        <v>375</v>
      </c>
      <c r="C157" s="98" t="s">
        <v>520</v>
      </c>
      <c r="D157" s="153" t="s">
        <v>424</v>
      </c>
      <c r="E157" s="97" t="s">
        <v>169</v>
      </c>
      <c r="F157" s="97" t="s">
        <v>595</v>
      </c>
      <c r="G157" s="97" t="s">
        <v>351</v>
      </c>
      <c r="H157" s="97" t="s">
        <v>4</v>
      </c>
      <c r="I157" s="106">
        <v>2013</v>
      </c>
      <c r="J157" s="101">
        <v>9</v>
      </c>
      <c r="K157" s="101">
        <v>5</v>
      </c>
      <c r="L157" s="102" t="s">
        <v>376</v>
      </c>
      <c r="M157" s="101">
        <v>3.4</v>
      </c>
      <c r="N157" s="103" t="s">
        <v>598</v>
      </c>
      <c r="O157" s="103" t="s">
        <v>598</v>
      </c>
      <c r="P157" s="97" t="s">
        <v>552</v>
      </c>
      <c r="Q157" s="103" t="s">
        <v>598</v>
      </c>
      <c r="R157" s="97" t="s">
        <v>520</v>
      </c>
      <c r="S157" s="97" t="s">
        <v>264</v>
      </c>
      <c r="T157" s="97" t="s">
        <v>4</v>
      </c>
      <c r="U157" s="97">
        <v>2013</v>
      </c>
      <c r="V157" s="97" t="s">
        <v>304</v>
      </c>
      <c r="W157" s="106">
        <v>28.140075393076799</v>
      </c>
      <c r="X157" s="106">
        <v>-80.598741003361098</v>
      </c>
      <c r="Y157" s="97">
        <v>1995</v>
      </c>
      <c r="Z157" s="107"/>
      <c r="AA157" s="21" t="s">
        <v>1064</v>
      </c>
      <c r="AB157" s="21" t="s">
        <v>1064</v>
      </c>
      <c r="AC157" s="21" t="s">
        <v>1064</v>
      </c>
      <c r="AD157" s="102" t="s">
        <v>1075</v>
      </c>
    </row>
    <row r="158" spans="1:30" x14ac:dyDescent="0.3">
      <c r="A158" s="97">
        <v>2427</v>
      </c>
      <c r="B158" s="97" t="s">
        <v>375</v>
      </c>
      <c r="C158" s="98" t="s">
        <v>520</v>
      </c>
      <c r="D158" s="153" t="s">
        <v>425</v>
      </c>
      <c r="E158" s="97" t="s">
        <v>170</v>
      </c>
      <c r="F158" s="97" t="s">
        <v>596</v>
      </c>
      <c r="G158" s="97" t="s">
        <v>703</v>
      </c>
      <c r="H158" s="97" t="s">
        <v>4</v>
      </c>
      <c r="I158" s="106">
        <v>2013</v>
      </c>
      <c r="J158" s="101">
        <v>7</v>
      </c>
      <c r="K158" s="101">
        <v>4.2</v>
      </c>
      <c r="L158" s="102" t="s">
        <v>376</v>
      </c>
      <c r="M158" s="101">
        <v>2.8</v>
      </c>
      <c r="N158" s="103" t="s">
        <v>598</v>
      </c>
      <c r="O158" s="103" t="s">
        <v>598</v>
      </c>
      <c r="P158" s="97" t="s">
        <v>552</v>
      </c>
      <c r="Q158" s="103" t="s">
        <v>598</v>
      </c>
      <c r="R158" s="97" t="s">
        <v>520</v>
      </c>
      <c r="S158" s="97" t="s">
        <v>264</v>
      </c>
      <c r="T158" s="97" t="s">
        <v>4</v>
      </c>
      <c r="U158" s="97">
        <v>2013</v>
      </c>
      <c r="V158" s="97" t="s">
        <v>304</v>
      </c>
      <c r="W158" s="106">
        <v>28.144496085249902</v>
      </c>
      <c r="X158" s="106">
        <v>-80.598761820027903</v>
      </c>
      <c r="Y158" s="97">
        <v>1995</v>
      </c>
      <c r="Z158" s="107"/>
      <c r="AA158" s="21" t="s">
        <v>1064</v>
      </c>
      <c r="AB158" s="21" t="s">
        <v>1064</v>
      </c>
      <c r="AC158" s="21" t="s">
        <v>1064</v>
      </c>
      <c r="AD158" s="102" t="s">
        <v>1075</v>
      </c>
    </row>
    <row r="159" spans="1:30" x14ac:dyDescent="0.3">
      <c r="A159" s="97">
        <v>2425</v>
      </c>
      <c r="B159" s="97" t="s">
        <v>375</v>
      </c>
      <c r="C159" s="98" t="s">
        <v>520</v>
      </c>
      <c r="D159" s="153" t="s">
        <v>426</v>
      </c>
      <c r="E159" s="97" t="s">
        <v>171</v>
      </c>
      <c r="F159" s="97" t="s">
        <v>594</v>
      </c>
      <c r="G159" s="97" t="s">
        <v>703</v>
      </c>
      <c r="H159" s="97" t="s">
        <v>4</v>
      </c>
      <c r="I159" s="106">
        <v>2013</v>
      </c>
      <c r="J159" s="101">
        <v>12</v>
      </c>
      <c r="K159" s="101">
        <v>6.8</v>
      </c>
      <c r="L159" s="102" t="s">
        <v>376</v>
      </c>
      <c r="M159" s="101">
        <v>3.8</v>
      </c>
      <c r="N159" s="103" t="s">
        <v>598</v>
      </c>
      <c r="O159" s="103" t="s">
        <v>598</v>
      </c>
      <c r="P159" s="97" t="s">
        <v>552</v>
      </c>
      <c r="Q159" s="103" t="s">
        <v>598</v>
      </c>
      <c r="R159" s="97" t="s">
        <v>520</v>
      </c>
      <c r="S159" s="97" t="s">
        <v>264</v>
      </c>
      <c r="T159" s="97" t="s">
        <v>4</v>
      </c>
      <c r="U159" s="97">
        <v>2013</v>
      </c>
      <c r="V159" s="97" t="s">
        <v>304</v>
      </c>
      <c r="W159" s="106">
        <v>28.149061914531</v>
      </c>
      <c r="X159" s="106">
        <v>-80.599510079589294</v>
      </c>
      <c r="Y159" s="97">
        <v>1995</v>
      </c>
      <c r="Z159" s="107"/>
      <c r="AA159" s="21" t="s">
        <v>1064</v>
      </c>
      <c r="AB159" s="21" t="s">
        <v>1064</v>
      </c>
      <c r="AC159" s="21" t="s">
        <v>1064</v>
      </c>
      <c r="AD159" s="102" t="s">
        <v>1075</v>
      </c>
    </row>
    <row r="160" spans="1:30" x14ac:dyDescent="0.3">
      <c r="A160" s="97">
        <v>2424</v>
      </c>
      <c r="B160" s="97" t="s">
        <v>375</v>
      </c>
      <c r="C160" s="98" t="s">
        <v>520</v>
      </c>
      <c r="D160" s="153" t="s">
        <v>427</v>
      </c>
      <c r="E160" s="97" t="s">
        <v>172</v>
      </c>
      <c r="F160" s="97" t="s">
        <v>594</v>
      </c>
      <c r="G160" s="97" t="s">
        <v>703</v>
      </c>
      <c r="H160" s="97" t="s">
        <v>4</v>
      </c>
      <c r="I160" s="106">
        <v>2013</v>
      </c>
      <c r="J160" s="101">
        <v>1</v>
      </c>
      <c r="K160" s="101">
        <v>0.8</v>
      </c>
      <c r="L160" s="102" t="s">
        <v>376</v>
      </c>
      <c r="M160" s="101">
        <v>0.4</v>
      </c>
      <c r="N160" s="103" t="s">
        <v>598</v>
      </c>
      <c r="O160" s="103" t="s">
        <v>598</v>
      </c>
      <c r="P160" s="97" t="s">
        <v>552</v>
      </c>
      <c r="Q160" s="103" t="s">
        <v>598</v>
      </c>
      <c r="R160" s="97" t="s">
        <v>520</v>
      </c>
      <c r="S160" s="97" t="s">
        <v>264</v>
      </c>
      <c r="T160" s="97" t="s">
        <v>4</v>
      </c>
      <c r="U160" s="97">
        <v>2013</v>
      </c>
      <c r="V160" s="97" t="s">
        <v>304</v>
      </c>
      <c r="W160" s="106">
        <v>28.268580855643702</v>
      </c>
      <c r="X160" s="106">
        <v>-80.606237110007299</v>
      </c>
      <c r="Y160" s="97">
        <v>1995</v>
      </c>
      <c r="Z160" s="107"/>
      <c r="AA160" s="21" t="s">
        <v>1064</v>
      </c>
      <c r="AB160" s="21" t="s">
        <v>1064</v>
      </c>
      <c r="AC160" s="21" t="s">
        <v>1064</v>
      </c>
      <c r="AD160" s="102" t="s">
        <v>1075</v>
      </c>
    </row>
    <row r="161" spans="1:30" x14ac:dyDescent="0.3">
      <c r="A161" s="97">
        <v>2416</v>
      </c>
      <c r="B161" s="97" t="s">
        <v>375</v>
      </c>
      <c r="C161" s="98" t="s">
        <v>520</v>
      </c>
      <c r="D161" s="153" t="s">
        <v>156</v>
      </c>
      <c r="E161" s="97" t="s">
        <v>157</v>
      </c>
      <c r="F161" s="97" t="s">
        <v>597</v>
      </c>
      <c r="G161" s="97" t="s">
        <v>351</v>
      </c>
      <c r="H161" s="97" t="s">
        <v>4</v>
      </c>
      <c r="I161" s="106">
        <v>2013</v>
      </c>
      <c r="J161" s="101">
        <v>26</v>
      </c>
      <c r="K161" s="101">
        <v>9.5</v>
      </c>
      <c r="L161" s="102" t="s">
        <v>376</v>
      </c>
      <c r="M161" s="101">
        <v>8.6999999999999993</v>
      </c>
      <c r="N161" s="103" t="s">
        <v>598</v>
      </c>
      <c r="O161" s="103" t="s">
        <v>598</v>
      </c>
      <c r="P161" s="97" t="s">
        <v>552</v>
      </c>
      <c r="Q161" s="103" t="s">
        <v>598</v>
      </c>
      <c r="R161" s="97" t="s">
        <v>520</v>
      </c>
      <c r="S161" s="97" t="s">
        <v>264</v>
      </c>
      <c r="T161" s="97" t="s">
        <v>4</v>
      </c>
      <c r="U161" s="97">
        <v>2013</v>
      </c>
      <c r="V161" s="97" t="s">
        <v>304</v>
      </c>
      <c r="W161" s="106">
        <v>28.155845348384499</v>
      </c>
      <c r="X161" s="106">
        <v>-80.600218484668801</v>
      </c>
      <c r="Y161" s="97">
        <v>1997</v>
      </c>
      <c r="Z161" s="107"/>
      <c r="AA161" s="21" t="s">
        <v>1064</v>
      </c>
      <c r="AB161" s="21" t="s">
        <v>1064</v>
      </c>
      <c r="AC161" s="21" t="s">
        <v>1064</v>
      </c>
      <c r="AD161" s="102" t="s">
        <v>1075</v>
      </c>
    </row>
    <row r="162" spans="1:30" x14ac:dyDescent="0.3">
      <c r="A162" s="97">
        <v>2423</v>
      </c>
      <c r="B162" s="97" t="s">
        <v>375</v>
      </c>
      <c r="C162" s="98" t="s">
        <v>520</v>
      </c>
      <c r="D162" s="153" t="s">
        <v>158</v>
      </c>
      <c r="E162" s="97" t="s">
        <v>159</v>
      </c>
      <c r="F162" s="97" t="s">
        <v>595</v>
      </c>
      <c r="G162" s="97" t="s">
        <v>351</v>
      </c>
      <c r="H162" s="97" t="s">
        <v>4</v>
      </c>
      <c r="I162" s="106">
        <v>2013</v>
      </c>
      <c r="J162" s="101">
        <v>24</v>
      </c>
      <c r="K162" s="101">
        <v>7.4</v>
      </c>
      <c r="L162" s="102" t="s">
        <v>376</v>
      </c>
      <c r="M162" s="101">
        <v>10.7</v>
      </c>
      <c r="N162" s="103" t="s">
        <v>598</v>
      </c>
      <c r="O162" s="103" t="s">
        <v>598</v>
      </c>
      <c r="P162" s="97" t="s">
        <v>552</v>
      </c>
      <c r="Q162" s="103" t="s">
        <v>598</v>
      </c>
      <c r="R162" s="97" t="s">
        <v>520</v>
      </c>
      <c r="S162" s="97" t="s">
        <v>264</v>
      </c>
      <c r="T162" s="97" t="s">
        <v>4</v>
      </c>
      <c r="U162" s="97">
        <v>2013</v>
      </c>
      <c r="V162" s="97" t="s">
        <v>304</v>
      </c>
      <c r="W162" s="106">
        <v>28.161462499588499</v>
      </c>
      <c r="X162" s="106">
        <v>-80.603783044996405</v>
      </c>
      <c r="Y162" s="97">
        <v>1997</v>
      </c>
      <c r="Z162" s="107"/>
      <c r="AA162" s="21" t="s">
        <v>1064</v>
      </c>
      <c r="AB162" s="21" t="s">
        <v>1064</v>
      </c>
      <c r="AC162" s="21" t="s">
        <v>1064</v>
      </c>
      <c r="AD162" s="102" t="s">
        <v>1075</v>
      </c>
    </row>
    <row r="163" spans="1:30" x14ac:dyDescent="0.3">
      <c r="A163" s="97">
        <v>2397</v>
      </c>
      <c r="B163" s="97" t="s">
        <v>375</v>
      </c>
      <c r="C163" s="98" t="s">
        <v>520</v>
      </c>
      <c r="D163" s="153" t="s">
        <v>160</v>
      </c>
      <c r="E163" s="97" t="s">
        <v>161</v>
      </c>
      <c r="F163" s="97" t="s">
        <v>594</v>
      </c>
      <c r="G163" s="97" t="s">
        <v>703</v>
      </c>
      <c r="H163" s="97" t="s">
        <v>4</v>
      </c>
      <c r="I163" s="106">
        <v>2013</v>
      </c>
      <c r="J163" s="101">
        <v>36</v>
      </c>
      <c r="K163" s="101">
        <v>8.9</v>
      </c>
      <c r="L163" s="102" t="s">
        <v>376</v>
      </c>
      <c r="M163" s="101">
        <v>2.5</v>
      </c>
      <c r="N163" s="103" t="s">
        <v>598</v>
      </c>
      <c r="O163" s="103" t="s">
        <v>598</v>
      </c>
      <c r="P163" s="97" t="s">
        <v>552</v>
      </c>
      <c r="Q163" s="103" t="s">
        <v>598</v>
      </c>
      <c r="R163" s="97" t="s">
        <v>520</v>
      </c>
      <c r="S163" s="97" t="s">
        <v>264</v>
      </c>
      <c r="T163" s="97" t="s">
        <v>4</v>
      </c>
      <c r="U163" s="97">
        <v>2013</v>
      </c>
      <c r="V163" s="97" t="s">
        <v>304</v>
      </c>
      <c r="W163" s="106">
        <v>28.320333999999999</v>
      </c>
      <c r="X163" s="106">
        <v>-80.609013000000004</v>
      </c>
      <c r="Y163" s="97">
        <v>2001</v>
      </c>
      <c r="Z163" s="107"/>
      <c r="AA163" s="21" t="s">
        <v>1064</v>
      </c>
      <c r="AB163" s="21" t="s">
        <v>1064</v>
      </c>
      <c r="AC163" s="21" t="s">
        <v>1064</v>
      </c>
      <c r="AD163" s="102" t="s">
        <v>1075</v>
      </c>
    </row>
    <row r="164" spans="1:30" x14ac:dyDescent="0.3">
      <c r="A164" s="97">
        <v>2422</v>
      </c>
      <c r="B164" s="97" t="s">
        <v>375</v>
      </c>
      <c r="C164" s="98" t="s">
        <v>520</v>
      </c>
      <c r="D164" s="153" t="s">
        <v>162</v>
      </c>
      <c r="E164" s="97" t="s">
        <v>163</v>
      </c>
      <c r="F164" s="97" t="s">
        <v>594</v>
      </c>
      <c r="G164" s="97" t="s">
        <v>703</v>
      </c>
      <c r="H164" s="97" t="s">
        <v>4</v>
      </c>
      <c r="I164" s="106">
        <v>2013</v>
      </c>
      <c r="J164" s="101">
        <v>15</v>
      </c>
      <c r="K164" s="101">
        <v>3.8</v>
      </c>
      <c r="L164" s="102" t="s">
        <v>376</v>
      </c>
      <c r="M164" s="101">
        <v>1.3</v>
      </c>
      <c r="N164" s="103" t="s">
        <v>598</v>
      </c>
      <c r="O164" s="103" t="s">
        <v>598</v>
      </c>
      <c r="P164" s="97" t="s">
        <v>552</v>
      </c>
      <c r="Q164" s="103" t="s">
        <v>598</v>
      </c>
      <c r="R164" s="97" t="s">
        <v>520</v>
      </c>
      <c r="S164" s="97" t="s">
        <v>264</v>
      </c>
      <c r="T164" s="97" t="s">
        <v>4</v>
      </c>
      <c r="U164" s="97">
        <v>2013</v>
      </c>
      <c r="V164" s="97" t="s">
        <v>304</v>
      </c>
      <c r="W164" s="106">
        <v>28.3226542447496</v>
      </c>
      <c r="X164" s="106">
        <v>-80.609886569545097</v>
      </c>
      <c r="Y164" s="97">
        <v>2007</v>
      </c>
      <c r="Z164" s="107"/>
      <c r="AA164" s="21" t="s">
        <v>1064</v>
      </c>
      <c r="AB164" s="21" t="s">
        <v>1064</v>
      </c>
      <c r="AC164" s="21" t="s">
        <v>1064</v>
      </c>
      <c r="AD164" s="102" t="s">
        <v>1075</v>
      </c>
    </row>
    <row r="165" spans="1:30" x14ac:dyDescent="0.3">
      <c r="A165" s="97">
        <v>2421</v>
      </c>
      <c r="B165" s="97" t="s">
        <v>375</v>
      </c>
      <c r="C165" s="98" t="s">
        <v>520</v>
      </c>
      <c r="D165" s="153" t="s">
        <v>164</v>
      </c>
      <c r="E165" s="97" t="s">
        <v>350</v>
      </c>
      <c r="F165" s="97" t="s">
        <v>591</v>
      </c>
      <c r="G165" s="97" t="s">
        <v>350</v>
      </c>
      <c r="H165" s="97" t="s">
        <v>4</v>
      </c>
      <c r="I165" s="100" t="s">
        <v>520</v>
      </c>
      <c r="J165" s="101">
        <v>354</v>
      </c>
      <c r="K165" s="101">
        <v>193</v>
      </c>
      <c r="L165" s="102" t="s">
        <v>376</v>
      </c>
      <c r="M165" s="101" t="s">
        <v>520</v>
      </c>
      <c r="N165" s="103" t="s">
        <v>598</v>
      </c>
      <c r="O165" s="103" t="s">
        <v>598</v>
      </c>
      <c r="P165" s="97" t="s">
        <v>552</v>
      </c>
      <c r="Q165" s="103" t="s">
        <v>598</v>
      </c>
      <c r="R165" s="97" t="s">
        <v>520</v>
      </c>
      <c r="S165" s="97" t="s">
        <v>265</v>
      </c>
      <c r="T165" s="97" t="s">
        <v>2</v>
      </c>
      <c r="U165" s="97">
        <v>2013</v>
      </c>
      <c r="V165" s="97" t="s">
        <v>304</v>
      </c>
      <c r="W165" s="100" t="s">
        <v>520</v>
      </c>
      <c r="X165" s="100" t="s">
        <v>520</v>
      </c>
      <c r="Y165" s="97">
        <v>2015</v>
      </c>
      <c r="Z165" s="107"/>
      <c r="AA165" s="98" t="s">
        <v>1065</v>
      </c>
      <c r="AB165" s="21" t="s">
        <v>1065</v>
      </c>
      <c r="AC165" s="21" t="s">
        <v>1074</v>
      </c>
      <c r="AD165" s="102" t="s">
        <v>1071</v>
      </c>
    </row>
    <row r="166" spans="1:30" x14ac:dyDescent="0.3">
      <c r="A166" s="97">
        <v>2420</v>
      </c>
      <c r="B166" s="97" t="s">
        <v>375</v>
      </c>
      <c r="C166" s="98" t="s">
        <v>520</v>
      </c>
      <c r="D166" s="153" t="s">
        <v>165</v>
      </c>
      <c r="E166" s="97" t="s">
        <v>1</v>
      </c>
      <c r="F166" s="97" t="s">
        <v>592</v>
      </c>
      <c r="G166" s="97" t="s">
        <v>1</v>
      </c>
      <c r="H166" s="97" t="s">
        <v>2</v>
      </c>
      <c r="I166" s="100" t="s">
        <v>520</v>
      </c>
      <c r="J166" s="101">
        <v>25</v>
      </c>
      <c r="K166" s="101">
        <v>8</v>
      </c>
      <c r="L166" s="102" t="s">
        <v>376</v>
      </c>
      <c r="M166" s="101" t="s">
        <v>520</v>
      </c>
      <c r="N166" s="103" t="s">
        <v>598</v>
      </c>
      <c r="O166" s="103" t="s">
        <v>598</v>
      </c>
      <c r="P166" s="97" t="s">
        <v>552</v>
      </c>
      <c r="Q166" s="103" t="s">
        <v>598</v>
      </c>
      <c r="R166" s="97" t="s">
        <v>520</v>
      </c>
      <c r="S166" s="97" t="s">
        <v>265</v>
      </c>
      <c r="T166" s="97" t="s">
        <v>2</v>
      </c>
      <c r="U166" s="97">
        <v>2013</v>
      </c>
      <c r="V166" s="97" t="s">
        <v>304</v>
      </c>
      <c r="W166" s="100" t="s">
        <v>520</v>
      </c>
      <c r="X166" s="100" t="s">
        <v>520</v>
      </c>
      <c r="Y166" s="97">
        <v>2004</v>
      </c>
      <c r="Z166" s="107"/>
      <c r="AA166" s="98" t="s">
        <v>1065</v>
      </c>
      <c r="AB166" s="21" t="s">
        <v>1065</v>
      </c>
      <c r="AC166" s="21" t="s">
        <v>1073</v>
      </c>
      <c r="AD166" s="102" t="s">
        <v>1072</v>
      </c>
    </row>
    <row r="167" spans="1:30" x14ac:dyDescent="0.3">
      <c r="A167" s="97">
        <v>2419</v>
      </c>
      <c r="B167" s="97" t="s">
        <v>375</v>
      </c>
      <c r="C167" s="98" t="s">
        <v>520</v>
      </c>
      <c r="D167" s="153" t="s">
        <v>166</v>
      </c>
      <c r="E167" s="97" t="s">
        <v>6</v>
      </c>
      <c r="F167" s="97" t="s">
        <v>797</v>
      </c>
      <c r="G167" s="97" t="s">
        <v>6</v>
      </c>
      <c r="H167" s="97" t="s">
        <v>4</v>
      </c>
      <c r="I167" s="106">
        <v>2005</v>
      </c>
      <c r="J167" s="101">
        <v>1544</v>
      </c>
      <c r="K167" s="101">
        <v>56</v>
      </c>
      <c r="L167" s="102" t="s">
        <v>376</v>
      </c>
      <c r="M167" s="101" t="s">
        <v>520</v>
      </c>
      <c r="N167" s="103" t="s">
        <v>598</v>
      </c>
      <c r="O167" s="103" t="s">
        <v>598</v>
      </c>
      <c r="P167" s="97" t="s">
        <v>552</v>
      </c>
      <c r="Q167" s="103" t="s">
        <v>598</v>
      </c>
      <c r="R167" s="97" t="s">
        <v>520</v>
      </c>
      <c r="S167" s="97" t="s">
        <v>265</v>
      </c>
      <c r="T167" s="97" t="s">
        <v>4</v>
      </c>
      <c r="U167" s="97">
        <v>2013</v>
      </c>
      <c r="V167" s="97" t="s">
        <v>304</v>
      </c>
      <c r="W167" s="100" t="s">
        <v>520</v>
      </c>
      <c r="X167" s="100" t="s">
        <v>520</v>
      </c>
      <c r="Y167" s="97">
        <v>2016</v>
      </c>
      <c r="Z167" s="107"/>
      <c r="AA167" s="98" t="s">
        <v>1065</v>
      </c>
      <c r="AB167" s="21" t="s">
        <v>1065</v>
      </c>
      <c r="AC167" s="21" t="s">
        <v>1064</v>
      </c>
      <c r="AD167" s="102" t="s">
        <v>1072</v>
      </c>
    </row>
    <row r="168" spans="1:30" x14ac:dyDescent="0.3">
      <c r="A168" s="97">
        <v>2496</v>
      </c>
      <c r="B168" s="97" t="s">
        <v>173</v>
      </c>
      <c r="C168" s="98" t="s">
        <v>598</v>
      </c>
      <c r="D168" s="153" t="s">
        <v>401</v>
      </c>
      <c r="E168" s="97" t="s">
        <v>174</v>
      </c>
      <c r="F168" s="97" t="s">
        <v>1088</v>
      </c>
      <c r="G168" s="97" t="s">
        <v>523</v>
      </c>
      <c r="H168" s="97" t="s">
        <v>4</v>
      </c>
      <c r="I168" s="106">
        <v>2013</v>
      </c>
      <c r="J168" s="101">
        <v>41.79</v>
      </c>
      <c r="K168" s="101">
        <v>5.92</v>
      </c>
      <c r="L168" s="102" t="s">
        <v>376</v>
      </c>
      <c r="M168" s="101">
        <v>8.6161747651000002</v>
      </c>
      <c r="N168" s="108">
        <v>60000</v>
      </c>
      <c r="O168" s="108">
        <v>500</v>
      </c>
      <c r="P168" s="98" t="s">
        <v>598</v>
      </c>
      <c r="Q168" s="108">
        <v>60000</v>
      </c>
      <c r="R168" s="97" t="s">
        <v>520</v>
      </c>
      <c r="S168" s="97" t="s">
        <v>264</v>
      </c>
      <c r="T168" s="97" t="s">
        <v>4</v>
      </c>
      <c r="U168" s="97">
        <v>2013</v>
      </c>
      <c r="V168" s="97" t="s">
        <v>304</v>
      </c>
      <c r="W168" s="106">
        <v>28.153839658798201</v>
      </c>
      <c r="X168" s="106">
        <v>-80.592325138231701</v>
      </c>
      <c r="Y168" s="98" t="s">
        <v>598</v>
      </c>
      <c r="Z168" s="107"/>
      <c r="AA168" s="21" t="s">
        <v>1064</v>
      </c>
      <c r="AB168" s="21" t="s">
        <v>1064</v>
      </c>
      <c r="AC168" s="21" t="s">
        <v>1064</v>
      </c>
      <c r="AD168" s="102" t="s">
        <v>1075</v>
      </c>
    </row>
    <row r="169" spans="1:30" x14ac:dyDescent="0.3">
      <c r="A169" s="97">
        <v>2495</v>
      </c>
      <c r="B169" s="97" t="s">
        <v>173</v>
      </c>
      <c r="C169" s="98" t="s">
        <v>598</v>
      </c>
      <c r="D169" s="153" t="s">
        <v>402</v>
      </c>
      <c r="E169" s="97" t="s">
        <v>187</v>
      </c>
      <c r="F169" s="97" t="s">
        <v>1089</v>
      </c>
      <c r="G169" s="97" t="s">
        <v>523</v>
      </c>
      <c r="H169" s="97" t="s">
        <v>4</v>
      </c>
      <c r="I169" s="106">
        <v>2013</v>
      </c>
      <c r="J169" s="101">
        <v>3.53</v>
      </c>
      <c r="K169" s="101">
        <v>0.53</v>
      </c>
      <c r="L169" s="102" t="s">
        <v>376</v>
      </c>
      <c r="M169" s="101">
        <v>0.72658181820000001</v>
      </c>
      <c r="N169" s="108">
        <v>50000</v>
      </c>
      <c r="O169" s="108">
        <v>300</v>
      </c>
      <c r="P169" s="98" t="s">
        <v>598</v>
      </c>
      <c r="Q169" s="108">
        <v>50000</v>
      </c>
      <c r="R169" s="97" t="s">
        <v>520</v>
      </c>
      <c r="S169" s="97" t="s">
        <v>264</v>
      </c>
      <c r="T169" s="97" t="s">
        <v>4</v>
      </c>
      <c r="U169" s="97">
        <v>2013</v>
      </c>
      <c r="V169" s="97" t="s">
        <v>304</v>
      </c>
      <c r="W169" s="106">
        <v>28.1444618690015</v>
      </c>
      <c r="X169" s="106">
        <v>-80.5997690730279</v>
      </c>
      <c r="Y169" s="98" t="s">
        <v>598</v>
      </c>
      <c r="Z169" s="107"/>
      <c r="AA169" s="21" t="s">
        <v>1064</v>
      </c>
      <c r="AB169" s="21" t="s">
        <v>1064</v>
      </c>
      <c r="AC169" s="21" t="s">
        <v>1064</v>
      </c>
      <c r="AD169" s="102" t="s">
        <v>1075</v>
      </c>
    </row>
    <row r="170" spans="1:30" x14ac:dyDescent="0.3">
      <c r="A170" s="97">
        <v>2494</v>
      </c>
      <c r="B170" s="97" t="s">
        <v>173</v>
      </c>
      <c r="C170" s="98" t="s">
        <v>598</v>
      </c>
      <c r="D170" s="153" t="s">
        <v>403</v>
      </c>
      <c r="E170" s="97" t="s">
        <v>188</v>
      </c>
      <c r="F170" s="97" t="s">
        <v>1090</v>
      </c>
      <c r="G170" s="99" t="s">
        <v>353</v>
      </c>
      <c r="H170" s="97" t="s">
        <v>4</v>
      </c>
      <c r="I170" s="106">
        <v>2013</v>
      </c>
      <c r="J170" s="101">
        <v>61</v>
      </c>
      <c r="K170" s="101">
        <v>10.9</v>
      </c>
      <c r="L170" s="102" t="s">
        <v>376</v>
      </c>
      <c r="M170" s="101">
        <v>6.3</v>
      </c>
      <c r="N170" s="103" t="s">
        <v>520</v>
      </c>
      <c r="O170" s="103" t="s">
        <v>598</v>
      </c>
      <c r="P170" s="98" t="s">
        <v>598</v>
      </c>
      <c r="Q170" s="103" t="s">
        <v>598</v>
      </c>
      <c r="R170" s="97" t="s">
        <v>520</v>
      </c>
      <c r="S170" s="97" t="s">
        <v>264</v>
      </c>
      <c r="T170" s="97" t="s">
        <v>4</v>
      </c>
      <c r="U170" s="97">
        <v>2013</v>
      </c>
      <c r="V170" s="97" t="s">
        <v>304</v>
      </c>
      <c r="W170" s="106">
        <v>28.1404052655516</v>
      </c>
      <c r="X170" s="106">
        <v>-80.584570121548396</v>
      </c>
      <c r="Y170" s="98" t="s">
        <v>598</v>
      </c>
      <c r="Z170" s="107"/>
      <c r="AA170" s="21" t="s">
        <v>1064</v>
      </c>
      <c r="AB170" s="21" t="s">
        <v>1064</v>
      </c>
      <c r="AC170" s="21" t="s">
        <v>1064</v>
      </c>
      <c r="AD170" s="102" t="s">
        <v>1075</v>
      </c>
    </row>
    <row r="171" spans="1:30" x14ac:dyDescent="0.3">
      <c r="A171" s="97">
        <v>2493</v>
      </c>
      <c r="B171" s="97" t="s">
        <v>173</v>
      </c>
      <c r="C171" s="98" t="s">
        <v>598</v>
      </c>
      <c r="D171" s="153" t="s">
        <v>404</v>
      </c>
      <c r="E171" s="97" t="s">
        <v>1</v>
      </c>
      <c r="F171" s="97" t="s">
        <v>495</v>
      </c>
      <c r="G171" s="97" t="s">
        <v>1</v>
      </c>
      <c r="H171" s="97" t="s">
        <v>2</v>
      </c>
      <c r="I171" s="100" t="s">
        <v>520</v>
      </c>
      <c r="J171" s="125">
        <v>647.79500000000007</v>
      </c>
      <c r="K171" s="125">
        <v>120.81899999999999</v>
      </c>
      <c r="L171" s="102" t="s">
        <v>376</v>
      </c>
      <c r="M171" s="101" t="s">
        <v>520</v>
      </c>
      <c r="N171" s="110">
        <v>2900</v>
      </c>
      <c r="O171" s="110">
        <v>2900</v>
      </c>
      <c r="P171" s="98" t="s">
        <v>598</v>
      </c>
      <c r="Q171" s="103" t="s">
        <v>598</v>
      </c>
      <c r="R171" s="97" t="s">
        <v>520</v>
      </c>
      <c r="S171" s="97" t="s">
        <v>265</v>
      </c>
      <c r="T171" s="97" t="s">
        <v>2</v>
      </c>
      <c r="U171" s="97">
        <v>2013</v>
      </c>
      <c r="V171" s="97" t="s">
        <v>304</v>
      </c>
      <c r="W171" s="100" t="s">
        <v>520</v>
      </c>
      <c r="X171" s="100" t="s">
        <v>520</v>
      </c>
      <c r="Y171" s="98" t="s">
        <v>598</v>
      </c>
      <c r="Z171" s="107"/>
      <c r="AA171" s="98" t="s">
        <v>1065</v>
      </c>
      <c r="AB171" s="21" t="s">
        <v>1065</v>
      </c>
      <c r="AC171" s="21" t="s">
        <v>1073</v>
      </c>
      <c r="AD171" s="102" t="s">
        <v>1072</v>
      </c>
    </row>
    <row r="172" spans="1:30" x14ac:dyDescent="0.3">
      <c r="A172" s="97">
        <v>2492</v>
      </c>
      <c r="B172" s="97" t="s">
        <v>173</v>
      </c>
      <c r="C172" s="98" t="s">
        <v>598</v>
      </c>
      <c r="D172" s="153" t="s">
        <v>405</v>
      </c>
      <c r="E172" s="97" t="s">
        <v>189</v>
      </c>
      <c r="F172" s="97" t="s">
        <v>1091</v>
      </c>
      <c r="G172" s="97" t="s">
        <v>71</v>
      </c>
      <c r="H172" s="97" t="s">
        <v>2</v>
      </c>
      <c r="I172" s="100" t="s">
        <v>520</v>
      </c>
      <c r="J172" s="120">
        <v>7.12</v>
      </c>
      <c r="K172" s="120">
        <v>4.37</v>
      </c>
      <c r="L172" s="102" t="s">
        <v>376</v>
      </c>
      <c r="M172" s="101" t="s">
        <v>598</v>
      </c>
      <c r="N172" s="103" t="s">
        <v>520</v>
      </c>
      <c r="O172" s="103" t="s">
        <v>520</v>
      </c>
      <c r="P172" s="98" t="s">
        <v>598</v>
      </c>
      <c r="Q172" s="103" t="s">
        <v>598</v>
      </c>
      <c r="R172" s="97" t="s">
        <v>520</v>
      </c>
      <c r="S172" s="97" t="s">
        <v>265</v>
      </c>
      <c r="T172" s="97" t="s">
        <v>2</v>
      </c>
      <c r="U172" s="97">
        <v>2013</v>
      </c>
      <c r="V172" s="97" t="s">
        <v>304</v>
      </c>
      <c r="W172" s="100" t="s">
        <v>520</v>
      </c>
      <c r="X172" s="100" t="s">
        <v>520</v>
      </c>
      <c r="Y172" s="98" t="s">
        <v>598</v>
      </c>
      <c r="Z172" s="107"/>
      <c r="AA172" s="98" t="s">
        <v>1065</v>
      </c>
      <c r="AB172" s="21" t="s">
        <v>1065</v>
      </c>
      <c r="AC172" s="21" t="s">
        <v>1074</v>
      </c>
      <c r="AD172" s="102" t="s">
        <v>1071</v>
      </c>
    </row>
    <row r="173" spans="1:30" x14ac:dyDescent="0.3">
      <c r="A173" s="97">
        <v>2491</v>
      </c>
      <c r="B173" s="97" t="s">
        <v>173</v>
      </c>
      <c r="C173" s="98" t="s">
        <v>520</v>
      </c>
      <c r="D173" s="153" t="s">
        <v>406</v>
      </c>
      <c r="E173" s="97" t="s">
        <v>350</v>
      </c>
      <c r="F173" s="97" t="s">
        <v>1092</v>
      </c>
      <c r="G173" s="97" t="s">
        <v>350</v>
      </c>
      <c r="H173" s="97" t="s">
        <v>4</v>
      </c>
      <c r="I173" s="100" t="s">
        <v>520</v>
      </c>
      <c r="J173" s="120">
        <v>149.71</v>
      </c>
      <c r="K173" s="120">
        <v>95.99</v>
      </c>
      <c r="L173" s="102" t="s">
        <v>376</v>
      </c>
      <c r="M173" s="101" t="s">
        <v>520</v>
      </c>
      <c r="N173" s="108">
        <v>9800</v>
      </c>
      <c r="O173" s="110">
        <v>9800</v>
      </c>
      <c r="P173" s="98" t="s">
        <v>598</v>
      </c>
      <c r="Q173" s="108">
        <v>9800</v>
      </c>
      <c r="R173" s="97" t="s">
        <v>520</v>
      </c>
      <c r="S173" s="97" t="s">
        <v>265</v>
      </c>
      <c r="T173" s="97" t="s">
        <v>2</v>
      </c>
      <c r="U173" s="97">
        <v>2013</v>
      </c>
      <c r="V173" s="97" t="s">
        <v>304</v>
      </c>
      <c r="W173" s="100" t="s">
        <v>520</v>
      </c>
      <c r="X173" s="100" t="s">
        <v>520</v>
      </c>
      <c r="Y173" s="98" t="s">
        <v>598</v>
      </c>
      <c r="Z173" s="107"/>
      <c r="AA173" s="98" t="s">
        <v>1065</v>
      </c>
      <c r="AB173" s="21" t="s">
        <v>1065</v>
      </c>
      <c r="AC173" s="21" t="s">
        <v>1074</v>
      </c>
      <c r="AD173" s="102" t="s">
        <v>1071</v>
      </c>
    </row>
    <row r="174" spans="1:30" x14ac:dyDescent="0.3">
      <c r="A174" s="97">
        <v>2490</v>
      </c>
      <c r="B174" s="97" t="s">
        <v>173</v>
      </c>
      <c r="C174" s="98" t="s">
        <v>598</v>
      </c>
      <c r="D174" s="153" t="s">
        <v>407</v>
      </c>
      <c r="E174" s="97" t="s">
        <v>190</v>
      </c>
      <c r="F174" s="97" t="s">
        <v>1093</v>
      </c>
      <c r="G174" s="97" t="s">
        <v>351</v>
      </c>
      <c r="H174" s="97" t="s">
        <v>4</v>
      </c>
      <c r="I174" s="106">
        <v>2013</v>
      </c>
      <c r="J174" s="101">
        <v>382.2</v>
      </c>
      <c r="K174" s="101">
        <v>118.56</v>
      </c>
      <c r="L174" s="102" t="s">
        <v>376</v>
      </c>
      <c r="M174" s="101">
        <v>128.88</v>
      </c>
      <c r="N174" s="108">
        <v>135000</v>
      </c>
      <c r="O174" s="108">
        <v>200</v>
      </c>
      <c r="P174" s="97" t="s">
        <v>874</v>
      </c>
      <c r="Q174" s="108">
        <v>135000</v>
      </c>
      <c r="R174" s="97" t="s">
        <v>520</v>
      </c>
      <c r="S174" s="97" t="s">
        <v>264</v>
      </c>
      <c r="T174" s="97" t="s">
        <v>4</v>
      </c>
      <c r="U174" s="97">
        <v>2013</v>
      </c>
      <c r="V174" s="97" t="s">
        <v>304</v>
      </c>
      <c r="W174" s="106">
        <v>28.1419817717724</v>
      </c>
      <c r="X174" s="106">
        <v>-80.591261594169296</v>
      </c>
      <c r="Y174" s="98" t="s">
        <v>598</v>
      </c>
      <c r="Z174" s="107"/>
      <c r="AA174" s="21" t="s">
        <v>1064</v>
      </c>
      <c r="AB174" s="21" t="s">
        <v>1064</v>
      </c>
      <c r="AC174" s="21" t="s">
        <v>1064</v>
      </c>
      <c r="AD174" s="102" t="s">
        <v>1075</v>
      </c>
    </row>
    <row r="175" spans="1:30" x14ac:dyDescent="0.3">
      <c r="A175" s="97">
        <v>2522</v>
      </c>
      <c r="B175" s="97" t="s">
        <v>173</v>
      </c>
      <c r="C175" s="98" t="s">
        <v>598</v>
      </c>
      <c r="D175" s="153" t="s">
        <v>408</v>
      </c>
      <c r="E175" s="97" t="s">
        <v>619</v>
      </c>
      <c r="F175" s="97" t="s">
        <v>1094</v>
      </c>
      <c r="G175" s="97" t="s">
        <v>522</v>
      </c>
      <c r="H175" s="97" t="s">
        <v>4</v>
      </c>
      <c r="I175" s="106">
        <v>2013</v>
      </c>
      <c r="J175" s="101">
        <v>8</v>
      </c>
      <c r="K175" s="101">
        <v>1.2</v>
      </c>
      <c r="L175" s="102" t="s">
        <v>376</v>
      </c>
      <c r="M175" s="101">
        <v>0.96</v>
      </c>
      <c r="N175" s="103" t="s">
        <v>520</v>
      </c>
      <c r="O175" s="103" t="s">
        <v>520</v>
      </c>
      <c r="P175" s="97" t="s">
        <v>874</v>
      </c>
      <c r="Q175" s="103" t="s">
        <v>598</v>
      </c>
      <c r="R175" s="97" t="s">
        <v>520</v>
      </c>
      <c r="S175" s="97" t="s">
        <v>264</v>
      </c>
      <c r="T175" s="97" t="s">
        <v>4</v>
      </c>
      <c r="U175" s="97">
        <v>2013</v>
      </c>
      <c r="V175" s="97" t="s">
        <v>304</v>
      </c>
      <c r="W175" s="106">
        <v>28.144626524481399</v>
      </c>
      <c r="X175" s="106">
        <v>-80.586660980083295</v>
      </c>
      <c r="Y175" s="98" t="s">
        <v>598</v>
      </c>
      <c r="Z175" s="107"/>
      <c r="AA175" s="21" t="s">
        <v>1064</v>
      </c>
      <c r="AB175" s="21" t="s">
        <v>1064</v>
      </c>
      <c r="AC175" s="21" t="s">
        <v>1064</v>
      </c>
      <c r="AD175" s="102" t="s">
        <v>1075</v>
      </c>
    </row>
    <row r="176" spans="1:30" x14ac:dyDescent="0.3">
      <c r="A176" s="97">
        <v>2498</v>
      </c>
      <c r="B176" s="97" t="s">
        <v>173</v>
      </c>
      <c r="C176" s="98" t="s">
        <v>598</v>
      </c>
      <c r="D176" s="153" t="s">
        <v>409</v>
      </c>
      <c r="E176" s="97" t="s">
        <v>191</v>
      </c>
      <c r="F176" s="97" t="s">
        <v>1095</v>
      </c>
      <c r="G176" s="97" t="s">
        <v>497</v>
      </c>
      <c r="H176" s="97" t="s">
        <v>4</v>
      </c>
      <c r="I176" s="100" t="s">
        <v>649</v>
      </c>
      <c r="J176" s="101">
        <v>47.78</v>
      </c>
      <c r="K176" s="101">
        <v>8.3800000000000008</v>
      </c>
      <c r="L176" s="102" t="s">
        <v>376</v>
      </c>
      <c r="M176" s="101">
        <v>128.88</v>
      </c>
      <c r="N176" s="103" t="s">
        <v>520</v>
      </c>
      <c r="O176" s="103" t="s">
        <v>520</v>
      </c>
      <c r="P176" s="97" t="s">
        <v>874</v>
      </c>
      <c r="Q176" s="103" t="s">
        <v>598</v>
      </c>
      <c r="R176" s="97" t="s">
        <v>520</v>
      </c>
      <c r="S176" s="97" t="s">
        <v>264</v>
      </c>
      <c r="T176" s="97" t="s">
        <v>2</v>
      </c>
      <c r="U176" s="97">
        <v>2013</v>
      </c>
      <c r="V176" s="97" t="s">
        <v>304</v>
      </c>
      <c r="W176" s="106">
        <v>28.1419817717724</v>
      </c>
      <c r="X176" s="106">
        <v>-80.591261594169296</v>
      </c>
      <c r="Y176" s="98" t="s">
        <v>598</v>
      </c>
      <c r="Z176" s="107"/>
      <c r="AA176" s="21" t="s">
        <v>1064</v>
      </c>
      <c r="AB176" s="21" t="s">
        <v>1064</v>
      </c>
      <c r="AC176" s="21" t="s">
        <v>1064</v>
      </c>
      <c r="AD176" s="102" t="s">
        <v>1075</v>
      </c>
    </row>
    <row r="177" spans="1:30" x14ac:dyDescent="0.3">
      <c r="A177" s="97">
        <v>2500</v>
      </c>
      <c r="B177" s="97" t="s">
        <v>173</v>
      </c>
      <c r="C177" s="98" t="s">
        <v>598</v>
      </c>
      <c r="D177" s="153" t="s">
        <v>175</v>
      </c>
      <c r="E177" s="97" t="s">
        <v>186</v>
      </c>
      <c r="F177" s="97" t="s">
        <v>884</v>
      </c>
      <c r="G177" s="97" t="s">
        <v>345</v>
      </c>
      <c r="H177" s="97" t="s">
        <v>4</v>
      </c>
      <c r="I177" s="106">
        <v>2016</v>
      </c>
      <c r="J177" s="101">
        <v>47.66</v>
      </c>
      <c r="K177" s="101">
        <v>8.3699999999999992</v>
      </c>
      <c r="L177" s="102" t="s">
        <v>376</v>
      </c>
      <c r="M177" s="101">
        <v>2.35</v>
      </c>
      <c r="N177" s="108">
        <v>13277</v>
      </c>
      <c r="O177" s="103" t="s">
        <v>520</v>
      </c>
      <c r="P177" s="97" t="s">
        <v>874</v>
      </c>
      <c r="Q177" s="108">
        <v>13277</v>
      </c>
      <c r="R177" s="97" t="s">
        <v>520</v>
      </c>
      <c r="S177" s="97" t="s">
        <v>264</v>
      </c>
      <c r="T177" s="97" t="s">
        <v>4</v>
      </c>
      <c r="U177" s="97">
        <v>2013</v>
      </c>
      <c r="V177" s="97" t="s">
        <v>304</v>
      </c>
      <c r="W177" s="106">
        <v>28.150274744156199</v>
      </c>
      <c r="X177" s="106">
        <v>-80.589890992945598</v>
      </c>
      <c r="Y177" s="98" t="s">
        <v>598</v>
      </c>
      <c r="Z177" s="107"/>
      <c r="AA177" s="21" t="s">
        <v>1064</v>
      </c>
      <c r="AB177" s="21" t="s">
        <v>1064</v>
      </c>
      <c r="AC177" s="21" t="s">
        <v>1064</v>
      </c>
      <c r="AD177" s="102" t="s">
        <v>1075</v>
      </c>
    </row>
    <row r="178" spans="1:30" x14ac:dyDescent="0.3">
      <c r="A178" s="97">
        <v>2534</v>
      </c>
      <c r="B178" s="97" t="s">
        <v>173</v>
      </c>
      <c r="C178" s="98" t="s">
        <v>598</v>
      </c>
      <c r="D178" s="153" t="s">
        <v>176</v>
      </c>
      <c r="E178" s="97" t="s">
        <v>1103</v>
      </c>
      <c r="F178" s="97" t="s">
        <v>1096</v>
      </c>
      <c r="G178" s="97" t="s">
        <v>345</v>
      </c>
      <c r="H178" s="97" t="s">
        <v>4</v>
      </c>
      <c r="I178" s="106">
        <v>2013</v>
      </c>
      <c r="J178" s="101">
        <v>9</v>
      </c>
      <c r="K178" s="101">
        <v>1</v>
      </c>
      <c r="L178" s="102" t="s">
        <v>376</v>
      </c>
      <c r="M178" s="101">
        <v>2.8</v>
      </c>
      <c r="N178" s="108">
        <v>11481</v>
      </c>
      <c r="O178" s="103" t="s">
        <v>520</v>
      </c>
      <c r="P178" s="97" t="s">
        <v>874</v>
      </c>
      <c r="Q178" s="108">
        <v>11481</v>
      </c>
      <c r="R178" s="97" t="s">
        <v>520</v>
      </c>
      <c r="S178" s="97" t="s">
        <v>264</v>
      </c>
      <c r="T178" s="97" t="s">
        <v>4</v>
      </c>
      <c r="U178" s="97">
        <v>2013</v>
      </c>
      <c r="V178" s="97" t="s">
        <v>304</v>
      </c>
      <c r="W178" s="106">
        <v>28.1522033942665</v>
      </c>
      <c r="X178" s="106">
        <v>-80.594792742586606</v>
      </c>
      <c r="Y178" s="98" t="s">
        <v>598</v>
      </c>
      <c r="Z178" s="107"/>
      <c r="AA178" s="21" t="s">
        <v>1064</v>
      </c>
      <c r="AB178" s="21" t="s">
        <v>1064</v>
      </c>
      <c r="AC178" s="21" t="s">
        <v>1064</v>
      </c>
      <c r="AD178" s="102" t="s">
        <v>1075</v>
      </c>
    </row>
    <row r="179" spans="1:30" x14ac:dyDescent="0.3">
      <c r="A179" s="97">
        <v>2533</v>
      </c>
      <c r="B179" s="97" t="s">
        <v>173</v>
      </c>
      <c r="C179" s="98" t="s">
        <v>598</v>
      </c>
      <c r="D179" s="153" t="s">
        <v>178</v>
      </c>
      <c r="E179" s="97" t="s">
        <v>362</v>
      </c>
      <c r="F179" s="97" t="s">
        <v>1097</v>
      </c>
      <c r="G179" s="97" t="s">
        <v>523</v>
      </c>
      <c r="H179" s="97" t="s">
        <v>4</v>
      </c>
      <c r="I179" s="106">
        <v>2013</v>
      </c>
      <c r="J179" s="101">
        <v>15</v>
      </c>
      <c r="K179" s="101">
        <v>3.1</v>
      </c>
      <c r="L179" s="102" t="s">
        <v>376</v>
      </c>
      <c r="M179" s="101">
        <v>15.8</v>
      </c>
      <c r="N179" s="110">
        <v>59810.2</v>
      </c>
      <c r="O179" s="103" t="s">
        <v>520</v>
      </c>
      <c r="P179" s="97" t="s">
        <v>874</v>
      </c>
      <c r="Q179" s="103" t="s">
        <v>598</v>
      </c>
      <c r="R179" s="97" t="s">
        <v>520</v>
      </c>
      <c r="S179" s="97" t="s">
        <v>264</v>
      </c>
      <c r="T179" s="97" t="s">
        <v>4</v>
      </c>
      <c r="U179" s="97">
        <v>2013</v>
      </c>
      <c r="V179" s="97" t="s">
        <v>304</v>
      </c>
      <c r="W179" s="106">
        <v>28.153125373619702</v>
      </c>
      <c r="X179" s="106">
        <v>-80.589419634286003</v>
      </c>
      <c r="Y179" s="98" t="s">
        <v>598</v>
      </c>
      <c r="Z179" s="107"/>
      <c r="AA179" s="21" t="s">
        <v>1064</v>
      </c>
      <c r="AB179" s="21" t="s">
        <v>1064</v>
      </c>
      <c r="AC179" s="21" t="s">
        <v>1064</v>
      </c>
      <c r="AD179" s="102" t="s">
        <v>1075</v>
      </c>
    </row>
    <row r="180" spans="1:30" x14ac:dyDescent="0.3">
      <c r="A180" s="97">
        <v>2532</v>
      </c>
      <c r="B180" s="97" t="s">
        <v>173</v>
      </c>
      <c r="C180" s="98" t="s">
        <v>598</v>
      </c>
      <c r="D180" s="153" t="s">
        <v>179</v>
      </c>
      <c r="E180" s="97" t="s">
        <v>180</v>
      </c>
      <c r="F180" s="97" t="s">
        <v>1098</v>
      </c>
      <c r="G180" s="97" t="s">
        <v>523</v>
      </c>
      <c r="H180" s="97" t="s">
        <v>4</v>
      </c>
      <c r="I180" s="106">
        <v>2014</v>
      </c>
      <c r="J180" s="101">
        <v>26</v>
      </c>
      <c r="K180" s="101">
        <v>5.8</v>
      </c>
      <c r="L180" s="102" t="s">
        <v>376</v>
      </c>
      <c r="M180" s="101">
        <v>11.15</v>
      </c>
      <c r="N180" s="110">
        <v>167837.6</v>
      </c>
      <c r="O180" s="103" t="s">
        <v>520</v>
      </c>
      <c r="P180" s="97" t="s">
        <v>874</v>
      </c>
      <c r="Q180" s="103" t="s">
        <v>598</v>
      </c>
      <c r="R180" s="97" t="s">
        <v>520</v>
      </c>
      <c r="S180" s="97" t="s">
        <v>264</v>
      </c>
      <c r="T180" s="97" t="s">
        <v>4</v>
      </c>
      <c r="U180" s="97">
        <v>2014</v>
      </c>
      <c r="V180" s="97" t="s">
        <v>304</v>
      </c>
      <c r="W180" s="106">
        <v>28.149141443884201</v>
      </c>
      <c r="X180" s="106">
        <v>-80.593221346315602</v>
      </c>
      <c r="Y180" s="98" t="s">
        <v>598</v>
      </c>
      <c r="Z180" s="107"/>
      <c r="AA180" s="21" t="s">
        <v>1064</v>
      </c>
      <c r="AB180" s="21" t="s">
        <v>1064</v>
      </c>
      <c r="AC180" s="21" t="s">
        <v>1064</v>
      </c>
      <c r="AD180" s="102" t="s">
        <v>1075</v>
      </c>
    </row>
    <row r="181" spans="1:30" x14ac:dyDescent="0.3">
      <c r="A181" s="97">
        <v>2531</v>
      </c>
      <c r="B181" s="97" t="s">
        <v>173</v>
      </c>
      <c r="C181" s="98" t="s">
        <v>598</v>
      </c>
      <c r="D181" s="153" t="s">
        <v>181</v>
      </c>
      <c r="E181" s="97" t="s">
        <v>182</v>
      </c>
      <c r="F181" s="97" t="s">
        <v>1099</v>
      </c>
      <c r="G181" s="97" t="s">
        <v>523</v>
      </c>
      <c r="H181" s="97" t="s">
        <v>4</v>
      </c>
      <c r="I181" s="106">
        <v>2014</v>
      </c>
      <c r="J181" s="101">
        <v>27.75</v>
      </c>
      <c r="K181" s="101">
        <v>6.17</v>
      </c>
      <c r="L181" s="102" t="s">
        <v>376</v>
      </c>
      <c r="M181" s="101">
        <v>31.22</v>
      </c>
      <c r="N181" s="110">
        <v>88739.6</v>
      </c>
      <c r="O181" s="103" t="s">
        <v>520</v>
      </c>
      <c r="P181" s="97" t="s">
        <v>874</v>
      </c>
      <c r="Q181" s="103" t="s">
        <v>598</v>
      </c>
      <c r="R181" s="97" t="s">
        <v>520</v>
      </c>
      <c r="S181" s="97" t="s">
        <v>264</v>
      </c>
      <c r="T181" s="97" t="s">
        <v>4</v>
      </c>
      <c r="U181" s="97">
        <v>2014</v>
      </c>
      <c r="V181" s="97" t="s">
        <v>304</v>
      </c>
      <c r="W181" s="106">
        <v>28.167062505902901</v>
      </c>
      <c r="X181" s="106">
        <v>-80.604401061629702</v>
      </c>
      <c r="Y181" s="98" t="s">
        <v>598</v>
      </c>
      <c r="Z181" s="107"/>
      <c r="AA181" s="21" t="s">
        <v>1064</v>
      </c>
      <c r="AB181" s="21" t="s">
        <v>1064</v>
      </c>
      <c r="AC181" s="21" t="s">
        <v>1064</v>
      </c>
      <c r="AD181" s="102" t="s">
        <v>1075</v>
      </c>
    </row>
    <row r="182" spans="1:30" x14ac:dyDescent="0.3">
      <c r="A182" s="97">
        <v>2530</v>
      </c>
      <c r="B182" s="97" t="s">
        <v>173</v>
      </c>
      <c r="C182" s="98" t="s">
        <v>598</v>
      </c>
      <c r="D182" s="153" t="s">
        <v>183</v>
      </c>
      <c r="E182" s="97" t="s">
        <v>184</v>
      </c>
      <c r="F182" s="97" t="s">
        <v>1100</v>
      </c>
      <c r="G182" s="97" t="s">
        <v>523</v>
      </c>
      <c r="H182" s="97" t="s">
        <v>4</v>
      </c>
      <c r="I182" s="106">
        <v>2014</v>
      </c>
      <c r="J182" s="101">
        <v>4</v>
      </c>
      <c r="K182" s="101">
        <v>0.5</v>
      </c>
      <c r="L182" s="102" t="s">
        <v>376</v>
      </c>
      <c r="M182" s="101">
        <v>8.73</v>
      </c>
      <c r="N182" s="110">
        <v>20120</v>
      </c>
      <c r="O182" s="103" t="s">
        <v>520</v>
      </c>
      <c r="P182" s="97" t="s">
        <v>874</v>
      </c>
      <c r="Q182" s="103" t="s">
        <v>598</v>
      </c>
      <c r="R182" s="97" t="s">
        <v>520</v>
      </c>
      <c r="S182" s="97" t="s">
        <v>264</v>
      </c>
      <c r="T182" s="97" t="s">
        <v>4</v>
      </c>
      <c r="U182" s="97">
        <v>2014</v>
      </c>
      <c r="V182" s="97" t="s">
        <v>304</v>
      </c>
      <c r="W182" s="106">
        <v>28.146238667726099</v>
      </c>
      <c r="X182" s="106">
        <v>-80.602556242949504</v>
      </c>
      <c r="Y182" s="98" t="s">
        <v>598</v>
      </c>
      <c r="Z182" s="107"/>
      <c r="AA182" s="21" t="s">
        <v>1064</v>
      </c>
      <c r="AB182" s="21" t="s">
        <v>1064</v>
      </c>
      <c r="AC182" s="21" t="s">
        <v>1064</v>
      </c>
      <c r="AD182" s="102" t="s">
        <v>1075</v>
      </c>
    </row>
    <row r="183" spans="1:30" x14ac:dyDescent="0.3">
      <c r="A183" s="97">
        <v>2529</v>
      </c>
      <c r="B183" s="97" t="s">
        <v>173</v>
      </c>
      <c r="C183" s="97" t="s">
        <v>598</v>
      </c>
      <c r="D183" s="97" t="s">
        <v>185</v>
      </c>
      <c r="E183" s="97" t="s">
        <v>186</v>
      </c>
      <c r="F183" s="97" t="s">
        <v>520</v>
      </c>
      <c r="G183" s="97" t="s">
        <v>345</v>
      </c>
      <c r="H183" s="97" t="s">
        <v>548</v>
      </c>
      <c r="I183" s="106" t="s">
        <v>520</v>
      </c>
      <c r="J183" s="116" t="s">
        <v>520</v>
      </c>
      <c r="K183" s="116" t="s">
        <v>520</v>
      </c>
      <c r="L183" s="97" t="s">
        <v>520</v>
      </c>
      <c r="M183" s="116" t="s">
        <v>520</v>
      </c>
      <c r="N183" s="110" t="s">
        <v>520</v>
      </c>
      <c r="O183" s="110" t="s">
        <v>520</v>
      </c>
      <c r="P183" s="97" t="s">
        <v>874</v>
      </c>
      <c r="Q183" s="110" t="s">
        <v>520</v>
      </c>
      <c r="R183" s="97" t="s">
        <v>520</v>
      </c>
      <c r="S183" s="97" t="s">
        <v>264</v>
      </c>
      <c r="T183" s="97" t="s">
        <v>306</v>
      </c>
      <c r="U183" s="97">
        <v>2015</v>
      </c>
      <c r="V183" s="97" t="s">
        <v>304</v>
      </c>
      <c r="W183" s="106" t="s">
        <v>520</v>
      </c>
      <c r="X183" s="106" t="s">
        <v>520</v>
      </c>
      <c r="Y183" s="97" t="s">
        <v>520</v>
      </c>
      <c r="Z183" s="117"/>
      <c r="AA183" s="97" t="s">
        <v>306</v>
      </c>
      <c r="AB183" s="97" t="s">
        <v>1065</v>
      </c>
      <c r="AC183" s="97" t="s">
        <v>520</v>
      </c>
      <c r="AD183" s="97" t="s">
        <v>520</v>
      </c>
    </row>
    <row r="184" spans="1:30" x14ac:dyDescent="0.3">
      <c r="A184" s="97">
        <v>2528</v>
      </c>
      <c r="B184" s="97" t="s">
        <v>173</v>
      </c>
      <c r="C184" s="98" t="s">
        <v>598</v>
      </c>
      <c r="D184" s="153" t="s">
        <v>307</v>
      </c>
      <c r="E184" s="97" t="s">
        <v>177</v>
      </c>
      <c r="F184" s="97" t="s">
        <v>1101</v>
      </c>
      <c r="G184" s="97" t="s">
        <v>523</v>
      </c>
      <c r="H184" s="97" t="s">
        <v>4</v>
      </c>
      <c r="I184" s="106">
        <v>2016</v>
      </c>
      <c r="J184" s="101">
        <v>3.3</v>
      </c>
      <c r="K184" s="101">
        <v>0.35</v>
      </c>
      <c r="L184" s="102" t="s">
        <v>376</v>
      </c>
      <c r="M184" s="101">
        <v>2.7947804252770001</v>
      </c>
      <c r="N184" s="110">
        <v>33767.25</v>
      </c>
      <c r="O184" s="103" t="s">
        <v>520</v>
      </c>
      <c r="P184" s="97" t="s">
        <v>874</v>
      </c>
      <c r="Q184" s="103" t="s">
        <v>598</v>
      </c>
      <c r="R184" s="97" t="s">
        <v>520</v>
      </c>
      <c r="S184" s="97" t="s">
        <v>264</v>
      </c>
      <c r="T184" s="97" t="s">
        <v>4</v>
      </c>
      <c r="U184" s="97">
        <v>2016</v>
      </c>
      <c r="V184" s="97" t="s">
        <v>304</v>
      </c>
      <c r="W184" s="106">
        <v>28.1522033942665</v>
      </c>
      <c r="X184" s="106">
        <v>-80.594792742586606</v>
      </c>
      <c r="Y184" s="98" t="s">
        <v>598</v>
      </c>
      <c r="Z184" s="107"/>
      <c r="AA184" s="21" t="s">
        <v>1064</v>
      </c>
      <c r="AB184" s="21" t="s">
        <v>1064</v>
      </c>
      <c r="AC184" s="21" t="s">
        <v>1064</v>
      </c>
      <c r="AD184" s="102" t="s">
        <v>1075</v>
      </c>
    </row>
    <row r="185" spans="1:30" x14ac:dyDescent="0.3">
      <c r="A185" s="97">
        <v>2527</v>
      </c>
      <c r="B185" s="97" t="s">
        <v>173</v>
      </c>
      <c r="C185" s="98" t="s">
        <v>598</v>
      </c>
      <c r="D185" s="153" t="s">
        <v>308</v>
      </c>
      <c r="E185" s="97" t="s">
        <v>309</v>
      </c>
      <c r="F185" s="97" t="s">
        <v>1102</v>
      </c>
      <c r="G185" s="97" t="s">
        <v>523</v>
      </c>
      <c r="H185" s="97" t="s">
        <v>4</v>
      </c>
      <c r="I185" s="106">
        <v>2016</v>
      </c>
      <c r="J185" s="101">
        <v>8</v>
      </c>
      <c r="K185" s="101">
        <v>1.1000000000000001</v>
      </c>
      <c r="L185" s="102" t="s">
        <v>376</v>
      </c>
      <c r="M185" s="101">
        <v>7.723622658891129</v>
      </c>
      <c r="N185" s="110">
        <v>43925.55</v>
      </c>
      <c r="O185" s="103" t="s">
        <v>520</v>
      </c>
      <c r="P185" s="97" t="s">
        <v>874</v>
      </c>
      <c r="Q185" s="103" t="s">
        <v>598</v>
      </c>
      <c r="R185" s="97" t="s">
        <v>520</v>
      </c>
      <c r="S185" s="97" t="s">
        <v>264</v>
      </c>
      <c r="T185" s="97" t="s">
        <v>4</v>
      </c>
      <c r="U185" s="97">
        <v>2016</v>
      </c>
      <c r="V185" s="97" t="s">
        <v>304</v>
      </c>
      <c r="W185" s="106">
        <v>28.1563672209728</v>
      </c>
      <c r="X185" s="106">
        <v>-80.602189794172403</v>
      </c>
      <c r="Y185" s="98" t="s">
        <v>598</v>
      </c>
      <c r="Z185" s="107"/>
      <c r="AA185" s="21" t="s">
        <v>1064</v>
      </c>
      <c r="AB185" s="21" t="s">
        <v>1064</v>
      </c>
      <c r="AC185" s="21" t="s">
        <v>1064</v>
      </c>
      <c r="AD185" s="102" t="s">
        <v>1075</v>
      </c>
    </row>
    <row r="186" spans="1:30" x14ac:dyDescent="0.3">
      <c r="A186" s="97">
        <v>2526</v>
      </c>
      <c r="B186" s="97" t="s">
        <v>173</v>
      </c>
      <c r="C186" s="97" t="s">
        <v>620</v>
      </c>
      <c r="D186" s="153" t="s">
        <v>310</v>
      </c>
      <c r="E186" s="97" t="s">
        <v>327</v>
      </c>
      <c r="F186" s="97" t="s">
        <v>496</v>
      </c>
      <c r="G186" s="97" t="s">
        <v>497</v>
      </c>
      <c r="H186" s="97" t="s">
        <v>4</v>
      </c>
      <c r="I186" s="106">
        <v>2017</v>
      </c>
      <c r="J186" s="101">
        <v>47.66</v>
      </c>
      <c r="K186" s="101">
        <v>8.3699999999999992</v>
      </c>
      <c r="L186" s="102" t="s">
        <v>376</v>
      </c>
      <c r="M186" s="101">
        <v>128.87665205312118</v>
      </c>
      <c r="N186" s="108">
        <v>11000</v>
      </c>
      <c r="O186" s="104" t="s">
        <v>520</v>
      </c>
      <c r="P186" s="97" t="s">
        <v>1107</v>
      </c>
      <c r="Q186" s="110" t="s">
        <v>909</v>
      </c>
      <c r="R186" s="97" t="s">
        <v>520</v>
      </c>
      <c r="S186" s="97" t="s">
        <v>264</v>
      </c>
      <c r="T186" s="97" t="s">
        <v>340</v>
      </c>
      <c r="U186" s="97">
        <v>2016</v>
      </c>
      <c r="V186" s="97" t="s">
        <v>304</v>
      </c>
      <c r="W186" s="106">
        <v>28.1419817717724</v>
      </c>
      <c r="X186" s="106">
        <v>-80.591261594169296</v>
      </c>
      <c r="Y186" s="99" t="s">
        <v>554</v>
      </c>
      <c r="Z186" s="107"/>
      <c r="AA186" s="21" t="s">
        <v>1064</v>
      </c>
      <c r="AB186" s="21" t="s">
        <v>1064</v>
      </c>
      <c r="AC186" s="21" t="s">
        <v>1064</v>
      </c>
      <c r="AD186" s="102" t="s">
        <v>1075</v>
      </c>
    </row>
    <row r="187" spans="1:30" x14ac:dyDescent="0.3">
      <c r="A187" s="97">
        <v>2525</v>
      </c>
      <c r="B187" s="97" t="s">
        <v>173</v>
      </c>
      <c r="C187" s="97" t="s">
        <v>520</v>
      </c>
      <c r="D187" s="97" t="s">
        <v>311</v>
      </c>
      <c r="E187" s="97" t="s">
        <v>328</v>
      </c>
      <c r="F187" s="97" t="s">
        <v>508</v>
      </c>
      <c r="G187" s="97" t="s">
        <v>345</v>
      </c>
      <c r="H187" s="97" t="s">
        <v>548</v>
      </c>
      <c r="I187" s="106" t="s">
        <v>520</v>
      </c>
      <c r="J187" s="116" t="s">
        <v>520</v>
      </c>
      <c r="K187" s="116" t="s">
        <v>520</v>
      </c>
      <c r="L187" s="97" t="s">
        <v>520</v>
      </c>
      <c r="M187" s="116" t="s">
        <v>520</v>
      </c>
      <c r="N187" s="116" t="s">
        <v>520</v>
      </c>
      <c r="O187" s="116" t="s">
        <v>520</v>
      </c>
      <c r="P187" s="116" t="s">
        <v>520</v>
      </c>
      <c r="Q187" s="116" t="s">
        <v>520</v>
      </c>
      <c r="R187" s="97" t="s">
        <v>520</v>
      </c>
      <c r="S187" s="97" t="s">
        <v>264</v>
      </c>
      <c r="T187" s="97" t="s">
        <v>340</v>
      </c>
      <c r="U187" s="97">
        <v>2016</v>
      </c>
      <c r="V187" s="97" t="s">
        <v>304</v>
      </c>
      <c r="W187" s="116" t="s">
        <v>520</v>
      </c>
      <c r="X187" s="116" t="s">
        <v>520</v>
      </c>
      <c r="Y187" s="116" t="s">
        <v>520</v>
      </c>
      <c r="Z187" s="107"/>
      <c r="AA187" s="21" t="s">
        <v>548</v>
      </c>
      <c r="AB187" s="116" t="s">
        <v>520</v>
      </c>
      <c r="AC187" s="116" t="s">
        <v>520</v>
      </c>
      <c r="AD187" s="116" t="s">
        <v>520</v>
      </c>
    </row>
    <row r="188" spans="1:30" x14ac:dyDescent="0.3">
      <c r="A188" s="97">
        <v>2512</v>
      </c>
      <c r="B188" s="97" t="s">
        <v>173</v>
      </c>
      <c r="C188" s="98" t="s">
        <v>598</v>
      </c>
      <c r="D188" s="153" t="s">
        <v>312</v>
      </c>
      <c r="E188" s="97" t="s">
        <v>329</v>
      </c>
      <c r="F188" s="97" t="s">
        <v>507</v>
      </c>
      <c r="G188" s="106" t="s">
        <v>791</v>
      </c>
      <c r="H188" s="97" t="s">
        <v>530</v>
      </c>
      <c r="I188" s="100" t="s">
        <v>361</v>
      </c>
      <c r="J188" s="101" t="s">
        <v>361</v>
      </c>
      <c r="K188" s="101" t="s">
        <v>361</v>
      </c>
      <c r="L188" s="102" t="s">
        <v>376</v>
      </c>
      <c r="M188" s="101">
        <v>137.89216378656192</v>
      </c>
      <c r="N188" s="108">
        <v>20000</v>
      </c>
      <c r="O188" s="104" t="s">
        <v>361</v>
      </c>
      <c r="P188" s="118" t="s">
        <v>874</v>
      </c>
      <c r="Q188" s="104" t="s">
        <v>361</v>
      </c>
      <c r="R188" s="97" t="s">
        <v>520</v>
      </c>
      <c r="S188" s="97" t="s">
        <v>264</v>
      </c>
      <c r="T188" s="97" t="s">
        <v>340</v>
      </c>
      <c r="U188" s="97">
        <v>2016</v>
      </c>
      <c r="V188" s="97" t="s">
        <v>304</v>
      </c>
      <c r="W188" s="106">
        <v>28.140520442244</v>
      </c>
      <c r="X188" s="106">
        <v>-80.596190630938906</v>
      </c>
      <c r="Y188" s="98" t="s">
        <v>361</v>
      </c>
      <c r="Z188" s="107"/>
      <c r="AA188" s="21" t="s">
        <v>1064</v>
      </c>
      <c r="AB188" s="21" t="s">
        <v>1064</v>
      </c>
      <c r="AC188" s="21" t="s">
        <v>1064</v>
      </c>
      <c r="AD188" s="102" t="s">
        <v>1075</v>
      </c>
    </row>
    <row r="189" spans="1:30" x14ac:dyDescent="0.3">
      <c r="A189" s="97">
        <v>2523</v>
      </c>
      <c r="B189" s="97" t="s">
        <v>173</v>
      </c>
      <c r="C189" s="98" t="s">
        <v>361</v>
      </c>
      <c r="D189" s="153" t="s">
        <v>313</v>
      </c>
      <c r="E189" s="97" t="s">
        <v>330</v>
      </c>
      <c r="F189" s="99" t="s">
        <v>498</v>
      </c>
      <c r="G189" s="106" t="s">
        <v>822</v>
      </c>
      <c r="H189" s="97" t="s">
        <v>530</v>
      </c>
      <c r="I189" s="100" t="s">
        <v>361</v>
      </c>
      <c r="J189" s="101">
        <v>54</v>
      </c>
      <c r="K189" s="101">
        <v>12.2</v>
      </c>
      <c r="L189" s="102" t="s">
        <v>376</v>
      </c>
      <c r="M189" s="101">
        <v>3.6229922974460003</v>
      </c>
      <c r="N189" s="108">
        <v>20000</v>
      </c>
      <c r="O189" s="104" t="s">
        <v>361</v>
      </c>
      <c r="P189" s="119" t="s">
        <v>361</v>
      </c>
      <c r="Q189" s="104" t="s">
        <v>361</v>
      </c>
      <c r="R189" s="97" t="s">
        <v>520</v>
      </c>
      <c r="S189" s="97" t="s">
        <v>264</v>
      </c>
      <c r="T189" s="97" t="s">
        <v>340</v>
      </c>
      <c r="U189" s="97">
        <v>2016</v>
      </c>
      <c r="V189" s="97" t="s">
        <v>304</v>
      </c>
      <c r="W189" s="106">
        <v>28.148647251973699</v>
      </c>
      <c r="X189" s="106">
        <v>-80.598290671963298</v>
      </c>
      <c r="Y189" s="98" t="s">
        <v>361</v>
      </c>
      <c r="Z189" s="107"/>
      <c r="AA189" s="21" t="s">
        <v>1064</v>
      </c>
      <c r="AB189" s="21" t="s">
        <v>1064</v>
      </c>
      <c r="AC189" s="21" t="s">
        <v>1064</v>
      </c>
      <c r="AD189" s="102" t="s">
        <v>1075</v>
      </c>
    </row>
    <row r="190" spans="1:30" x14ac:dyDescent="0.3">
      <c r="A190" s="97">
        <v>2535</v>
      </c>
      <c r="B190" s="97" t="s">
        <v>173</v>
      </c>
      <c r="C190" s="98" t="s">
        <v>361</v>
      </c>
      <c r="D190" s="153" t="s">
        <v>314</v>
      </c>
      <c r="E190" s="97" t="s">
        <v>331</v>
      </c>
      <c r="F190" s="97" t="s">
        <v>506</v>
      </c>
      <c r="G190" s="106" t="s">
        <v>822</v>
      </c>
      <c r="H190" s="97" t="s">
        <v>530</v>
      </c>
      <c r="I190" s="100" t="s">
        <v>361</v>
      </c>
      <c r="J190" s="101">
        <v>23</v>
      </c>
      <c r="K190" s="101">
        <v>3.3</v>
      </c>
      <c r="L190" s="102" t="s">
        <v>376</v>
      </c>
      <c r="M190" s="101">
        <v>2.5126751075699998</v>
      </c>
      <c r="N190" s="108">
        <v>50000</v>
      </c>
      <c r="O190" s="104" t="s">
        <v>361</v>
      </c>
      <c r="P190" s="119" t="s">
        <v>361</v>
      </c>
      <c r="Q190" s="104" t="s">
        <v>361</v>
      </c>
      <c r="R190" s="97" t="s">
        <v>520</v>
      </c>
      <c r="S190" s="97" t="s">
        <v>264</v>
      </c>
      <c r="T190" s="97" t="s">
        <v>340</v>
      </c>
      <c r="U190" s="97">
        <v>2016</v>
      </c>
      <c r="V190" s="97" t="s">
        <v>304</v>
      </c>
      <c r="W190" s="106">
        <v>28.1551350518336</v>
      </c>
      <c r="X190" s="106">
        <v>-80.595295999261793</v>
      </c>
      <c r="Y190" s="98" t="s">
        <v>361</v>
      </c>
      <c r="Z190" s="107"/>
      <c r="AA190" s="21" t="s">
        <v>1064</v>
      </c>
      <c r="AB190" s="21" t="s">
        <v>1064</v>
      </c>
      <c r="AC190" s="21" t="s">
        <v>1064</v>
      </c>
      <c r="AD190" s="102" t="s">
        <v>1075</v>
      </c>
    </row>
    <row r="191" spans="1:30" x14ac:dyDescent="0.3">
      <c r="A191" s="97">
        <v>2521</v>
      </c>
      <c r="B191" s="97" t="s">
        <v>173</v>
      </c>
      <c r="C191" s="98" t="s">
        <v>361</v>
      </c>
      <c r="D191" s="153" t="s">
        <v>315</v>
      </c>
      <c r="E191" s="97" t="s">
        <v>332</v>
      </c>
      <c r="F191" s="97" t="s">
        <v>505</v>
      </c>
      <c r="G191" s="97" t="s">
        <v>351</v>
      </c>
      <c r="H191" s="97" t="s">
        <v>530</v>
      </c>
      <c r="I191" s="100" t="s">
        <v>361</v>
      </c>
      <c r="J191" s="101">
        <v>99.25</v>
      </c>
      <c r="K191" s="101">
        <v>32.090000000000003</v>
      </c>
      <c r="L191" s="102" t="s">
        <v>376</v>
      </c>
      <c r="M191" s="101">
        <v>34.238829454483813</v>
      </c>
      <c r="N191" s="108">
        <v>600000</v>
      </c>
      <c r="O191" s="104" t="s">
        <v>361</v>
      </c>
      <c r="P191" s="119" t="s">
        <v>361</v>
      </c>
      <c r="Q191" s="104" t="s">
        <v>361</v>
      </c>
      <c r="R191" s="97" t="s">
        <v>520</v>
      </c>
      <c r="S191" s="97" t="s">
        <v>264</v>
      </c>
      <c r="T191" s="97" t="s">
        <v>340</v>
      </c>
      <c r="U191" s="97">
        <v>2016</v>
      </c>
      <c r="V191" s="97" t="s">
        <v>304</v>
      </c>
      <c r="W191" s="106">
        <v>28.154582699712101</v>
      </c>
      <c r="X191" s="106">
        <v>-80.590641664946006</v>
      </c>
      <c r="Y191" s="98" t="s">
        <v>361</v>
      </c>
      <c r="Z191" s="107"/>
      <c r="AA191" s="21" t="s">
        <v>1064</v>
      </c>
      <c r="AB191" s="21" t="s">
        <v>1064</v>
      </c>
      <c r="AC191" s="21" t="s">
        <v>1064</v>
      </c>
      <c r="AD191" s="102" t="s">
        <v>1075</v>
      </c>
    </row>
    <row r="192" spans="1:30" x14ac:dyDescent="0.3">
      <c r="A192" s="97">
        <v>2520</v>
      </c>
      <c r="B192" s="97" t="s">
        <v>173</v>
      </c>
      <c r="C192" s="97" t="s">
        <v>620</v>
      </c>
      <c r="D192" s="153" t="s">
        <v>316</v>
      </c>
      <c r="E192" s="97" t="s">
        <v>621</v>
      </c>
      <c r="F192" s="97" t="s">
        <v>499</v>
      </c>
      <c r="G192" s="97" t="s">
        <v>669</v>
      </c>
      <c r="H192" s="97" t="s">
        <v>256</v>
      </c>
      <c r="I192" s="106" t="s">
        <v>1104</v>
      </c>
      <c r="J192" s="101" t="s">
        <v>361</v>
      </c>
      <c r="K192" s="101" t="s">
        <v>361</v>
      </c>
      <c r="L192" s="102" t="s">
        <v>376</v>
      </c>
      <c r="M192" s="101">
        <v>63.8</v>
      </c>
      <c r="N192" s="108">
        <v>409522</v>
      </c>
      <c r="O192" s="108">
        <v>2500</v>
      </c>
      <c r="P192" s="97" t="s">
        <v>1105</v>
      </c>
      <c r="Q192" s="108" t="s">
        <v>922</v>
      </c>
      <c r="R192" s="97" t="s">
        <v>520</v>
      </c>
      <c r="S192" s="97" t="s">
        <v>264</v>
      </c>
      <c r="T192" s="97" t="s">
        <v>340</v>
      </c>
      <c r="U192" s="97">
        <v>2016</v>
      </c>
      <c r="V192" s="97" t="s">
        <v>304</v>
      </c>
      <c r="W192" s="106">
        <v>28.147084</v>
      </c>
      <c r="X192" s="106">
        <v>-80.589129</v>
      </c>
      <c r="Y192" s="99" t="s">
        <v>554</v>
      </c>
      <c r="Z192" s="107">
        <v>5</v>
      </c>
      <c r="AA192" s="21" t="s">
        <v>1064</v>
      </c>
      <c r="AB192" s="21" t="s">
        <v>1064</v>
      </c>
      <c r="AC192" s="21" t="s">
        <v>1064</v>
      </c>
      <c r="AD192" s="102" t="s">
        <v>1075</v>
      </c>
    </row>
    <row r="193" spans="1:30" x14ac:dyDescent="0.3">
      <c r="A193" s="97">
        <v>2519</v>
      </c>
      <c r="B193" s="97" t="s">
        <v>173</v>
      </c>
      <c r="C193" s="98" t="s">
        <v>598</v>
      </c>
      <c r="D193" s="153" t="s">
        <v>317</v>
      </c>
      <c r="E193" s="97" t="s">
        <v>622</v>
      </c>
      <c r="F193" s="97" t="s">
        <v>500</v>
      </c>
      <c r="G193" s="97" t="s">
        <v>669</v>
      </c>
      <c r="H193" s="97" t="s">
        <v>530</v>
      </c>
      <c r="I193" s="100" t="s">
        <v>361</v>
      </c>
      <c r="J193" s="59" t="s">
        <v>361</v>
      </c>
      <c r="K193" s="59" t="s">
        <v>361</v>
      </c>
      <c r="L193" s="21" t="s">
        <v>376</v>
      </c>
      <c r="M193" s="59" t="s">
        <v>361</v>
      </c>
      <c r="N193" s="103" t="s">
        <v>598</v>
      </c>
      <c r="O193" s="103" t="s">
        <v>598</v>
      </c>
      <c r="P193" s="103" t="s">
        <v>598</v>
      </c>
      <c r="Q193" s="103" t="s">
        <v>598</v>
      </c>
      <c r="R193" s="97" t="s">
        <v>520</v>
      </c>
      <c r="S193" s="97" t="s">
        <v>264</v>
      </c>
      <c r="T193" s="97" t="s">
        <v>340</v>
      </c>
      <c r="U193" s="97">
        <v>2016</v>
      </c>
      <c r="V193" s="97" t="s">
        <v>304</v>
      </c>
      <c r="W193" s="100" t="s">
        <v>598</v>
      </c>
      <c r="X193" s="100" t="s">
        <v>598</v>
      </c>
      <c r="Y193" s="98" t="s">
        <v>598</v>
      </c>
      <c r="Z193" s="107"/>
      <c r="AA193" s="98" t="s">
        <v>1065</v>
      </c>
      <c r="AB193" s="21" t="s">
        <v>1064</v>
      </c>
      <c r="AC193" s="21" t="s">
        <v>1081</v>
      </c>
      <c r="AD193" s="21" t="s">
        <v>520</v>
      </c>
    </row>
    <row r="194" spans="1:30" x14ac:dyDescent="0.3">
      <c r="A194" s="97">
        <v>2518</v>
      </c>
      <c r="B194" s="97" t="s">
        <v>173</v>
      </c>
      <c r="C194" s="98" t="s">
        <v>598</v>
      </c>
      <c r="D194" s="153" t="s">
        <v>318</v>
      </c>
      <c r="E194" s="97" t="s">
        <v>333</v>
      </c>
      <c r="F194" s="97" t="s">
        <v>885</v>
      </c>
      <c r="G194" s="97" t="s">
        <v>348</v>
      </c>
      <c r="H194" s="97" t="s">
        <v>530</v>
      </c>
      <c r="I194" s="100" t="s">
        <v>361</v>
      </c>
      <c r="J194" s="59" t="s">
        <v>361</v>
      </c>
      <c r="K194" s="59" t="s">
        <v>361</v>
      </c>
      <c r="L194" s="21" t="s">
        <v>376</v>
      </c>
      <c r="M194" s="59" t="s">
        <v>361</v>
      </c>
      <c r="N194" s="103" t="s">
        <v>598</v>
      </c>
      <c r="O194" s="103" t="s">
        <v>598</v>
      </c>
      <c r="P194" s="103" t="s">
        <v>598</v>
      </c>
      <c r="Q194" s="103" t="s">
        <v>598</v>
      </c>
      <c r="R194" s="97" t="s">
        <v>520</v>
      </c>
      <c r="S194" s="97" t="s">
        <v>264</v>
      </c>
      <c r="T194" s="97" t="s">
        <v>340</v>
      </c>
      <c r="U194" s="97">
        <v>2016</v>
      </c>
      <c r="V194" s="97" t="s">
        <v>304</v>
      </c>
      <c r="W194" s="100" t="s">
        <v>598</v>
      </c>
      <c r="X194" s="100" t="s">
        <v>598</v>
      </c>
      <c r="Y194" s="98" t="s">
        <v>598</v>
      </c>
      <c r="Z194" s="107"/>
      <c r="AA194" s="98" t="s">
        <v>1065</v>
      </c>
      <c r="AB194" s="21" t="s">
        <v>1064</v>
      </c>
      <c r="AC194" s="21" t="s">
        <v>1081</v>
      </c>
      <c r="AD194" s="21" t="s">
        <v>520</v>
      </c>
    </row>
    <row r="195" spans="1:30" x14ac:dyDescent="0.3">
      <c r="A195" s="97">
        <v>2517</v>
      </c>
      <c r="B195" s="97" t="s">
        <v>173</v>
      </c>
      <c r="C195" s="98" t="s">
        <v>598</v>
      </c>
      <c r="D195" s="153" t="s">
        <v>319</v>
      </c>
      <c r="E195" s="97" t="s">
        <v>334</v>
      </c>
      <c r="F195" s="97" t="s">
        <v>501</v>
      </c>
      <c r="G195" s="97" t="s">
        <v>523</v>
      </c>
      <c r="H195" s="97" t="s">
        <v>530</v>
      </c>
      <c r="I195" s="100" t="s">
        <v>361</v>
      </c>
      <c r="J195" s="101" t="s">
        <v>361</v>
      </c>
      <c r="K195" s="101" t="s">
        <v>361</v>
      </c>
      <c r="L195" s="102" t="s">
        <v>376</v>
      </c>
      <c r="M195" s="101">
        <v>4.9432690368478998</v>
      </c>
      <c r="N195" s="108">
        <v>30000</v>
      </c>
      <c r="O195" s="103" t="s">
        <v>598</v>
      </c>
      <c r="P195" s="103" t="s">
        <v>598</v>
      </c>
      <c r="Q195" s="103" t="s">
        <v>598</v>
      </c>
      <c r="R195" s="97" t="s">
        <v>520</v>
      </c>
      <c r="S195" s="97" t="s">
        <v>264</v>
      </c>
      <c r="T195" s="97" t="s">
        <v>340</v>
      </c>
      <c r="U195" s="97">
        <v>2016</v>
      </c>
      <c r="V195" s="97" t="s">
        <v>304</v>
      </c>
      <c r="W195" s="106">
        <v>28.151529782725198</v>
      </c>
      <c r="X195" s="106">
        <v>-80.588906892596199</v>
      </c>
      <c r="Y195" s="98" t="s">
        <v>598</v>
      </c>
      <c r="Z195" s="107"/>
      <c r="AA195" s="21" t="s">
        <v>1064</v>
      </c>
      <c r="AB195" s="21" t="s">
        <v>1064</v>
      </c>
      <c r="AC195" s="21" t="s">
        <v>1064</v>
      </c>
      <c r="AD195" s="102" t="s">
        <v>1075</v>
      </c>
    </row>
    <row r="196" spans="1:30" x14ac:dyDescent="0.3">
      <c r="A196" s="97">
        <v>2516</v>
      </c>
      <c r="B196" s="97" t="s">
        <v>173</v>
      </c>
      <c r="C196" s="98" t="s">
        <v>598</v>
      </c>
      <c r="D196" s="153" t="s">
        <v>320</v>
      </c>
      <c r="E196" s="97" t="s">
        <v>335</v>
      </c>
      <c r="F196" s="97" t="s">
        <v>509</v>
      </c>
      <c r="G196" s="106" t="s">
        <v>822</v>
      </c>
      <c r="H196" s="97" t="s">
        <v>530</v>
      </c>
      <c r="I196" s="100" t="s">
        <v>361</v>
      </c>
      <c r="J196" s="101">
        <v>83.1</v>
      </c>
      <c r="K196" s="101">
        <v>21.3</v>
      </c>
      <c r="L196" s="102" t="s">
        <v>376</v>
      </c>
      <c r="M196" s="101">
        <v>4.8116448426202005</v>
      </c>
      <c r="N196" s="108">
        <v>50000</v>
      </c>
      <c r="O196" s="103" t="s">
        <v>598</v>
      </c>
      <c r="P196" s="103" t="s">
        <v>598</v>
      </c>
      <c r="Q196" s="103" t="s">
        <v>598</v>
      </c>
      <c r="R196" s="97" t="s">
        <v>520</v>
      </c>
      <c r="S196" s="97" t="s">
        <v>264</v>
      </c>
      <c r="T196" s="97" t="s">
        <v>340</v>
      </c>
      <c r="U196" s="97">
        <v>2016</v>
      </c>
      <c r="V196" s="97" t="s">
        <v>304</v>
      </c>
      <c r="W196" s="106">
        <v>28.149535576933001</v>
      </c>
      <c r="X196" s="106">
        <v>-80.586295016074004</v>
      </c>
      <c r="Y196" s="98" t="s">
        <v>598</v>
      </c>
      <c r="Z196" s="107">
        <v>4</v>
      </c>
      <c r="AA196" s="21" t="s">
        <v>1064</v>
      </c>
      <c r="AB196" s="21" t="s">
        <v>1064</v>
      </c>
      <c r="AC196" s="21" t="s">
        <v>1064</v>
      </c>
      <c r="AD196" s="102" t="s">
        <v>1075</v>
      </c>
    </row>
    <row r="197" spans="1:30" x14ac:dyDescent="0.3">
      <c r="A197" s="97">
        <v>2515</v>
      </c>
      <c r="B197" s="97" t="s">
        <v>173</v>
      </c>
      <c r="C197" s="98" t="s">
        <v>598</v>
      </c>
      <c r="D197" s="153" t="s">
        <v>321</v>
      </c>
      <c r="E197" s="97" t="s">
        <v>886</v>
      </c>
      <c r="F197" s="97" t="s">
        <v>510</v>
      </c>
      <c r="G197" s="97" t="s">
        <v>523</v>
      </c>
      <c r="H197" s="97" t="s">
        <v>530</v>
      </c>
      <c r="I197" s="100" t="s">
        <v>361</v>
      </c>
      <c r="J197" s="101">
        <v>62.62</v>
      </c>
      <c r="K197" s="101">
        <v>9.99</v>
      </c>
      <c r="L197" s="102" t="s">
        <v>376</v>
      </c>
      <c r="M197" s="101">
        <v>15.57661965109439</v>
      </c>
      <c r="N197" s="108">
        <v>500000</v>
      </c>
      <c r="O197" s="103" t="s">
        <v>598</v>
      </c>
      <c r="P197" s="103" t="s">
        <v>598</v>
      </c>
      <c r="Q197" s="103" t="s">
        <v>598</v>
      </c>
      <c r="R197" s="97" t="s">
        <v>520</v>
      </c>
      <c r="S197" s="97" t="s">
        <v>264</v>
      </c>
      <c r="T197" s="97" t="s">
        <v>340</v>
      </c>
      <c r="U197" s="97">
        <v>2016</v>
      </c>
      <c r="V197" s="97" t="s">
        <v>304</v>
      </c>
      <c r="W197" s="106">
        <v>28.147649868748701</v>
      </c>
      <c r="X197" s="106">
        <v>-80.589172486615695</v>
      </c>
      <c r="Y197" s="98" t="s">
        <v>598</v>
      </c>
      <c r="Z197" s="107"/>
      <c r="AA197" s="21" t="s">
        <v>1064</v>
      </c>
      <c r="AB197" s="21" t="s">
        <v>1064</v>
      </c>
      <c r="AC197" s="21" t="s">
        <v>1064</v>
      </c>
      <c r="AD197" s="102" t="s">
        <v>1075</v>
      </c>
    </row>
    <row r="198" spans="1:30" x14ac:dyDescent="0.3">
      <c r="A198" s="97">
        <v>2514</v>
      </c>
      <c r="B198" s="97" t="s">
        <v>173</v>
      </c>
      <c r="C198" s="98" t="s">
        <v>598</v>
      </c>
      <c r="D198" s="153" t="s">
        <v>322</v>
      </c>
      <c r="E198" s="97" t="s">
        <v>477</v>
      </c>
      <c r="F198" s="97" t="s">
        <v>511</v>
      </c>
      <c r="G198" s="97" t="s">
        <v>523</v>
      </c>
      <c r="H198" s="97" t="s">
        <v>530</v>
      </c>
      <c r="I198" s="100" t="s">
        <v>361</v>
      </c>
      <c r="J198" s="101">
        <v>15.35</v>
      </c>
      <c r="K198" s="101">
        <v>2.15</v>
      </c>
      <c r="L198" s="102" t="s">
        <v>376</v>
      </c>
      <c r="M198" s="101">
        <v>2.1745147619899998</v>
      </c>
      <c r="N198" s="108">
        <v>200000</v>
      </c>
      <c r="O198" s="103" t="s">
        <v>598</v>
      </c>
      <c r="P198" s="103" t="s">
        <v>598</v>
      </c>
      <c r="Q198" s="103" t="s">
        <v>598</v>
      </c>
      <c r="R198" s="97" t="s">
        <v>520</v>
      </c>
      <c r="S198" s="97" t="s">
        <v>264</v>
      </c>
      <c r="T198" s="97" t="s">
        <v>340</v>
      </c>
      <c r="U198" s="97">
        <v>2016</v>
      </c>
      <c r="V198" s="97" t="s">
        <v>304</v>
      </c>
      <c r="W198" s="106">
        <v>28.147195147809001</v>
      </c>
      <c r="X198" s="106">
        <v>-80.587739033362695</v>
      </c>
      <c r="Y198" s="98" t="s">
        <v>598</v>
      </c>
      <c r="Z198" s="107"/>
      <c r="AA198" s="21" t="s">
        <v>1064</v>
      </c>
      <c r="AB198" s="21" t="s">
        <v>1064</v>
      </c>
      <c r="AC198" s="21" t="s">
        <v>1064</v>
      </c>
      <c r="AD198" s="102" t="s">
        <v>1075</v>
      </c>
    </row>
    <row r="199" spans="1:30" x14ac:dyDescent="0.3">
      <c r="A199" s="97">
        <v>2606</v>
      </c>
      <c r="B199" s="97" t="s">
        <v>173</v>
      </c>
      <c r="C199" s="98" t="s">
        <v>598</v>
      </c>
      <c r="D199" s="153" t="s">
        <v>323</v>
      </c>
      <c r="E199" s="97" t="s">
        <v>336</v>
      </c>
      <c r="F199" s="97" t="s">
        <v>512</v>
      </c>
      <c r="G199" s="97" t="s">
        <v>523</v>
      </c>
      <c r="H199" s="97" t="s">
        <v>530</v>
      </c>
      <c r="I199" s="100" t="s">
        <v>361</v>
      </c>
      <c r="J199" s="101">
        <v>187.86</v>
      </c>
      <c r="K199" s="101">
        <v>26.81</v>
      </c>
      <c r="L199" s="102" t="s">
        <v>376</v>
      </c>
      <c r="M199" s="101">
        <v>37.623180265842954</v>
      </c>
      <c r="N199" s="108">
        <v>1400000</v>
      </c>
      <c r="O199" s="103" t="s">
        <v>598</v>
      </c>
      <c r="P199" s="103" t="s">
        <v>598</v>
      </c>
      <c r="Q199" s="103" t="s">
        <v>598</v>
      </c>
      <c r="R199" s="97" t="s">
        <v>520</v>
      </c>
      <c r="S199" s="97" t="s">
        <v>264</v>
      </c>
      <c r="T199" s="97" t="s">
        <v>340</v>
      </c>
      <c r="U199" s="97">
        <v>2016</v>
      </c>
      <c r="V199" s="97" t="s">
        <v>304</v>
      </c>
      <c r="W199" s="106">
        <v>28.1445806072838</v>
      </c>
      <c r="X199" s="106">
        <v>-80.585558931359699</v>
      </c>
      <c r="Y199" s="98" t="s">
        <v>598</v>
      </c>
      <c r="Z199" s="107"/>
      <c r="AA199" s="21" t="s">
        <v>1064</v>
      </c>
      <c r="AB199" s="21" t="s">
        <v>1064</v>
      </c>
      <c r="AC199" s="21" t="s">
        <v>1064</v>
      </c>
      <c r="AD199" s="102" t="s">
        <v>1075</v>
      </c>
    </row>
    <row r="200" spans="1:30" x14ac:dyDescent="0.3">
      <c r="A200" s="97">
        <v>2510</v>
      </c>
      <c r="B200" s="97" t="s">
        <v>173</v>
      </c>
      <c r="C200" s="98" t="s">
        <v>598</v>
      </c>
      <c r="D200" s="153" t="s">
        <v>324</v>
      </c>
      <c r="E200" s="97" t="s">
        <v>337</v>
      </c>
      <c r="F200" s="97" t="s">
        <v>513</v>
      </c>
      <c r="G200" s="97" t="s">
        <v>523</v>
      </c>
      <c r="H200" s="97" t="s">
        <v>530</v>
      </c>
      <c r="I200" s="100" t="s">
        <v>361</v>
      </c>
      <c r="J200" s="101">
        <v>106.66</v>
      </c>
      <c r="K200" s="101">
        <v>15.09</v>
      </c>
      <c r="L200" s="102" t="s">
        <v>376</v>
      </c>
      <c r="M200" s="101">
        <v>31.995056935000001</v>
      </c>
      <c r="N200" s="108">
        <v>1200000</v>
      </c>
      <c r="O200" s="103" t="s">
        <v>598</v>
      </c>
      <c r="P200" s="103" t="s">
        <v>598</v>
      </c>
      <c r="Q200" s="103" t="s">
        <v>598</v>
      </c>
      <c r="R200" s="97" t="s">
        <v>520</v>
      </c>
      <c r="S200" s="97" t="s">
        <v>264</v>
      </c>
      <c r="T200" s="97" t="s">
        <v>340</v>
      </c>
      <c r="U200" s="97">
        <v>2016</v>
      </c>
      <c r="V200" s="97" t="s">
        <v>304</v>
      </c>
      <c r="W200" s="106">
        <v>28.144605613818801</v>
      </c>
      <c r="X200" s="106">
        <v>-80.588933544108897</v>
      </c>
      <c r="Y200" s="98" t="s">
        <v>598</v>
      </c>
      <c r="Z200" s="107"/>
      <c r="AA200" s="21" t="s">
        <v>1064</v>
      </c>
      <c r="AB200" s="21" t="s">
        <v>1064</v>
      </c>
      <c r="AC200" s="21" t="s">
        <v>1064</v>
      </c>
      <c r="AD200" s="102" t="s">
        <v>1075</v>
      </c>
    </row>
    <row r="201" spans="1:30" x14ac:dyDescent="0.3">
      <c r="A201" s="97">
        <v>2572</v>
      </c>
      <c r="B201" s="97" t="s">
        <v>173</v>
      </c>
      <c r="C201" s="98" t="s">
        <v>598</v>
      </c>
      <c r="D201" s="153" t="s">
        <v>325</v>
      </c>
      <c r="E201" s="97" t="s">
        <v>338</v>
      </c>
      <c r="F201" s="97" t="s">
        <v>514</v>
      </c>
      <c r="G201" s="97" t="s">
        <v>490</v>
      </c>
      <c r="H201" s="97" t="s">
        <v>530</v>
      </c>
      <c r="I201" s="100" t="s">
        <v>361</v>
      </c>
      <c r="J201" s="101" t="s">
        <v>361</v>
      </c>
      <c r="K201" s="101" t="s">
        <v>361</v>
      </c>
      <c r="L201" s="102" t="s">
        <v>376</v>
      </c>
      <c r="M201" s="101">
        <v>90.973436222642306</v>
      </c>
      <c r="N201" s="103" t="s">
        <v>598</v>
      </c>
      <c r="O201" s="103" t="s">
        <v>598</v>
      </c>
      <c r="P201" s="103" t="s">
        <v>598</v>
      </c>
      <c r="Q201" s="103" t="s">
        <v>598</v>
      </c>
      <c r="R201" s="97" t="s">
        <v>520</v>
      </c>
      <c r="S201" s="97" t="s">
        <v>264</v>
      </c>
      <c r="T201" s="97" t="s">
        <v>340</v>
      </c>
      <c r="U201" s="97">
        <v>2016</v>
      </c>
      <c r="V201" s="97" t="s">
        <v>304</v>
      </c>
      <c r="W201" s="106">
        <v>28.1515856892408</v>
      </c>
      <c r="X201" s="106">
        <v>-80.589279182824896</v>
      </c>
      <c r="Y201" s="98" t="s">
        <v>598</v>
      </c>
      <c r="Z201" s="107"/>
      <c r="AA201" s="21" t="s">
        <v>1064</v>
      </c>
      <c r="AB201" s="21" t="s">
        <v>1064</v>
      </c>
      <c r="AC201" s="21" t="s">
        <v>1064</v>
      </c>
      <c r="AD201" s="102" t="s">
        <v>1075</v>
      </c>
    </row>
    <row r="202" spans="1:30" x14ac:dyDescent="0.3">
      <c r="A202" s="97">
        <v>2654</v>
      </c>
      <c r="B202" s="97" t="s">
        <v>173</v>
      </c>
      <c r="C202" s="98" t="s">
        <v>598</v>
      </c>
      <c r="D202" s="153" t="s">
        <v>326</v>
      </c>
      <c r="E202" s="97" t="s">
        <v>339</v>
      </c>
      <c r="F202" s="97" t="s">
        <v>502</v>
      </c>
      <c r="G202" s="97" t="s">
        <v>580</v>
      </c>
      <c r="H202" s="97" t="s">
        <v>256</v>
      </c>
      <c r="I202" s="100" t="s">
        <v>361</v>
      </c>
      <c r="J202" s="116">
        <v>29554</v>
      </c>
      <c r="K202" s="116">
        <v>3069</v>
      </c>
      <c r="L202" s="97" t="s">
        <v>376</v>
      </c>
      <c r="M202" s="116" t="s">
        <v>520</v>
      </c>
      <c r="N202" s="108">
        <v>10380000</v>
      </c>
      <c r="O202" s="103" t="s">
        <v>598</v>
      </c>
      <c r="P202" s="110" t="s">
        <v>1106</v>
      </c>
      <c r="Q202" s="103" t="s">
        <v>598</v>
      </c>
      <c r="R202" s="97" t="s">
        <v>520</v>
      </c>
      <c r="S202" s="97" t="s">
        <v>265</v>
      </c>
      <c r="T202" s="97" t="s">
        <v>340</v>
      </c>
      <c r="U202" s="97">
        <v>2016</v>
      </c>
      <c r="V202" s="97" t="s">
        <v>304</v>
      </c>
      <c r="W202" s="100" t="s">
        <v>598</v>
      </c>
      <c r="X202" s="100" t="s">
        <v>598</v>
      </c>
      <c r="Y202" s="99" t="s">
        <v>554</v>
      </c>
      <c r="Z202" s="107"/>
      <c r="AA202" s="98" t="s">
        <v>1065</v>
      </c>
      <c r="AB202" s="21" t="s">
        <v>1065</v>
      </c>
      <c r="AC202" s="21" t="s">
        <v>1081</v>
      </c>
      <c r="AD202" s="21" t="s">
        <v>520</v>
      </c>
    </row>
    <row r="203" spans="1:30" x14ac:dyDescent="0.3">
      <c r="A203" s="97">
        <v>2653</v>
      </c>
      <c r="B203" s="97" t="s">
        <v>173</v>
      </c>
      <c r="C203" s="97" t="s">
        <v>520</v>
      </c>
      <c r="D203" s="97" t="s">
        <v>453</v>
      </c>
      <c r="E203" s="97" t="s">
        <v>454</v>
      </c>
      <c r="F203" s="97" t="s">
        <v>624</v>
      </c>
      <c r="G203" s="97" t="s">
        <v>351</v>
      </c>
      <c r="H203" s="97" t="s">
        <v>548</v>
      </c>
      <c r="I203" s="106" t="s">
        <v>520</v>
      </c>
      <c r="J203" s="116" t="s">
        <v>520</v>
      </c>
      <c r="K203" s="116" t="s">
        <v>520</v>
      </c>
      <c r="L203" s="97" t="s">
        <v>520</v>
      </c>
      <c r="M203" s="116" t="s">
        <v>520</v>
      </c>
      <c r="N203" s="116" t="s">
        <v>520</v>
      </c>
      <c r="O203" s="116" t="s">
        <v>520</v>
      </c>
      <c r="P203" s="97" t="s">
        <v>520</v>
      </c>
      <c r="Q203" s="116" t="s">
        <v>520</v>
      </c>
      <c r="R203" s="97" t="s">
        <v>520</v>
      </c>
      <c r="S203" s="97" t="s">
        <v>264</v>
      </c>
      <c r="T203" s="97" t="s">
        <v>382</v>
      </c>
      <c r="U203" s="97">
        <v>2017</v>
      </c>
      <c r="V203" s="97" t="s">
        <v>304</v>
      </c>
      <c r="W203" s="106" t="s">
        <v>520</v>
      </c>
      <c r="X203" s="106" t="s">
        <v>520</v>
      </c>
      <c r="Y203" s="99" t="s">
        <v>556</v>
      </c>
      <c r="Z203" s="117"/>
      <c r="AA203" s="97" t="s">
        <v>548</v>
      </c>
      <c r="AB203" s="106" t="s">
        <v>520</v>
      </c>
      <c r="AC203" s="106" t="s">
        <v>520</v>
      </c>
      <c r="AD203" s="106" t="s">
        <v>520</v>
      </c>
    </row>
    <row r="204" spans="1:30" x14ac:dyDescent="0.3">
      <c r="A204" s="97">
        <v>5145</v>
      </c>
      <c r="B204" s="97" t="s">
        <v>173</v>
      </c>
      <c r="C204" s="98" t="s">
        <v>361</v>
      </c>
      <c r="D204" s="153" t="s">
        <v>871</v>
      </c>
      <c r="E204" s="97" t="s">
        <v>872</v>
      </c>
      <c r="F204" s="97" t="s">
        <v>873</v>
      </c>
      <c r="G204" s="97" t="s">
        <v>497</v>
      </c>
      <c r="H204" s="97" t="s">
        <v>4</v>
      </c>
      <c r="I204" s="106">
        <v>2019</v>
      </c>
      <c r="J204" s="101" t="s">
        <v>361</v>
      </c>
      <c r="K204" s="101" t="s">
        <v>361</v>
      </c>
      <c r="L204" s="102" t="s">
        <v>376</v>
      </c>
      <c r="M204" s="101">
        <v>129</v>
      </c>
      <c r="N204" s="110">
        <v>12000</v>
      </c>
      <c r="O204" s="103" t="s">
        <v>598</v>
      </c>
      <c r="P204" s="97" t="s">
        <v>874</v>
      </c>
      <c r="Q204" s="103" t="s">
        <v>520</v>
      </c>
      <c r="R204" s="97" t="s">
        <v>520</v>
      </c>
      <c r="S204" s="97" t="s">
        <v>264</v>
      </c>
      <c r="T204" s="97" t="s">
        <v>4</v>
      </c>
      <c r="U204" s="97">
        <v>2019</v>
      </c>
      <c r="V204" s="97" t="s">
        <v>304</v>
      </c>
      <c r="W204" s="106">
        <v>28.141981999999999</v>
      </c>
      <c r="X204" s="106">
        <v>-80.591262</v>
      </c>
      <c r="Y204" s="98" t="s">
        <v>598</v>
      </c>
      <c r="Z204" s="107"/>
      <c r="AA204" s="21" t="s">
        <v>1064</v>
      </c>
      <c r="AB204" s="21" t="s">
        <v>1064</v>
      </c>
      <c r="AC204" s="21" t="s">
        <v>1064</v>
      </c>
      <c r="AD204" s="102" t="s">
        <v>1075</v>
      </c>
    </row>
    <row r="205" spans="1:30" x14ac:dyDescent="0.3">
      <c r="A205" s="97">
        <v>2403</v>
      </c>
      <c r="B205" s="97" t="s">
        <v>7</v>
      </c>
      <c r="C205" s="98" t="s">
        <v>598</v>
      </c>
      <c r="D205" s="153" t="s">
        <v>428</v>
      </c>
      <c r="E205" s="97" t="s">
        <v>8</v>
      </c>
      <c r="F205" s="98" t="s">
        <v>588</v>
      </c>
      <c r="G205" s="97" t="s">
        <v>346</v>
      </c>
      <c r="H205" s="97" t="s">
        <v>4</v>
      </c>
      <c r="I205" s="100" t="s">
        <v>520</v>
      </c>
      <c r="J205" s="101">
        <v>1872</v>
      </c>
      <c r="K205" s="101">
        <v>265.39999999999998</v>
      </c>
      <c r="L205" s="102" t="s">
        <v>373</v>
      </c>
      <c r="M205" s="101">
        <v>200</v>
      </c>
      <c r="N205" s="103" t="s">
        <v>598</v>
      </c>
      <c r="O205" s="103" t="s">
        <v>598</v>
      </c>
      <c r="P205" s="103" t="s">
        <v>598</v>
      </c>
      <c r="Q205" s="103" t="s">
        <v>598</v>
      </c>
      <c r="R205" s="97" t="s">
        <v>520</v>
      </c>
      <c r="S205" s="97" t="s">
        <v>265</v>
      </c>
      <c r="T205" s="97" t="s">
        <v>2</v>
      </c>
      <c r="U205" s="97">
        <v>2013</v>
      </c>
      <c r="V205" s="97" t="s">
        <v>304</v>
      </c>
      <c r="W205" s="100" t="s">
        <v>598</v>
      </c>
      <c r="X205" s="100" t="s">
        <v>598</v>
      </c>
      <c r="Y205" s="98" t="s">
        <v>598</v>
      </c>
      <c r="Z205" s="107"/>
      <c r="AA205" s="98" t="s">
        <v>1065</v>
      </c>
      <c r="AB205" s="21" t="s">
        <v>1065</v>
      </c>
      <c r="AC205" s="21" t="s">
        <v>1064</v>
      </c>
      <c r="AD205" s="102" t="s">
        <v>1072</v>
      </c>
    </row>
    <row r="206" spans="1:30" x14ac:dyDescent="0.3">
      <c r="A206" s="97">
        <v>2417</v>
      </c>
      <c r="B206" s="97" t="s">
        <v>7</v>
      </c>
      <c r="C206" s="98" t="s">
        <v>598</v>
      </c>
      <c r="D206" s="153" t="s">
        <v>429</v>
      </c>
      <c r="E206" s="97" t="s">
        <v>626</v>
      </c>
      <c r="F206" s="98" t="s">
        <v>588</v>
      </c>
      <c r="G206" s="97" t="s">
        <v>347</v>
      </c>
      <c r="H206" s="97" t="s">
        <v>4</v>
      </c>
      <c r="I206" s="106">
        <v>2014</v>
      </c>
      <c r="J206" s="101">
        <v>0</v>
      </c>
      <c r="K206" s="101">
        <v>0</v>
      </c>
      <c r="L206" s="102" t="s">
        <v>373</v>
      </c>
      <c r="M206" s="101">
        <v>49.4</v>
      </c>
      <c r="N206" s="103" t="s">
        <v>520</v>
      </c>
      <c r="O206" s="103" t="s">
        <v>520</v>
      </c>
      <c r="P206" s="98" t="s">
        <v>520</v>
      </c>
      <c r="Q206" s="103" t="s">
        <v>520</v>
      </c>
      <c r="R206" s="97" t="s">
        <v>520</v>
      </c>
      <c r="S206" s="97" t="s">
        <v>265</v>
      </c>
      <c r="T206" s="97" t="s">
        <v>4</v>
      </c>
      <c r="U206" s="97">
        <v>2013</v>
      </c>
      <c r="V206" s="97" t="s">
        <v>304</v>
      </c>
      <c r="W206" s="106">
        <v>28.490173965711399</v>
      </c>
      <c r="X206" s="106">
        <v>-80.652097164621097</v>
      </c>
      <c r="Y206" s="98" t="s">
        <v>598</v>
      </c>
      <c r="Z206" s="107"/>
      <c r="AA206" s="21" t="s">
        <v>1064</v>
      </c>
      <c r="AB206" s="21" t="s">
        <v>1064</v>
      </c>
      <c r="AC206" s="21" t="s">
        <v>1064</v>
      </c>
      <c r="AD206" s="102" t="s">
        <v>1075</v>
      </c>
    </row>
    <row r="207" spans="1:30" x14ac:dyDescent="0.3">
      <c r="A207" s="97">
        <v>2431</v>
      </c>
      <c r="B207" s="97" t="s">
        <v>7</v>
      </c>
      <c r="C207" s="98" t="s">
        <v>598</v>
      </c>
      <c r="D207" s="153" t="s">
        <v>430</v>
      </c>
      <c r="E207" s="97" t="s">
        <v>888</v>
      </c>
      <c r="F207" s="98" t="s">
        <v>588</v>
      </c>
      <c r="G207" s="97" t="s">
        <v>347</v>
      </c>
      <c r="H207" s="97" t="s">
        <v>4</v>
      </c>
      <c r="I207" s="106">
        <v>2014</v>
      </c>
      <c r="J207" s="101">
        <v>0</v>
      </c>
      <c r="K207" s="101">
        <v>0</v>
      </c>
      <c r="L207" s="102" t="s">
        <v>373</v>
      </c>
      <c r="M207" s="101">
        <v>20.5</v>
      </c>
      <c r="N207" s="103" t="s">
        <v>520</v>
      </c>
      <c r="O207" s="103" t="s">
        <v>520</v>
      </c>
      <c r="P207" s="98" t="s">
        <v>520</v>
      </c>
      <c r="Q207" s="103" t="s">
        <v>520</v>
      </c>
      <c r="R207" s="97" t="s">
        <v>520</v>
      </c>
      <c r="S207" s="97" t="s">
        <v>265</v>
      </c>
      <c r="T207" s="97" t="s">
        <v>4</v>
      </c>
      <c r="U207" s="97">
        <v>2013</v>
      </c>
      <c r="V207" s="97" t="s">
        <v>304</v>
      </c>
      <c r="W207" s="106">
        <v>28.460662567092101</v>
      </c>
      <c r="X207" s="106">
        <v>-80.664599712257001</v>
      </c>
      <c r="Y207" s="98" t="s">
        <v>598</v>
      </c>
      <c r="Z207" s="107"/>
      <c r="AA207" s="21" t="s">
        <v>1064</v>
      </c>
      <c r="AB207" s="21" t="s">
        <v>1064</v>
      </c>
      <c r="AC207" s="21" t="s">
        <v>1064</v>
      </c>
      <c r="AD207" s="102" t="s">
        <v>1075</v>
      </c>
    </row>
    <row r="208" spans="1:30" x14ac:dyDescent="0.3">
      <c r="A208" s="97">
        <v>2415</v>
      </c>
      <c r="B208" s="97" t="s">
        <v>7</v>
      </c>
      <c r="C208" s="98" t="s">
        <v>598</v>
      </c>
      <c r="D208" s="153" t="s">
        <v>431</v>
      </c>
      <c r="E208" s="97" t="s">
        <v>45</v>
      </c>
      <c r="F208" s="98" t="s">
        <v>588</v>
      </c>
      <c r="G208" s="97" t="s">
        <v>347</v>
      </c>
      <c r="H208" s="97" t="s">
        <v>4</v>
      </c>
      <c r="I208" s="106">
        <v>2014</v>
      </c>
      <c r="J208" s="101">
        <v>24</v>
      </c>
      <c r="K208" s="101">
        <v>9.4</v>
      </c>
      <c r="L208" s="102" t="s">
        <v>373</v>
      </c>
      <c r="M208" s="101">
        <v>2.2999999999999998</v>
      </c>
      <c r="N208" s="103" t="s">
        <v>520</v>
      </c>
      <c r="O208" s="103" t="s">
        <v>520</v>
      </c>
      <c r="P208" s="98" t="s">
        <v>520</v>
      </c>
      <c r="Q208" s="103" t="s">
        <v>520</v>
      </c>
      <c r="R208" s="97" t="s">
        <v>520</v>
      </c>
      <c r="S208" s="97" t="s">
        <v>265</v>
      </c>
      <c r="T208" s="97" t="s">
        <v>4</v>
      </c>
      <c r="U208" s="97">
        <v>2013</v>
      </c>
      <c r="V208" s="97" t="s">
        <v>304</v>
      </c>
      <c r="W208" s="106">
        <v>28.5086503453761</v>
      </c>
      <c r="X208" s="106">
        <v>-80.634729015546299</v>
      </c>
      <c r="Y208" s="98" t="s">
        <v>598</v>
      </c>
      <c r="Z208" s="107"/>
      <c r="AA208" s="21" t="s">
        <v>1064</v>
      </c>
      <c r="AB208" s="21" t="s">
        <v>1064</v>
      </c>
      <c r="AC208" s="21" t="s">
        <v>1064</v>
      </c>
      <c r="AD208" s="102" t="s">
        <v>1075</v>
      </c>
    </row>
    <row r="209" spans="1:30" x14ac:dyDescent="0.3">
      <c r="A209" s="97">
        <v>2414</v>
      </c>
      <c r="B209" s="97" t="s">
        <v>7</v>
      </c>
      <c r="C209" s="98" t="s">
        <v>598</v>
      </c>
      <c r="D209" s="153" t="s">
        <v>432</v>
      </c>
      <c r="E209" s="97" t="s">
        <v>46</v>
      </c>
      <c r="F209" s="98" t="s">
        <v>588</v>
      </c>
      <c r="G209" s="97" t="s">
        <v>347</v>
      </c>
      <c r="H209" s="97" t="s">
        <v>4</v>
      </c>
      <c r="I209" s="106">
        <v>2014</v>
      </c>
      <c r="J209" s="101">
        <v>15</v>
      </c>
      <c r="K209" s="101">
        <v>4.9000000000000004</v>
      </c>
      <c r="L209" s="102" t="s">
        <v>373</v>
      </c>
      <c r="M209" s="101">
        <v>1.2</v>
      </c>
      <c r="N209" s="103" t="s">
        <v>520</v>
      </c>
      <c r="O209" s="103" t="s">
        <v>520</v>
      </c>
      <c r="P209" s="98" t="s">
        <v>520</v>
      </c>
      <c r="Q209" s="103" t="s">
        <v>520</v>
      </c>
      <c r="R209" s="97" t="s">
        <v>520</v>
      </c>
      <c r="S209" s="97" t="s">
        <v>265</v>
      </c>
      <c r="T209" s="97" t="s">
        <v>4</v>
      </c>
      <c r="U209" s="97">
        <v>2013</v>
      </c>
      <c r="V209" s="97" t="s">
        <v>304</v>
      </c>
      <c r="W209" s="106">
        <v>28.5118949029115</v>
      </c>
      <c r="X209" s="106">
        <v>-80.642047073193396</v>
      </c>
      <c r="Y209" s="98" t="s">
        <v>598</v>
      </c>
      <c r="Z209" s="107"/>
      <c r="AA209" s="21" t="s">
        <v>1064</v>
      </c>
      <c r="AB209" s="21" t="s">
        <v>1064</v>
      </c>
      <c r="AC209" s="21" t="s">
        <v>1064</v>
      </c>
      <c r="AD209" s="102" t="s">
        <v>1075</v>
      </c>
    </row>
    <row r="210" spans="1:30" x14ac:dyDescent="0.3">
      <c r="A210" s="97">
        <v>2413</v>
      </c>
      <c r="B210" s="97" t="s">
        <v>7</v>
      </c>
      <c r="C210" s="98" t="s">
        <v>598</v>
      </c>
      <c r="D210" s="153" t="s">
        <v>433</v>
      </c>
      <c r="E210" s="97" t="s">
        <v>47</v>
      </c>
      <c r="F210" s="98" t="s">
        <v>588</v>
      </c>
      <c r="G210" s="97" t="s">
        <v>347</v>
      </c>
      <c r="H210" s="97" t="s">
        <v>4</v>
      </c>
      <c r="I210" s="106">
        <v>2014</v>
      </c>
      <c r="J210" s="101">
        <v>3</v>
      </c>
      <c r="K210" s="101">
        <v>1</v>
      </c>
      <c r="L210" s="102" t="s">
        <v>373</v>
      </c>
      <c r="M210" s="101">
        <v>0.2</v>
      </c>
      <c r="N210" s="103" t="s">
        <v>520</v>
      </c>
      <c r="O210" s="103" t="s">
        <v>520</v>
      </c>
      <c r="P210" s="98" t="s">
        <v>520</v>
      </c>
      <c r="Q210" s="103" t="s">
        <v>520</v>
      </c>
      <c r="R210" s="97" t="s">
        <v>520</v>
      </c>
      <c r="S210" s="97" t="s">
        <v>265</v>
      </c>
      <c r="T210" s="97" t="s">
        <v>4</v>
      </c>
      <c r="U210" s="97">
        <v>2013</v>
      </c>
      <c r="V210" s="97" t="s">
        <v>304</v>
      </c>
      <c r="W210" s="106">
        <v>28.520897148783501</v>
      </c>
      <c r="X210" s="106">
        <v>-80.653649783412206</v>
      </c>
      <c r="Y210" s="98" t="s">
        <v>598</v>
      </c>
      <c r="Z210" s="107"/>
      <c r="AA210" s="21" t="s">
        <v>1064</v>
      </c>
      <c r="AB210" s="21" t="s">
        <v>1064</v>
      </c>
      <c r="AC210" s="21" t="s">
        <v>1064</v>
      </c>
      <c r="AD210" s="102" t="s">
        <v>1075</v>
      </c>
    </row>
    <row r="211" spans="1:30" x14ac:dyDescent="0.3">
      <c r="A211" s="97">
        <v>2412</v>
      </c>
      <c r="B211" s="97" t="s">
        <v>7</v>
      </c>
      <c r="C211" s="98" t="s">
        <v>598</v>
      </c>
      <c r="D211" s="153" t="s">
        <v>434</v>
      </c>
      <c r="E211" s="97" t="s">
        <v>48</v>
      </c>
      <c r="F211" s="98" t="s">
        <v>588</v>
      </c>
      <c r="G211" s="97" t="s">
        <v>347</v>
      </c>
      <c r="H211" s="97" t="s">
        <v>4</v>
      </c>
      <c r="I211" s="106">
        <v>2014</v>
      </c>
      <c r="J211" s="101">
        <v>3</v>
      </c>
      <c r="K211" s="101">
        <v>1</v>
      </c>
      <c r="L211" s="102" t="s">
        <v>373</v>
      </c>
      <c r="M211" s="101">
        <v>0.3</v>
      </c>
      <c r="N211" s="103" t="s">
        <v>520</v>
      </c>
      <c r="O211" s="103" t="s">
        <v>520</v>
      </c>
      <c r="P211" s="98" t="s">
        <v>520</v>
      </c>
      <c r="Q211" s="103" t="s">
        <v>520</v>
      </c>
      <c r="R211" s="97" t="s">
        <v>520</v>
      </c>
      <c r="S211" s="97" t="s">
        <v>265</v>
      </c>
      <c r="T211" s="97" t="s">
        <v>4</v>
      </c>
      <c r="U211" s="97">
        <v>2013</v>
      </c>
      <c r="V211" s="97" t="s">
        <v>304</v>
      </c>
      <c r="W211" s="106">
        <v>28.6055000709555</v>
      </c>
      <c r="X211" s="106">
        <v>-80.6135285728067</v>
      </c>
      <c r="Y211" s="98" t="s">
        <v>598</v>
      </c>
      <c r="Z211" s="107"/>
      <c r="AA211" s="21" t="s">
        <v>1064</v>
      </c>
      <c r="AB211" s="21" t="s">
        <v>1064</v>
      </c>
      <c r="AC211" s="21" t="s">
        <v>1064</v>
      </c>
      <c r="AD211" s="102" t="s">
        <v>1075</v>
      </c>
    </row>
    <row r="212" spans="1:30" x14ac:dyDescent="0.3">
      <c r="A212" s="97">
        <v>2411</v>
      </c>
      <c r="B212" s="97" t="s">
        <v>7</v>
      </c>
      <c r="C212" s="98" t="s">
        <v>598</v>
      </c>
      <c r="D212" s="153" t="s">
        <v>435</v>
      </c>
      <c r="E212" s="97" t="s">
        <v>49</v>
      </c>
      <c r="F212" s="98" t="s">
        <v>588</v>
      </c>
      <c r="G212" s="97" t="s">
        <v>347</v>
      </c>
      <c r="H212" s="97" t="s">
        <v>4</v>
      </c>
      <c r="I212" s="106">
        <v>2014</v>
      </c>
      <c r="J212" s="101">
        <v>5</v>
      </c>
      <c r="K212" s="101">
        <v>1.5</v>
      </c>
      <c r="L212" s="102" t="s">
        <v>373</v>
      </c>
      <c r="M212" s="101">
        <v>0.4</v>
      </c>
      <c r="N212" s="103" t="s">
        <v>520</v>
      </c>
      <c r="O212" s="103" t="s">
        <v>520</v>
      </c>
      <c r="P212" s="98" t="s">
        <v>520</v>
      </c>
      <c r="Q212" s="103" t="s">
        <v>520</v>
      </c>
      <c r="R212" s="97" t="s">
        <v>520</v>
      </c>
      <c r="S212" s="97" t="s">
        <v>265</v>
      </c>
      <c r="T212" s="97" t="s">
        <v>4</v>
      </c>
      <c r="U212" s="97">
        <v>2013</v>
      </c>
      <c r="V212" s="97" t="s">
        <v>304</v>
      </c>
      <c r="W212" s="106">
        <v>28.581238994485801</v>
      </c>
      <c r="X212" s="106">
        <v>-80.651435789821903</v>
      </c>
      <c r="Y212" s="98" t="s">
        <v>598</v>
      </c>
      <c r="Z212" s="107"/>
      <c r="AA212" s="21" t="s">
        <v>1064</v>
      </c>
      <c r="AB212" s="21" t="s">
        <v>1064</v>
      </c>
      <c r="AC212" s="21" t="s">
        <v>1064</v>
      </c>
      <c r="AD212" s="102" t="s">
        <v>1075</v>
      </c>
    </row>
    <row r="213" spans="1:30" x14ac:dyDescent="0.3">
      <c r="A213" s="97">
        <v>2410</v>
      </c>
      <c r="B213" s="97" t="s">
        <v>7</v>
      </c>
      <c r="C213" s="98" t="s">
        <v>598</v>
      </c>
      <c r="D213" s="153" t="s">
        <v>436</v>
      </c>
      <c r="E213" s="97" t="s">
        <v>50</v>
      </c>
      <c r="F213" s="98" t="s">
        <v>588</v>
      </c>
      <c r="G213" s="97" t="s">
        <v>347</v>
      </c>
      <c r="H213" s="97" t="s">
        <v>4</v>
      </c>
      <c r="I213" s="106">
        <v>2014</v>
      </c>
      <c r="J213" s="101">
        <v>0</v>
      </c>
      <c r="K213" s="101">
        <v>0.1</v>
      </c>
      <c r="L213" s="102" t="s">
        <v>373</v>
      </c>
      <c r="M213" s="101">
        <v>0</v>
      </c>
      <c r="N213" s="103" t="s">
        <v>520</v>
      </c>
      <c r="O213" s="103" t="s">
        <v>520</v>
      </c>
      <c r="P213" s="98" t="s">
        <v>520</v>
      </c>
      <c r="Q213" s="103" t="s">
        <v>520</v>
      </c>
      <c r="R213" s="97" t="s">
        <v>520</v>
      </c>
      <c r="S213" s="97" t="s">
        <v>265</v>
      </c>
      <c r="T213" s="97" t="s">
        <v>4</v>
      </c>
      <c r="U213" s="97">
        <v>2013</v>
      </c>
      <c r="V213" s="97" t="s">
        <v>304</v>
      </c>
      <c r="W213" s="106">
        <v>28.519530933072701</v>
      </c>
      <c r="X213" s="106">
        <v>-80.649324864294698</v>
      </c>
      <c r="Y213" s="98" t="s">
        <v>598</v>
      </c>
      <c r="Z213" s="107"/>
      <c r="AA213" s="21" t="s">
        <v>1064</v>
      </c>
      <c r="AB213" s="21" t="s">
        <v>1064</v>
      </c>
      <c r="AC213" s="21" t="s">
        <v>1064</v>
      </c>
      <c r="AD213" s="102" t="s">
        <v>1075</v>
      </c>
    </row>
    <row r="214" spans="1:30" x14ac:dyDescent="0.3">
      <c r="A214" s="97">
        <v>2409</v>
      </c>
      <c r="B214" s="97" t="s">
        <v>7</v>
      </c>
      <c r="C214" s="98" t="s">
        <v>598</v>
      </c>
      <c r="D214" s="153" t="s">
        <v>9</v>
      </c>
      <c r="E214" s="97" t="s">
        <v>10</v>
      </c>
      <c r="F214" s="98" t="s">
        <v>588</v>
      </c>
      <c r="G214" s="97" t="s">
        <v>347</v>
      </c>
      <c r="H214" s="97" t="s">
        <v>4</v>
      </c>
      <c r="I214" s="106">
        <v>2014</v>
      </c>
      <c r="J214" s="101">
        <v>6</v>
      </c>
      <c r="K214" s="101">
        <v>2.1</v>
      </c>
      <c r="L214" s="102" t="s">
        <v>373</v>
      </c>
      <c r="M214" s="101">
        <v>0.5</v>
      </c>
      <c r="N214" s="103" t="s">
        <v>520</v>
      </c>
      <c r="O214" s="103" t="s">
        <v>520</v>
      </c>
      <c r="P214" s="98" t="s">
        <v>520</v>
      </c>
      <c r="Q214" s="103" t="s">
        <v>520</v>
      </c>
      <c r="R214" s="97" t="s">
        <v>520</v>
      </c>
      <c r="S214" s="97" t="s">
        <v>265</v>
      </c>
      <c r="T214" s="97" t="s">
        <v>4</v>
      </c>
      <c r="U214" s="97">
        <v>2013</v>
      </c>
      <c r="V214" s="97" t="s">
        <v>304</v>
      </c>
      <c r="W214" s="106">
        <v>28.509122126926101</v>
      </c>
      <c r="X214" s="106">
        <v>-80.641033004584102</v>
      </c>
      <c r="Y214" s="98" t="s">
        <v>598</v>
      </c>
      <c r="Z214" s="107"/>
      <c r="AA214" s="21" t="s">
        <v>1064</v>
      </c>
      <c r="AB214" s="21" t="s">
        <v>1064</v>
      </c>
      <c r="AC214" s="21" t="s">
        <v>1064</v>
      </c>
      <c r="AD214" s="102" t="s">
        <v>1075</v>
      </c>
    </row>
    <row r="215" spans="1:30" x14ac:dyDescent="0.3">
      <c r="A215" s="97">
        <v>2408</v>
      </c>
      <c r="B215" s="97" t="s">
        <v>7</v>
      </c>
      <c r="C215" s="98" t="s">
        <v>598</v>
      </c>
      <c r="D215" s="153" t="s">
        <v>11</v>
      </c>
      <c r="E215" s="97" t="s">
        <v>12</v>
      </c>
      <c r="F215" s="98" t="s">
        <v>588</v>
      </c>
      <c r="G215" s="97" t="s">
        <v>347</v>
      </c>
      <c r="H215" s="97" t="s">
        <v>4</v>
      </c>
      <c r="I215" s="106">
        <v>2014</v>
      </c>
      <c r="J215" s="101">
        <v>8</v>
      </c>
      <c r="K215" s="101">
        <v>2.6</v>
      </c>
      <c r="L215" s="102" t="s">
        <v>373</v>
      </c>
      <c r="M215" s="101">
        <v>0.6</v>
      </c>
      <c r="N215" s="103" t="s">
        <v>520</v>
      </c>
      <c r="O215" s="103" t="s">
        <v>520</v>
      </c>
      <c r="P215" s="98" t="s">
        <v>520</v>
      </c>
      <c r="Q215" s="103" t="s">
        <v>520</v>
      </c>
      <c r="R215" s="97" t="s">
        <v>520</v>
      </c>
      <c r="S215" s="97" t="s">
        <v>265</v>
      </c>
      <c r="T215" s="97" t="s">
        <v>4</v>
      </c>
      <c r="U215" s="97">
        <v>2013</v>
      </c>
      <c r="V215" s="97" t="s">
        <v>304</v>
      </c>
      <c r="W215" s="106">
        <v>28.509147637668899</v>
      </c>
      <c r="X215" s="106">
        <v>-80.642192595229403</v>
      </c>
      <c r="Y215" s="98" t="s">
        <v>598</v>
      </c>
      <c r="Z215" s="107"/>
      <c r="AA215" s="21" t="s">
        <v>1064</v>
      </c>
      <c r="AB215" s="21" t="s">
        <v>1064</v>
      </c>
      <c r="AC215" s="21" t="s">
        <v>1064</v>
      </c>
      <c r="AD215" s="102" t="s">
        <v>1075</v>
      </c>
    </row>
    <row r="216" spans="1:30" x14ac:dyDescent="0.3">
      <c r="A216" s="21">
        <v>2407</v>
      </c>
      <c r="B216" s="21" t="s">
        <v>7</v>
      </c>
      <c r="C216" s="98" t="s">
        <v>598</v>
      </c>
      <c r="D216" s="153" t="s">
        <v>13</v>
      </c>
      <c r="E216" s="21" t="s">
        <v>14</v>
      </c>
      <c r="F216" s="98" t="s">
        <v>588</v>
      </c>
      <c r="G216" s="21" t="s">
        <v>351</v>
      </c>
      <c r="H216" s="21" t="s">
        <v>4</v>
      </c>
      <c r="I216" s="131">
        <v>2014</v>
      </c>
      <c r="J216" s="101">
        <v>2541</v>
      </c>
      <c r="K216" s="101">
        <v>1022.1</v>
      </c>
      <c r="L216" s="102" t="s">
        <v>373</v>
      </c>
      <c r="M216" s="101">
        <v>593.20000000000005</v>
      </c>
      <c r="N216" s="103" t="s">
        <v>598</v>
      </c>
      <c r="O216" s="103" t="s">
        <v>598</v>
      </c>
      <c r="P216" s="103" t="s">
        <v>598</v>
      </c>
      <c r="Q216" s="103" t="s">
        <v>598</v>
      </c>
      <c r="R216" s="97" t="s">
        <v>520</v>
      </c>
      <c r="S216" s="97" t="s">
        <v>264</v>
      </c>
      <c r="T216" s="97" t="s">
        <v>4</v>
      </c>
      <c r="U216" s="97">
        <v>2013</v>
      </c>
      <c r="V216" s="97" t="s">
        <v>304</v>
      </c>
      <c r="W216" s="106">
        <v>28.517976132514001</v>
      </c>
      <c r="X216" s="106">
        <v>-80.653274632727005</v>
      </c>
      <c r="Y216" s="98" t="s">
        <v>598</v>
      </c>
      <c r="Z216" s="107"/>
      <c r="AA216" s="21" t="s">
        <v>1064</v>
      </c>
      <c r="AB216" s="21" t="s">
        <v>1064</v>
      </c>
      <c r="AC216" s="21" t="s">
        <v>1064</v>
      </c>
      <c r="AD216" s="102" t="s">
        <v>1075</v>
      </c>
    </row>
    <row r="217" spans="1:30" x14ac:dyDescent="0.3">
      <c r="A217" s="97">
        <v>2404</v>
      </c>
      <c r="B217" s="97" t="s">
        <v>7</v>
      </c>
      <c r="C217" s="98" t="s">
        <v>598</v>
      </c>
      <c r="D217" s="153" t="s">
        <v>15</v>
      </c>
      <c r="E217" s="97" t="s">
        <v>16</v>
      </c>
      <c r="F217" s="98" t="s">
        <v>588</v>
      </c>
      <c r="G217" s="97" t="s">
        <v>703</v>
      </c>
      <c r="H217" s="97" t="s">
        <v>4</v>
      </c>
      <c r="I217" s="106">
        <v>2014</v>
      </c>
      <c r="J217" s="101">
        <v>320</v>
      </c>
      <c r="K217" s="101">
        <v>67.8</v>
      </c>
      <c r="L217" s="102" t="s">
        <v>373</v>
      </c>
      <c r="M217" s="101">
        <v>55.4</v>
      </c>
      <c r="N217" s="103" t="s">
        <v>598</v>
      </c>
      <c r="O217" s="103" t="s">
        <v>598</v>
      </c>
      <c r="P217" s="103" t="s">
        <v>598</v>
      </c>
      <c r="Q217" s="103" t="s">
        <v>598</v>
      </c>
      <c r="R217" s="97" t="s">
        <v>520</v>
      </c>
      <c r="S217" s="97" t="s">
        <v>264</v>
      </c>
      <c r="T217" s="97" t="s">
        <v>4</v>
      </c>
      <c r="U217" s="97">
        <v>2013</v>
      </c>
      <c r="V217" s="97" t="s">
        <v>304</v>
      </c>
      <c r="W217" s="106">
        <v>28.5611184339114</v>
      </c>
      <c r="X217" s="106">
        <v>-80.651148300132704</v>
      </c>
      <c r="Y217" s="98" t="s">
        <v>598</v>
      </c>
      <c r="Z217" s="107"/>
      <c r="AA217" s="21" t="s">
        <v>1064</v>
      </c>
      <c r="AB217" s="21" t="s">
        <v>1064</v>
      </c>
      <c r="AC217" s="21" t="s">
        <v>1064</v>
      </c>
      <c r="AD217" s="102" t="s">
        <v>1075</v>
      </c>
    </row>
    <row r="218" spans="1:30" x14ac:dyDescent="0.3">
      <c r="A218" s="21">
        <v>2426</v>
      </c>
      <c r="B218" s="21" t="s">
        <v>7</v>
      </c>
      <c r="C218" s="98" t="s">
        <v>598</v>
      </c>
      <c r="D218" s="153" t="s">
        <v>17</v>
      </c>
      <c r="E218" s="21" t="s">
        <v>18</v>
      </c>
      <c r="F218" s="98" t="s">
        <v>588</v>
      </c>
      <c r="G218" s="21" t="s">
        <v>352</v>
      </c>
      <c r="H218" s="21" t="s">
        <v>4</v>
      </c>
      <c r="I218" s="131">
        <v>2014</v>
      </c>
      <c r="J218" s="101">
        <v>672</v>
      </c>
      <c r="K218" s="101">
        <v>330.3</v>
      </c>
      <c r="L218" s="102" t="s">
        <v>373</v>
      </c>
      <c r="M218" s="101">
        <v>188.5</v>
      </c>
      <c r="N218" s="103" t="s">
        <v>598</v>
      </c>
      <c r="O218" s="103" t="s">
        <v>598</v>
      </c>
      <c r="P218" s="103" t="s">
        <v>598</v>
      </c>
      <c r="Q218" s="103" t="s">
        <v>598</v>
      </c>
      <c r="R218" s="97" t="s">
        <v>520</v>
      </c>
      <c r="S218" s="97" t="s">
        <v>264</v>
      </c>
      <c r="T218" s="97" t="s">
        <v>4</v>
      </c>
      <c r="U218" s="97">
        <v>2013</v>
      </c>
      <c r="V218" s="97" t="s">
        <v>304</v>
      </c>
      <c r="W218" s="106">
        <v>28.580586845384602</v>
      </c>
      <c r="X218" s="106">
        <v>-80.648960027969096</v>
      </c>
      <c r="Y218" s="98" t="s">
        <v>598</v>
      </c>
      <c r="Z218" s="107"/>
      <c r="AA218" s="21" t="s">
        <v>1064</v>
      </c>
      <c r="AB218" s="21" t="s">
        <v>1064</v>
      </c>
      <c r="AC218" s="21" t="s">
        <v>1064</v>
      </c>
      <c r="AD218" s="102" t="s">
        <v>1075</v>
      </c>
    </row>
    <row r="219" spans="1:30" x14ac:dyDescent="0.3">
      <c r="A219" s="97">
        <v>2609</v>
      </c>
      <c r="B219" s="97" t="s">
        <v>7</v>
      </c>
      <c r="C219" s="98" t="s">
        <v>598</v>
      </c>
      <c r="D219" s="153" t="s">
        <v>19</v>
      </c>
      <c r="E219" s="97" t="s">
        <v>20</v>
      </c>
      <c r="F219" s="98" t="s">
        <v>588</v>
      </c>
      <c r="G219" s="99" t="s">
        <v>353</v>
      </c>
      <c r="H219" s="97" t="s">
        <v>4</v>
      </c>
      <c r="I219" s="106">
        <v>2014</v>
      </c>
      <c r="J219" s="101">
        <v>1341</v>
      </c>
      <c r="K219" s="101">
        <v>257.10000000000002</v>
      </c>
      <c r="L219" s="102" t="s">
        <v>373</v>
      </c>
      <c r="M219" s="101">
        <v>122.5</v>
      </c>
      <c r="N219" s="103" t="s">
        <v>598</v>
      </c>
      <c r="O219" s="103" t="s">
        <v>598</v>
      </c>
      <c r="P219" s="103" t="s">
        <v>598</v>
      </c>
      <c r="Q219" s="103" t="s">
        <v>598</v>
      </c>
      <c r="R219" s="97" t="s">
        <v>520</v>
      </c>
      <c r="S219" s="97" t="s">
        <v>264</v>
      </c>
      <c r="T219" s="97" t="s">
        <v>4</v>
      </c>
      <c r="U219" s="97">
        <v>2013</v>
      </c>
      <c r="V219" s="97" t="s">
        <v>304</v>
      </c>
      <c r="W219" s="106">
        <v>28.558351636249199</v>
      </c>
      <c r="X219" s="106">
        <v>-80.633802213190705</v>
      </c>
      <c r="Y219" s="98" t="s">
        <v>598</v>
      </c>
      <c r="Z219" s="107"/>
      <c r="AA219" s="21" t="s">
        <v>1064</v>
      </c>
      <c r="AB219" s="21" t="s">
        <v>1064</v>
      </c>
      <c r="AC219" s="21" t="s">
        <v>1064</v>
      </c>
      <c r="AD219" s="102" t="s">
        <v>1075</v>
      </c>
    </row>
    <row r="220" spans="1:30" x14ac:dyDescent="0.3">
      <c r="A220" s="97">
        <v>2728</v>
      </c>
      <c r="B220" s="97" t="s">
        <v>7</v>
      </c>
      <c r="C220" s="98" t="s">
        <v>598</v>
      </c>
      <c r="D220" s="153" t="s">
        <v>21</v>
      </c>
      <c r="E220" s="97" t="s">
        <v>22</v>
      </c>
      <c r="F220" s="98" t="s">
        <v>588</v>
      </c>
      <c r="G220" s="99" t="s">
        <v>353</v>
      </c>
      <c r="H220" s="97" t="s">
        <v>4</v>
      </c>
      <c r="I220" s="106">
        <v>2014</v>
      </c>
      <c r="J220" s="101">
        <v>844</v>
      </c>
      <c r="K220" s="101">
        <v>160.6</v>
      </c>
      <c r="L220" s="102" t="s">
        <v>373</v>
      </c>
      <c r="M220" s="101">
        <v>68.2</v>
      </c>
      <c r="N220" s="103" t="s">
        <v>598</v>
      </c>
      <c r="O220" s="103" t="s">
        <v>598</v>
      </c>
      <c r="P220" s="103" t="s">
        <v>598</v>
      </c>
      <c r="Q220" s="103" t="s">
        <v>598</v>
      </c>
      <c r="R220" s="97" t="s">
        <v>520</v>
      </c>
      <c r="S220" s="97" t="s">
        <v>265</v>
      </c>
      <c r="T220" s="97" t="s">
        <v>4</v>
      </c>
      <c r="U220" s="97">
        <v>2013</v>
      </c>
      <c r="V220" s="97" t="s">
        <v>304</v>
      </c>
      <c r="W220" s="106">
        <v>28.566355294085799</v>
      </c>
      <c r="X220" s="106">
        <v>-80.611545582386796</v>
      </c>
      <c r="Y220" s="98" t="s">
        <v>598</v>
      </c>
      <c r="Z220" s="107"/>
      <c r="AA220" s="21" t="s">
        <v>1064</v>
      </c>
      <c r="AB220" s="21" t="s">
        <v>1064</v>
      </c>
      <c r="AC220" s="21" t="s">
        <v>1064</v>
      </c>
      <c r="AD220" s="102" t="s">
        <v>1075</v>
      </c>
    </row>
    <row r="221" spans="1:30" x14ac:dyDescent="0.3">
      <c r="A221" s="97">
        <v>2890</v>
      </c>
      <c r="B221" s="97" t="s">
        <v>7</v>
      </c>
      <c r="C221" s="98" t="s">
        <v>598</v>
      </c>
      <c r="D221" s="153" t="s">
        <v>23</v>
      </c>
      <c r="E221" s="97" t="s">
        <v>24</v>
      </c>
      <c r="F221" s="98" t="s">
        <v>588</v>
      </c>
      <c r="G221" s="99" t="s">
        <v>353</v>
      </c>
      <c r="H221" s="97" t="s">
        <v>4</v>
      </c>
      <c r="I221" s="106">
        <v>2014</v>
      </c>
      <c r="J221" s="101">
        <v>2444</v>
      </c>
      <c r="K221" s="101">
        <v>149.6</v>
      </c>
      <c r="L221" s="102" t="s">
        <v>373</v>
      </c>
      <c r="M221" s="101">
        <v>1655.3</v>
      </c>
      <c r="N221" s="108">
        <v>62406</v>
      </c>
      <c r="O221" s="103" t="s">
        <v>598</v>
      </c>
      <c r="P221" s="103" t="s">
        <v>598</v>
      </c>
      <c r="Q221" s="108">
        <v>62406</v>
      </c>
      <c r="R221" s="97" t="s">
        <v>520</v>
      </c>
      <c r="S221" s="97" t="s">
        <v>264</v>
      </c>
      <c r="T221" s="97" t="s">
        <v>4</v>
      </c>
      <c r="U221" s="97">
        <v>2013</v>
      </c>
      <c r="V221" s="97" t="s">
        <v>304</v>
      </c>
      <c r="W221" s="106">
        <v>28.5674024350933</v>
      </c>
      <c r="X221" s="106">
        <v>-80.6182986186694</v>
      </c>
      <c r="Y221" s="98" t="s">
        <v>598</v>
      </c>
      <c r="Z221" s="107"/>
      <c r="AA221" s="21" t="s">
        <v>1064</v>
      </c>
      <c r="AB221" s="21" t="s">
        <v>1064</v>
      </c>
      <c r="AC221" s="21" t="s">
        <v>1064</v>
      </c>
      <c r="AD221" s="102" t="s">
        <v>1075</v>
      </c>
    </row>
    <row r="222" spans="1:30" x14ac:dyDescent="0.3">
      <c r="A222" s="97">
        <v>2889</v>
      </c>
      <c r="B222" s="97" t="s">
        <v>7</v>
      </c>
      <c r="C222" s="98" t="s">
        <v>598</v>
      </c>
      <c r="D222" s="153" t="s">
        <v>25</v>
      </c>
      <c r="E222" s="97" t="s">
        <v>26</v>
      </c>
      <c r="F222" s="98" t="s">
        <v>588</v>
      </c>
      <c r="G222" s="99" t="s">
        <v>353</v>
      </c>
      <c r="H222" s="97" t="s">
        <v>4</v>
      </c>
      <c r="I222" s="106">
        <v>2014</v>
      </c>
      <c r="J222" s="101">
        <v>4139</v>
      </c>
      <c r="K222" s="101">
        <v>228.3</v>
      </c>
      <c r="L222" s="102" t="s">
        <v>373</v>
      </c>
      <c r="M222" s="101">
        <v>1008.1</v>
      </c>
      <c r="N222" s="108">
        <v>491976</v>
      </c>
      <c r="O222" s="103" t="s">
        <v>598</v>
      </c>
      <c r="P222" s="103" t="s">
        <v>598</v>
      </c>
      <c r="Q222" s="108">
        <v>491976</v>
      </c>
      <c r="R222" s="97" t="s">
        <v>520</v>
      </c>
      <c r="S222" s="97" t="s">
        <v>264</v>
      </c>
      <c r="T222" s="97" t="s">
        <v>4</v>
      </c>
      <c r="U222" s="97">
        <v>2013</v>
      </c>
      <c r="V222" s="97" t="s">
        <v>304</v>
      </c>
      <c r="W222" s="106">
        <v>28.471483023471801</v>
      </c>
      <c r="X222" s="106">
        <v>-80.662119149981194</v>
      </c>
      <c r="Y222" s="98" t="s">
        <v>598</v>
      </c>
      <c r="Z222" s="107"/>
      <c r="AA222" s="21" t="s">
        <v>1064</v>
      </c>
      <c r="AB222" s="21" t="s">
        <v>1064</v>
      </c>
      <c r="AC222" s="21" t="s">
        <v>1064</v>
      </c>
      <c r="AD222" s="102" t="s">
        <v>1075</v>
      </c>
    </row>
    <row r="223" spans="1:30" x14ac:dyDescent="0.3">
      <c r="A223" s="97">
        <v>2888</v>
      </c>
      <c r="B223" s="97" t="s">
        <v>7</v>
      </c>
      <c r="C223" s="98" t="s">
        <v>598</v>
      </c>
      <c r="D223" s="153" t="s">
        <v>27</v>
      </c>
      <c r="E223" s="97" t="s">
        <v>28</v>
      </c>
      <c r="F223" s="98" t="s">
        <v>588</v>
      </c>
      <c r="G223" s="99" t="s">
        <v>353</v>
      </c>
      <c r="H223" s="97" t="s">
        <v>4</v>
      </c>
      <c r="I223" s="106">
        <v>2014</v>
      </c>
      <c r="J223" s="101">
        <v>4064</v>
      </c>
      <c r="K223" s="101">
        <v>283.60000000000002</v>
      </c>
      <c r="L223" s="102" t="s">
        <v>373</v>
      </c>
      <c r="M223" s="101">
        <v>982</v>
      </c>
      <c r="N223" s="108">
        <v>477506</v>
      </c>
      <c r="O223" s="103" t="s">
        <v>598</v>
      </c>
      <c r="P223" s="103" t="s">
        <v>598</v>
      </c>
      <c r="Q223" s="108">
        <v>477506</v>
      </c>
      <c r="R223" s="97" t="s">
        <v>520</v>
      </c>
      <c r="S223" s="97" t="s">
        <v>264</v>
      </c>
      <c r="T223" s="97" t="s">
        <v>4</v>
      </c>
      <c r="U223" s="97">
        <v>2013</v>
      </c>
      <c r="V223" s="97" t="s">
        <v>304</v>
      </c>
      <c r="W223" s="106">
        <v>28.485804415232</v>
      </c>
      <c r="X223" s="106">
        <v>-80.655904289003701</v>
      </c>
      <c r="Y223" s="98" t="s">
        <v>598</v>
      </c>
      <c r="Z223" s="107"/>
      <c r="AA223" s="21" t="s">
        <v>1064</v>
      </c>
      <c r="AB223" s="21" t="s">
        <v>1064</v>
      </c>
      <c r="AC223" s="21" t="s">
        <v>1064</v>
      </c>
      <c r="AD223" s="102" t="s">
        <v>1075</v>
      </c>
    </row>
    <row r="224" spans="1:30" x14ac:dyDescent="0.3">
      <c r="A224" s="97">
        <v>2887</v>
      </c>
      <c r="B224" s="97" t="s">
        <v>7</v>
      </c>
      <c r="C224" s="98" t="s">
        <v>598</v>
      </c>
      <c r="D224" s="153" t="s">
        <v>29</v>
      </c>
      <c r="E224" s="97" t="s">
        <v>30</v>
      </c>
      <c r="F224" s="98" t="s">
        <v>588</v>
      </c>
      <c r="G224" s="97" t="s">
        <v>347</v>
      </c>
      <c r="H224" s="97" t="s">
        <v>4</v>
      </c>
      <c r="I224" s="106">
        <v>2014</v>
      </c>
      <c r="J224" s="101">
        <v>7</v>
      </c>
      <c r="K224" s="101">
        <v>1.8</v>
      </c>
      <c r="L224" s="102" t="s">
        <v>373</v>
      </c>
      <c r="M224" s="101">
        <v>0.5</v>
      </c>
      <c r="N224" s="103" t="s">
        <v>520</v>
      </c>
      <c r="O224" s="103" t="s">
        <v>520</v>
      </c>
      <c r="P224" s="98" t="s">
        <v>520</v>
      </c>
      <c r="Q224" s="103" t="s">
        <v>520</v>
      </c>
      <c r="R224" s="97" t="s">
        <v>520</v>
      </c>
      <c r="S224" s="97" t="s">
        <v>265</v>
      </c>
      <c r="T224" s="97" t="s">
        <v>4</v>
      </c>
      <c r="U224" s="97">
        <v>2014</v>
      </c>
      <c r="V224" s="97" t="s">
        <v>304</v>
      </c>
      <c r="W224" s="100" t="s">
        <v>598</v>
      </c>
      <c r="X224" s="100" t="s">
        <v>598</v>
      </c>
      <c r="Y224" s="98" t="s">
        <v>598</v>
      </c>
      <c r="Z224" s="107"/>
      <c r="AA224" s="98" t="s">
        <v>1065</v>
      </c>
      <c r="AB224" s="21" t="s">
        <v>1064</v>
      </c>
      <c r="AC224" s="21" t="s">
        <v>1064</v>
      </c>
      <c r="AD224" s="102" t="s">
        <v>1075</v>
      </c>
    </row>
    <row r="225" spans="1:30" x14ac:dyDescent="0.3">
      <c r="A225" s="97">
        <v>2886</v>
      </c>
      <c r="B225" s="97" t="s">
        <v>7</v>
      </c>
      <c r="C225" s="98" t="s">
        <v>598</v>
      </c>
      <c r="D225" s="153" t="s">
        <v>31</v>
      </c>
      <c r="E225" s="97" t="s">
        <v>32</v>
      </c>
      <c r="F225" s="98" t="s">
        <v>588</v>
      </c>
      <c r="G225" s="97" t="s">
        <v>347</v>
      </c>
      <c r="H225" s="97" t="s">
        <v>4</v>
      </c>
      <c r="I225" s="106">
        <v>2014</v>
      </c>
      <c r="J225" s="59">
        <v>7</v>
      </c>
      <c r="K225" s="59">
        <v>2.2999999999999998</v>
      </c>
      <c r="L225" s="97" t="s">
        <v>373</v>
      </c>
      <c r="M225" s="116">
        <v>0.5</v>
      </c>
      <c r="N225" s="103" t="s">
        <v>520</v>
      </c>
      <c r="O225" s="103" t="s">
        <v>520</v>
      </c>
      <c r="P225" s="98" t="s">
        <v>520</v>
      </c>
      <c r="Q225" s="103" t="s">
        <v>520</v>
      </c>
      <c r="R225" s="97" t="s">
        <v>520</v>
      </c>
      <c r="S225" s="97" t="s">
        <v>265</v>
      </c>
      <c r="T225" s="97" t="s">
        <v>4</v>
      </c>
      <c r="U225" s="97">
        <v>2014</v>
      </c>
      <c r="V225" s="97" t="s">
        <v>304</v>
      </c>
      <c r="W225" s="100" t="s">
        <v>598</v>
      </c>
      <c r="X225" s="100" t="s">
        <v>598</v>
      </c>
      <c r="Y225" s="98" t="s">
        <v>598</v>
      </c>
      <c r="Z225" s="107"/>
      <c r="AA225" s="98" t="s">
        <v>1065</v>
      </c>
      <c r="AB225" s="21" t="s">
        <v>1064</v>
      </c>
      <c r="AC225" s="21" t="s">
        <v>1064</v>
      </c>
      <c r="AD225" s="154" t="s">
        <v>1076</v>
      </c>
    </row>
    <row r="226" spans="1:30" x14ac:dyDescent="0.3">
      <c r="A226" s="97">
        <v>2885</v>
      </c>
      <c r="B226" s="97" t="s">
        <v>7</v>
      </c>
      <c r="C226" s="98" t="s">
        <v>598</v>
      </c>
      <c r="D226" s="153" t="s">
        <v>33</v>
      </c>
      <c r="E226" s="97" t="s">
        <v>34</v>
      </c>
      <c r="F226" s="98" t="s">
        <v>588</v>
      </c>
      <c r="G226" s="97" t="s">
        <v>347</v>
      </c>
      <c r="H226" s="97" t="s">
        <v>4</v>
      </c>
      <c r="I226" s="106">
        <v>2015</v>
      </c>
      <c r="J226" s="101">
        <v>0</v>
      </c>
      <c r="K226" s="101">
        <v>0.1</v>
      </c>
      <c r="L226" s="102" t="s">
        <v>373</v>
      </c>
      <c r="M226" s="101">
        <v>0.02</v>
      </c>
      <c r="N226" s="103" t="s">
        <v>520</v>
      </c>
      <c r="O226" s="103" t="s">
        <v>520</v>
      </c>
      <c r="P226" s="98" t="s">
        <v>520</v>
      </c>
      <c r="Q226" s="103" t="s">
        <v>520</v>
      </c>
      <c r="R226" s="97" t="s">
        <v>520</v>
      </c>
      <c r="S226" s="97" t="s">
        <v>265</v>
      </c>
      <c r="T226" s="97" t="s">
        <v>4</v>
      </c>
      <c r="U226" s="97">
        <v>2015</v>
      </c>
      <c r="V226" s="97" t="s">
        <v>304</v>
      </c>
      <c r="W226" s="106">
        <v>28.5166004313526</v>
      </c>
      <c r="X226" s="106">
        <v>-80.640109777253201</v>
      </c>
      <c r="Y226" s="98" t="s">
        <v>598</v>
      </c>
      <c r="Z226" s="107"/>
      <c r="AA226" s="21" t="s">
        <v>1064</v>
      </c>
      <c r="AB226" s="21" t="s">
        <v>1064</v>
      </c>
      <c r="AC226" s="21" t="s">
        <v>1064</v>
      </c>
      <c r="AD226" s="102" t="s">
        <v>1075</v>
      </c>
    </row>
    <row r="227" spans="1:30" x14ac:dyDescent="0.3">
      <c r="A227" s="97">
        <v>2884</v>
      </c>
      <c r="B227" s="97" t="s">
        <v>7</v>
      </c>
      <c r="C227" s="98" t="s">
        <v>598</v>
      </c>
      <c r="D227" s="153" t="s">
        <v>35</v>
      </c>
      <c r="E227" s="97" t="s">
        <v>36</v>
      </c>
      <c r="F227" s="98" t="s">
        <v>588</v>
      </c>
      <c r="G227" s="97" t="s">
        <v>347</v>
      </c>
      <c r="H227" s="97" t="s">
        <v>4</v>
      </c>
      <c r="I227" s="106">
        <v>2015</v>
      </c>
      <c r="J227" s="101">
        <v>0</v>
      </c>
      <c r="K227" s="101">
        <v>0</v>
      </c>
      <c r="L227" s="102" t="s">
        <v>373</v>
      </c>
      <c r="M227" s="101">
        <v>7.0000000000000001E-3</v>
      </c>
      <c r="N227" s="103" t="s">
        <v>520</v>
      </c>
      <c r="O227" s="103" t="s">
        <v>520</v>
      </c>
      <c r="P227" s="98" t="s">
        <v>520</v>
      </c>
      <c r="Q227" s="103" t="s">
        <v>520</v>
      </c>
      <c r="R227" s="97" t="s">
        <v>520</v>
      </c>
      <c r="S227" s="97" t="s">
        <v>265</v>
      </c>
      <c r="T227" s="97" t="s">
        <v>4</v>
      </c>
      <c r="U227" s="97">
        <v>2015</v>
      </c>
      <c r="V227" s="97" t="s">
        <v>304</v>
      </c>
      <c r="W227" s="106">
        <v>28.514701776078599</v>
      </c>
      <c r="X227" s="106">
        <v>-80.641518936980404</v>
      </c>
      <c r="Y227" s="98" t="s">
        <v>598</v>
      </c>
      <c r="Z227" s="107"/>
      <c r="AA227" s="21" t="s">
        <v>1064</v>
      </c>
      <c r="AB227" s="21" t="s">
        <v>1064</v>
      </c>
      <c r="AC227" s="21" t="s">
        <v>1064</v>
      </c>
      <c r="AD227" s="102" t="s">
        <v>1075</v>
      </c>
    </row>
    <row r="228" spans="1:30" x14ac:dyDescent="0.3">
      <c r="A228" s="97">
        <v>2874</v>
      </c>
      <c r="B228" s="97" t="s">
        <v>7</v>
      </c>
      <c r="C228" s="98" t="s">
        <v>598</v>
      </c>
      <c r="D228" s="153" t="s">
        <v>37</v>
      </c>
      <c r="E228" s="97" t="s">
        <v>38</v>
      </c>
      <c r="F228" s="98" t="s">
        <v>588</v>
      </c>
      <c r="G228" s="97" t="s">
        <v>347</v>
      </c>
      <c r="H228" s="97" t="s">
        <v>4</v>
      </c>
      <c r="I228" s="106">
        <v>2015</v>
      </c>
      <c r="J228" s="101">
        <v>15</v>
      </c>
      <c r="K228" s="101">
        <v>3.9</v>
      </c>
      <c r="L228" s="102" t="s">
        <v>373</v>
      </c>
      <c r="M228" s="101">
        <v>1.3</v>
      </c>
      <c r="N228" s="103" t="s">
        <v>520</v>
      </c>
      <c r="O228" s="103" t="s">
        <v>520</v>
      </c>
      <c r="P228" s="98" t="s">
        <v>520</v>
      </c>
      <c r="Q228" s="103" t="s">
        <v>520</v>
      </c>
      <c r="R228" s="97" t="s">
        <v>520</v>
      </c>
      <c r="S228" s="97" t="s">
        <v>265</v>
      </c>
      <c r="T228" s="97" t="s">
        <v>4</v>
      </c>
      <c r="U228" s="97">
        <v>2015</v>
      </c>
      <c r="V228" s="97" t="s">
        <v>304</v>
      </c>
      <c r="W228" s="106">
        <v>28.514066549602099</v>
      </c>
      <c r="X228" s="106">
        <v>-80.641048757907598</v>
      </c>
      <c r="Y228" s="98" t="s">
        <v>598</v>
      </c>
      <c r="Z228" s="107"/>
      <c r="AA228" s="21" t="s">
        <v>1064</v>
      </c>
      <c r="AB228" s="21" t="s">
        <v>1064</v>
      </c>
      <c r="AC228" s="21" t="s">
        <v>1064</v>
      </c>
      <c r="AD228" s="102" t="s">
        <v>1075</v>
      </c>
    </row>
    <row r="229" spans="1:30" x14ac:dyDescent="0.3">
      <c r="A229" s="97">
        <v>2882</v>
      </c>
      <c r="B229" s="97" t="s">
        <v>7</v>
      </c>
      <c r="C229" s="98" t="s">
        <v>598</v>
      </c>
      <c r="D229" s="153" t="s">
        <v>39</v>
      </c>
      <c r="E229" s="97" t="s">
        <v>40</v>
      </c>
      <c r="F229" s="98" t="s">
        <v>588</v>
      </c>
      <c r="G229" s="97" t="s">
        <v>347</v>
      </c>
      <c r="H229" s="97" t="s">
        <v>4</v>
      </c>
      <c r="I229" s="106">
        <v>2015</v>
      </c>
      <c r="J229" s="101">
        <v>2</v>
      </c>
      <c r="K229" s="101">
        <v>0.5</v>
      </c>
      <c r="L229" s="102" t="s">
        <v>373</v>
      </c>
      <c r="M229" s="101">
        <v>0.11</v>
      </c>
      <c r="N229" s="103" t="s">
        <v>520</v>
      </c>
      <c r="O229" s="103" t="s">
        <v>520</v>
      </c>
      <c r="P229" s="98" t="s">
        <v>520</v>
      </c>
      <c r="Q229" s="103" t="s">
        <v>520</v>
      </c>
      <c r="R229" s="97" t="s">
        <v>520</v>
      </c>
      <c r="S229" s="97" t="s">
        <v>265</v>
      </c>
      <c r="T229" s="97" t="s">
        <v>4</v>
      </c>
      <c r="U229" s="97">
        <v>2015</v>
      </c>
      <c r="V229" s="97" t="s">
        <v>304</v>
      </c>
      <c r="W229" s="106">
        <v>28.513004915476898</v>
      </c>
      <c r="X229" s="106">
        <v>-80.640302833114902</v>
      </c>
      <c r="Y229" s="98" t="s">
        <v>598</v>
      </c>
      <c r="Z229" s="107"/>
      <c r="AA229" s="21" t="s">
        <v>1064</v>
      </c>
      <c r="AB229" s="21" t="s">
        <v>1064</v>
      </c>
      <c r="AC229" s="21" t="s">
        <v>1064</v>
      </c>
      <c r="AD229" s="102" t="s">
        <v>1075</v>
      </c>
    </row>
    <row r="230" spans="1:30" x14ac:dyDescent="0.3">
      <c r="A230" s="97">
        <v>2891</v>
      </c>
      <c r="B230" s="97" t="s">
        <v>7</v>
      </c>
      <c r="C230" s="98" t="s">
        <v>598</v>
      </c>
      <c r="D230" s="153" t="s">
        <v>41</v>
      </c>
      <c r="E230" s="97" t="s">
        <v>42</v>
      </c>
      <c r="F230" s="98" t="s">
        <v>588</v>
      </c>
      <c r="G230" s="97" t="s">
        <v>347</v>
      </c>
      <c r="H230" s="97" t="s">
        <v>4</v>
      </c>
      <c r="I230" s="106">
        <v>2015</v>
      </c>
      <c r="J230" s="101">
        <v>16</v>
      </c>
      <c r="K230" s="101">
        <v>4.0999999999999996</v>
      </c>
      <c r="L230" s="102" t="s">
        <v>373</v>
      </c>
      <c r="M230" s="101">
        <v>1.04</v>
      </c>
      <c r="N230" s="103" t="s">
        <v>520</v>
      </c>
      <c r="O230" s="103" t="s">
        <v>520</v>
      </c>
      <c r="P230" s="98" t="s">
        <v>520</v>
      </c>
      <c r="Q230" s="103" t="s">
        <v>520</v>
      </c>
      <c r="R230" s="97" t="s">
        <v>520</v>
      </c>
      <c r="S230" s="97" t="s">
        <v>265</v>
      </c>
      <c r="T230" s="97" t="s">
        <v>4</v>
      </c>
      <c r="U230" s="97">
        <v>2015</v>
      </c>
      <c r="V230" s="97" t="s">
        <v>304</v>
      </c>
      <c r="W230" s="106">
        <v>28.5157211989372</v>
      </c>
      <c r="X230" s="106">
        <v>-80.641071183709002</v>
      </c>
      <c r="Y230" s="98" t="s">
        <v>598</v>
      </c>
      <c r="Z230" s="107"/>
      <c r="AA230" s="21" t="s">
        <v>1064</v>
      </c>
      <c r="AB230" s="21" t="s">
        <v>1064</v>
      </c>
      <c r="AC230" s="21" t="s">
        <v>1064</v>
      </c>
      <c r="AD230" s="102" t="s">
        <v>1075</v>
      </c>
    </row>
    <row r="231" spans="1:30" x14ac:dyDescent="0.3">
      <c r="A231" s="97">
        <v>2880</v>
      </c>
      <c r="B231" s="97" t="s">
        <v>7</v>
      </c>
      <c r="C231" s="98" t="s">
        <v>598</v>
      </c>
      <c r="D231" s="153" t="s">
        <v>43</v>
      </c>
      <c r="E231" s="97" t="s">
        <v>44</v>
      </c>
      <c r="F231" s="98" t="s">
        <v>588</v>
      </c>
      <c r="G231" s="97" t="s">
        <v>347</v>
      </c>
      <c r="H231" s="97" t="s">
        <v>4</v>
      </c>
      <c r="I231" s="106">
        <v>2015</v>
      </c>
      <c r="J231" s="101">
        <v>0</v>
      </c>
      <c r="K231" s="101">
        <v>0</v>
      </c>
      <c r="L231" s="102" t="s">
        <v>373</v>
      </c>
      <c r="M231" s="101">
        <v>0.1</v>
      </c>
      <c r="N231" s="103" t="s">
        <v>520</v>
      </c>
      <c r="O231" s="103" t="s">
        <v>520</v>
      </c>
      <c r="P231" s="98" t="s">
        <v>520</v>
      </c>
      <c r="Q231" s="103" t="s">
        <v>520</v>
      </c>
      <c r="R231" s="97" t="s">
        <v>520</v>
      </c>
      <c r="S231" s="97" t="s">
        <v>265</v>
      </c>
      <c r="T231" s="97" t="s">
        <v>4</v>
      </c>
      <c r="U231" s="97">
        <v>2015</v>
      </c>
      <c r="V231" s="97" t="s">
        <v>304</v>
      </c>
      <c r="W231" s="106">
        <v>28.563820520778499</v>
      </c>
      <c r="X231" s="106">
        <v>-80.635241314773793</v>
      </c>
      <c r="Y231" s="98" t="s">
        <v>598</v>
      </c>
      <c r="Z231" s="107"/>
      <c r="AA231" s="21" t="s">
        <v>1064</v>
      </c>
      <c r="AB231" s="21" t="s">
        <v>1064</v>
      </c>
      <c r="AC231" s="21" t="s">
        <v>1064</v>
      </c>
      <c r="AD231" s="102" t="s">
        <v>1075</v>
      </c>
    </row>
    <row r="232" spans="1:30" x14ac:dyDescent="0.3">
      <c r="A232" s="97">
        <v>2879</v>
      </c>
      <c r="B232" s="97" t="s">
        <v>7</v>
      </c>
      <c r="C232" s="98" t="s">
        <v>598</v>
      </c>
      <c r="D232" s="153" t="s">
        <v>449</v>
      </c>
      <c r="E232" s="97" t="s">
        <v>450</v>
      </c>
      <c r="F232" s="97" t="s">
        <v>504</v>
      </c>
      <c r="G232" s="97" t="s">
        <v>580</v>
      </c>
      <c r="H232" s="97" t="s">
        <v>256</v>
      </c>
      <c r="I232" s="106">
        <v>2017</v>
      </c>
      <c r="J232" s="59">
        <v>0</v>
      </c>
      <c r="K232" s="59">
        <v>0</v>
      </c>
      <c r="L232" s="97" t="s">
        <v>373</v>
      </c>
      <c r="M232" s="116">
        <v>37</v>
      </c>
      <c r="N232" s="108">
        <v>14000000</v>
      </c>
      <c r="O232" s="103" t="s">
        <v>598</v>
      </c>
      <c r="P232" s="98" t="s">
        <v>598</v>
      </c>
      <c r="Q232" s="108">
        <v>14000000</v>
      </c>
      <c r="R232" s="97" t="s">
        <v>520</v>
      </c>
      <c r="S232" s="97" t="s">
        <v>265</v>
      </c>
      <c r="T232" s="97" t="s">
        <v>451</v>
      </c>
      <c r="U232" s="97">
        <v>2016</v>
      </c>
      <c r="V232" s="97" t="s">
        <v>304</v>
      </c>
      <c r="W232" s="106">
        <v>28.413374999999998</v>
      </c>
      <c r="X232" s="106">
        <v>-80.644490000000005</v>
      </c>
      <c r="Y232" s="97">
        <v>2017</v>
      </c>
      <c r="Z232" s="107"/>
      <c r="AA232" s="21" t="s">
        <v>1064</v>
      </c>
      <c r="AB232" s="21" t="s">
        <v>1065</v>
      </c>
      <c r="AC232" s="21" t="s">
        <v>1081</v>
      </c>
      <c r="AD232" s="21" t="s">
        <v>520</v>
      </c>
    </row>
    <row r="233" spans="1:30" x14ac:dyDescent="0.3">
      <c r="A233" s="99">
        <v>2878</v>
      </c>
      <c r="B233" s="97" t="s">
        <v>192</v>
      </c>
      <c r="C233" s="98" t="s">
        <v>598</v>
      </c>
      <c r="D233" s="153" t="s">
        <v>961</v>
      </c>
      <c r="E233" s="97" t="s">
        <v>962</v>
      </c>
      <c r="F233" s="97" t="s">
        <v>1009</v>
      </c>
      <c r="G233" s="97" t="s">
        <v>703</v>
      </c>
      <c r="H233" s="97" t="s">
        <v>4</v>
      </c>
      <c r="I233" s="106">
        <v>2013</v>
      </c>
      <c r="J233" s="101">
        <v>3</v>
      </c>
      <c r="K233" s="101">
        <v>0.9</v>
      </c>
      <c r="L233" s="102" t="s">
        <v>376</v>
      </c>
      <c r="M233" s="101">
        <v>1.7</v>
      </c>
      <c r="N233" s="103" t="s">
        <v>598</v>
      </c>
      <c r="O233" s="103" t="s">
        <v>598</v>
      </c>
      <c r="P233" s="98" t="s">
        <v>598</v>
      </c>
      <c r="Q233" s="98" t="s">
        <v>598</v>
      </c>
      <c r="R233" s="97" t="s">
        <v>520</v>
      </c>
      <c r="S233" s="97" t="s">
        <v>264</v>
      </c>
      <c r="T233" s="97" t="s">
        <v>4</v>
      </c>
      <c r="U233" s="97">
        <v>2013</v>
      </c>
      <c r="V233" s="97" t="s">
        <v>304</v>
      </c>
      <c r="W233" s="106">
        <v>28.192143118322299</v>
      </c>
      <c r="X233" s="106">
        <v>-80.600875037179193</v>
      </c>
      <c r="Y233" s="98" t="s">
        <v>598</v>
      </c>
      <c r="Z233" s="107"/>
      <c r="AA233" s="21" t="s">
        <v>1064</v>
      </c>
      <c r="AB233" s="21" t="s">
        <v>1064</v>
      </c>
      <c r="AC233" s="21" t="s">
        <v>1064</v>
      </c>
      <c r="AD233" s="102" t="s">
        <v>1075</v>
      </c>
    </row>
    <row r="234" spans="1:30" x14ac:dyDescent="0.3">
      <c r="A234" s="99">
        <v>2877</v>
      </c>
      <c r="B234" s="97" t="s">
        <v>192</v>
      </c>
      <c r="C234" s="98" t="s">
        <v>598</v>
      </c>
      <c r="D234" s="153" t="s">
        <v>963</v>
      </c>
      <c r="E234" s="97" t="s">
        <v>964</v>
      </c>
      <c r="F234" s="97" t="s">
        <v>1009</v>
      </c>
      <c r="G234" s="97" t="s">
        <v>703</v>
      </c>
      <c r="H234" s="97" t="s">
        <v>4</v>
      </c>
      <c r="I234" s="106">
        <v>2013</v>
      </c>
      <c r="J234" s="101">
        <v>0</v>
      </c>
      <c r="K234" s="101">
        <v>0.1</v>
      </c>
      <c r="L234" s="102" t="s">
        <v>376</v>
      </c>
      <c r="M234" s="101">
        <v>0.2</v>
      </c>
      <c r="N234" s="103" t="s">
        <v>598</v>
      </c>
      <c r="O234" s="103" t="s">
        <v>598</v>
      </c>
      <c r="P234" s="98" t="s">
        <v>598</v>
      </c>
      <c r="Q234" s="98" t="s">
        <v>598</v>
      </c>
      <c r="R234" s="97" t="s">
        <v>520</v>
      </c>
      <c r="S234" s="97" t="s">
        <v>264</v>
      </c>
      <c r="T234" s="97" t="s">
        <v>4</v>
      </c>
      <c r="U234" s="97">
        <v>2013</v>
      </c>
      <c r="V234" s="97" t="s">
        <v>304</v>
      </c>
      <c r="W234" s="106">
        <v>28.253268654955502</v>
      </c>
      <c r="X234" s="106">
        <v>-80.604160471762199</v>
      </c>
      <c r="Y234" s="98" t="s">
        <v>598</v>
      </c>
      <c r="Z234" s="107"/>
      <c r="AA234" s="21" t="s">
        <v>1064</v>
      </c>
      <c r="AB234" s="21" t="s">
        <v>1064</v>
      </c>
      <c r="AC234" s="21" t="s">
        <v>1064</v>
      </c>
      <c r="AD234" s="102" t="s">
        <v>1075</v>
      </c>
    </row>
    <row r="235" spans="1:30" x14ac:dyDescent="0.3">
      <c r="A235" s="99">
        <v>2876</v>
      </c>
      <c r="B235" s="97" t="s">
        <v>192</v>
      </c>
      <c r="C235" s="97" t="s">
        <v>965</v>
      </c>
      <c r="D235" s="153" t="s">
        <v>966</v>
      </c>
      <c r="E235" s="97" t="s">
        <v>967</v>
      </c>
      <c r="F235" s="97" t="s">
        <v>968</v>
      </c>
      <c r="G235" s="99" t="s">
        <v>353</v>
      </c>
      <c r="H235" s="97" t="s">
        <v>4</v>
      </c>
      <c r="I235" s="100" t="s">
        <v>649</v>
      </c>
      <c r="J235" s="101">
        <v>46</v>
      </c>
      <c r="K235" s="101">
        <v>12.5</v>
      </c>
      <c r="L235" s="102" t="s">
        <v>376</v>
      </c>
      <c r="M235" s="101">
        <v>3.2</v>
      </c>
      <c r="N235" s="103" t="s">
        <v>598</v>
      </c>
      <c r="O235" s="103" t="s">
        <v>598</v>
      </c>
      <c r="P235" s="97" t="s">
        <v>452</v>
      </c>
      <c r="Q235" s="98" t="s">
        <v>598</v>
      </c>
      <c r="R235" s="97" t="s">
        <v>520</v>
      </c>
      <c r="S235" s="97" t="s">
        <v>265</v>
      </c>
      <c r="T235" s="97" t="s">
        <v>4</v>
      </c>
      <c r="U235" s="97">
        <v>2013</v>
      </c>
      <c r="V235" s="97" t="s">
        <v>304</v>
      </c>
      <c r="W235" s="109">
        <v>28.236264108801699</v>
      </c>
      <c r="X235" s="109">
        <v>-80.602716039713201</v>
      </c>
      <c r="Y235" s="98" t="s">
        <v>598</v>
      </c>
      <c r="Z235" s="107"/>
      <c r="AA235" s="21" t="s">
        <v>1064</v>
      </c>
      <c r="AB235" s="21" t="s">
        <v>1064</v>
      </c>
      <c r="AC235" s="21" t="s">
        <v>1064</v>
      </c>
      <c r="AD235" s="102" t="s">
        <v>1075</v>
      </c>
    </row>
    <row r="236" spans="1:30" x14ac:dyDescent="0.3">
      <c r="A236" s="99">
        <v>2899</v>
      </c>
      <c r="B236" s="97" t="s">
        <v>192</v>
      </c>
      <c r="C236" s="97" t="s">
        <v>965</v>
      </c>
      <c r="D236" s="153" t="s">
        <v>969</v>
      </c>
      <c r="E236" s="97" t="s">
        <v>970</v>
      </c>
      <c r="F236" s="97" t="s">
        <v>968</v>
      </c>
      <c r="G236" s="99" t="s">
        <v>353</v>
      </c>
      <c r="H236" s="97" t="s">
        <v>4</v>
      </c>
      <c r="I236" s="100" t="s">
        <v>649</v>
      </c>
      <c r="J236" s="101">
        <v>164</v>
      </c>
      <c r="K236" s="101">
        <v>43.5</v>
      </c>
      <c r="L236" s="102" t="s">
        <v>376</v>
      </c>
      <c r="M236" s="101">
        <v>11.3</v>
      </c>
      <c r="N236" s="103" t="s">
        <v>598</v>
      </c>
      <c r="O236" s="103" t="s">
        <v>598</v>
      </c>
      <c r="P236" s="97" t="s">
        <v>452</v>
      </c>
      <c r="Q236" s="98" t="s">
        <v>598</v>
      </c>
      <c r="R236" s="97" t="s">
        <v>520</v>
      </c>
      <c r="S236" s="97" t="s">
        <v>265</v>
      </c>
      <c r="T236" s="97" t="s">
        <v>4</v>
      </c>
      <c r="U236" s="97">
        <v>2013</v>
      </c>
      <c r="V236" s="97" t="s">
        <v>304</v>
      </c>
      <c r="W236" s="109">
        <v>28.237257606547701</v>
      </c>
      <c r="X236" s="109">
        <v>-80.603637237860497</v>
      </c>
      <c r="Y236" s="98" t="s">
        <v>598</v>
      </c>
      <c r="Z236" s="107"/>
      <c r="AA236" s="21" t="s">
        <v>1064</v>
      </c>
      <c r="AB236" s="21" t="s">
        <v>1064</v>
      </c>
      <c r="AC236" s="21" t="s">
        <v>1064</v>
      </c>
      <c r="AD236" s="102" t="s">
        <v>1075</v>
      </c>
    </row>
    <row r="237" spans="1:30" x14ac:dyDescent="0.3">
      <c r="A237" s="99">
        <v>2881</v>
      </c>
      <c r="B237" s="97" t="s">
        <v>192</v>
      </c>
      <c r="C237" s="98" t="s">
        <v>598</v>
      </c>
      <c r="D237" s="153" t="s">
        <v>971</v>
      </c>
      <c r="E237" s="97" t="s">
        <v>1</v>
      </c>
      <c r="F237" s="97" t="s">
        <v>972</v>
      </c>
      <c r="G237" s="97" t="s">
        <v>1</v>
      </c>
      <c r="H237" s="97" t="s">
        <v>2</v>
      </c>
      <c r="I237" s="100" t="s">
        <v>520</v>
      </c>
      <c r="J237" s="101">
        <v>367</v>
      </c>
      <c r="K237" s="101">
        <v>97</v>
      </c>
      <c r="L237" s="102" t="s">
        <v>376</v>
      </c>
      <c r="M237" s="101" t="s">
        <v>520</v>
      </c>
      <c r="N237" s="103" t="s">
        <v>598</v>
      </c>
      <c r="O237" s="103" t="s">
        <v>598</v>
      </c>
      <c r="P237" s="97" t="s">
        <v>452</v>
      </c>
      <c r="Q237" s="103" t="s">
        <v>598</v>
      </c>
      <c r="R237" s="97" t="s">
        <v>520</v>
      </c>
      <c r="S237" s="97" t="s">
        <v>265</v>
      </c>
      <c r="T237" s="97" t="s">
        <v>2</v>
      </c>
      <c r="U237" s="97">
        <v>2013</v>
      </c>
      <c r="V237" s="97" t="s">
        <v>304</v>
      </c>
      <c r="W237" s="106">
        <v>28.513004915476898</v>
      </c>
      <c r="X237" s="106">
        <v>-80.640302833114902</v>
      </c>
      <c r="Y237" s="98" t="s">
        <v>598</v>
      </c>
      <c r="Z237" s="107"/>
      <c r="AA237" s="98" t="s">
        <v>1065</v>
      </c>
      <c r="AB237" s="21" t="s">
        <v>1065</v>
      </c>
      <c r="AC237" s="21" t="s">
        <v>1073</v>
      </c>
      <c r="AD237" s="102" t="s">
        <v>1072</v>
      </c>
    </row>
    <row r="238" spans="1:30" x14ac:dyDescent="0.3">
      <c r="A238" s="99">
        <v>2883</v>
      </c>
      <c r="B238" s="97" t="s">
        <v>192</v>
      </c>
      <c r="C238" s="98" t="s">
        <v>598</v>
      </c>
      <c r="D238" s="153" t="s">
        <v>973</v>
      </c>
      <c r="E238" s="97" t="s">
        <v>974</v>
      </c>
      <c r="F238" s="97" t="s">
        <v>975</v>
      </c>
      <c r="G238" s="97" t="s">
        <v>349</v>
      </c>
      <c r="H238" s="97" t="s">
        <v>4</v>
      </c>
      <c r="I238" s="106">
        <v>2013</v>
      </c>
      <c r="J238" s="101">
        <v>3677</v>
      </c>
      <c r="K238" s="101">
        <v>969.9</v>
      </c>
      <c r="L238" s="102" t="s">
        <v>376</v>
      </c>
      <c r="M238" s="101">
        <v>348.9</v>
      </c>
      <c r="N238" s="108">
        <v>850000</v>
      </c>
      <c r="O238" s="103" t="s">
        <v>598</v>
      </c>
      <c r="P238" s="97" t="s">
        <v>452</v>
      </c>
      <c r="Q238" s="118">
        <v>850000</v>
      </c>
      <c r="R238" s="97" t="s">
        <v>520</v>
      </c>
      <c r="S238" s="97" t="s">
        <v>264</v>
      </c>
      <c r="T238" s="97" t="s">
        <v>4</v>
      </c>
      <c r="U238" s="97">
        <v>2013</v>
      </c>
      <c r="V238" s="97" t="s">
        <v>304</v>
      </c>
      <c r="W238" s="106">
        <v>28.216408107554098</v>
      </c>
      <c r="X238" s="106">
        <v>-80.605103263006896</v>
      </c>
      <c r="Y238" s="98" t="s">
        <v>598</v>
      </c>
      <c r="Z238" s="107"/>
      <c r="AA238" s="21" t="s">
        <v>1064</v>
      </c>
      <c r="AB238" s="21" t="s">
        <v>1064</v>
      </c>
      <c r="AC238" s="21" t="s">
        <v>1064</v>
      </c>
      <c r="AD238" s="102" t="s">
        <v>1075</v>
      </c>
    </row>
    <row r="239" spans="1:30" x14ac:dyDescent="0.3">
      <c r="A239" s="99">
        <v>2908</v>
      </c>
      <c r="B239" s="97" t="s">
        <v>192</v>
      </c>
      <c r="C239" s="98" t="s">
        <v>598</v>
      </c>
      <c r="D239" s="153" t="s">
        <v>976</v>
      </c>
      <c r="E239" s="97" t="s">
        <v>350</v>
      </c>
      <c r="F239" s="97" t="s">
        <v>977</v>
      </c>
      <c r="G239" s="97" t="s">
        <v>350</v>
      </c>
      <c r="H239" s="97" t="s">
        <v>4</v>
      </c>
      <c r="I239" s="100" t="s">
        <v>520</v>
      </c>
      <c r="J239" s="101">
        <v>11</v>
      </c>
      <c r="K239" s="101">
        <v>7</v>
      </c>
      <c r="L239" s="102" t="s">
        <v>376</v>
      </c>
      <c r="M239" s="101">
        <v>14705</v>
      </c>
      <c r="N239" s="103" t="s">
        <v>598</v>
      </c>
      <c r="O239" s="110">
        <v>119000</v>
      </c>
      <c r="P239" s="97" t="s">
        <v>452</v>
      </c>
      <c r="Q239" s="98" t="s">
        <v>598</v>
      </c>
      <c r="R239" s="97" t="s">
        <v>520</v>
      </c>
      <c r="S239" s="97" t="s">
        <v>265</v>
      </c>
      <c r="T239" s="97" t="s">
        <v>4</v>
      </c>
      <c r="U239" s="97">
        <v>2016</v>
      </c>
      <c r="V239" s="97" t="s">
        <v>304</v>
      </c>
      <c r="W239" s="100" t="s">
        <v>520</v>
      </c>
      <c r="X239" s="100" t="s">
        <v>520</v>
      </c>
      <c r="Y239" s="99" t="s">
        <v>978</v>
      </c>
      <c r="Z239" s="107"/>
      <c r="AA239" s="98" t="s">
        <v>1065</v>
      </c>
      <c r="AB239" s="21" t="s">
        <v>1065</v>
      </c>
      <c r="AC239" s="21" t="s">
        <v>1074</v>
      </c>
      <c r="AD239" s="102" t="s">
        <v>1071</v>
      </c>
    </row>
    <row r="240" spans="1:30" x14ac:dyDescent="0.3">
      <c r="A240" s="99">
        <v>2907</v>
      </c>
      <c r="B240" s="97" t="s">
        <v>192</v>
      </c>
      <c r="C240" s="98" t="s">
        <v>598</v>
      </c>
      <c r="D240" s="153" t="s">
        <v>979</v>
      </c>
      <c r="E240" s="97" t="s">
        <v>980</v>
      </c>
      <c r="F240" s="97" t="s">
        <v>981</v>
      </c>
      <c r="G240" s="97" t="s">
        <v>982</v>
      </c>
      <c r="H240" s="97" t="s">
        <v>4</v>
      </c>
      <c r="I240" s="100" t="s">
        <v>598</v>
      </c>
      <c r="J240" s="59">
        <v>0</v>
      </c>
      <c r="K240" s="59">
        <v>12.84</v>
      </c>
      <c r="L240" s="97" t="s">
        <v>376</v>
      </c>
      <c r="M240" s="116" t="s">
        <v>598</v>
      </c>
      <c r="N240" s="104" t="s">
        <v>520</v>
      </c>
      <c r="O240" s="104" t="s">
        <v>520</v>
      </c>
      <c r="P240" s="98" t="s">
        <v>520</v>
      </c>
      <c r="Q240" s="98" t="s">
        <v>520</v>
      </c>
      <c r="R240" s="97" t="s">
        <v>520</v>
      </c>
      <c r="S240" s="97" t="s">
        <v>265</v>
      </c>
      <c r="T240" s="97" t="s">
        <v>4</v>
      </c>
      <c r="U240" s="97">
        <v>2016</v>
      </c>
      <c r="V240" s="97" t="s">
        <v>304</v>
      </c>
      <c r="W240" s="100" t="s">
        <v>598</v>
      </c>
      <c r="X240" s="100" t="s">
        <v>598</v>
      </c>
      <c r="Y240" s="98" t="s">
        <v>598</v>
      </c>
      <c r="Z240" s="107"/>
      <c r="AA240" s="98" t="s">
        <v>1065</v>
      </c>
      <c r="AB240" s="21" t="s">
        <v>1064</v>
      </c>
      <c r="AC240" s="21" t="s">
        <v>1064</v>
      </c>
      <c r="AD240" s="154" t="s">
        <v>1076</v>
      </c>
    </row>
    <row r="241" spans="1:30" x14ac:dyDescent="0.3">
      <c r="A241" s="99">
        <v>2906</v>
      </c>
      <c r="B241" s="97" t="s">
        <v>192</v>
      </c>
      <c r="C241" s="98" t="s">
        <v>598</v>
      </c>
      <c r="D241" s="153" t="s">
        <v>983</v>
      </c>
      <c r="E241" s="97" t="s">
        <v>984</v>
      </c>
      <c r="F241" s="97" t="s">
        <v>985</v>
      </c>
      <c r="G241" s="97" t="s">
        <v>669</v>
      </c>
      <c r="H241" s="97" t="s">
        <v>4</v>
      </c>
      <c r="I241" s="106">
        <v>2016</v>
      </c>
      <c r="J241" s="101">
        <v>228</v>
      </c>
      <c r="K241" s="101">
        <v>43</v>
      </c>
      <c r="L241" s="102" t="s">
        <v>376</v>
      </c>
      <c r="M241" s="101" t="s">
        <v>598</v>
      </c>
      <c r="N241" s="103" t="s">
        <v>598</v>
      </c>
      <c r="O241" s="103" t="s">
        <v>598</v>
      </c>
      <c r="P241" s="97" t="s">
        <v>452</v>
      </c>
      <c r="Q241" s="98" t="s">
        <v>598</v>
      </c>
      <c r="R241" s="97" t="s">
        <v>520</v>
      </c>
      <c r="S241" s="97" t="s">
        <v>264</v>
      </c>
      <c r="T241" s="97" t="s">
        <v>4</v>
      </c>
      <c r="U241" s="97">
        <v>2016</v>
      </c>
      <c r="V241" s="97" t="s">
        <v>304</v>
      </c>
      <c r="W241" s="106">
        <v>28.250592000000001</v>
      </c>
      <c r="X241" s="106">
        <v>-80.607031000000006</v>
      </c>
      <c r="Y241" s="98" t="s">
        <v>598</v>
      </c>
      <c r="Z241" s="107"/>
      <c r="AA241" s="97" t="s">
        <v>1064</v>
      </c>
      <c r="AB241" s="97" t="s">
        <v>1064</v>
      </c>
      <c r="AC241" s="97" t="s">
        <v>1064</v>
      </c>
      <c r="AD241" s="102" t="s">
        <v>1075</v>
      </c>
    </row>
    <row r="242" spans="1:30" x14ac:dyDescent="0.3">
      <c r="A242" s="99">
        <v>2905</v>
      </c>
      <c r="B242" s="97" t="s">
        <v>192</v>
      </c>
      <c r="C242" s="97" t="s">
        <v>598</v>
      </c>
      <c r="D242" s="97" t="s">
        <v>986</v>
      </c>
      <c r="E242" s="97" t="s">
        <v>875</v>
      </c>
      <c r="F242" s="97" t="s">
        <v>987</v>
      </c>
      <c r="G242" s="97" t="s">
        <v>669</v>
      </c>
      <c r="H242" s="97" t="s">
        <v>548</v>
      </c>
      <c r="I242" s="106" t="s">
        <v>520</v>
      </c>
      <c r="J242" s="116" t="s">
        <v>520</v>
      </c>
      <c r="K242" s="116" t="s">
        <v>520</v>
      </c>
      <c r="L242" s="97" t="s">
        <v>520</v>
      </c>
      <c r="M242" s="116" t="s">
        <v>520</v>
      </c>
      <c r="N242" s="110" t="s">
        <v>520</v>
      </c>
      <c r="O242" s="110" t="s">
        <v>520</v>
      </c>
      <c r="P242" s="97" t="s">
        <v>520</v>
      </c>
      <c r="Q242" s="97" t="s">
        <v>520</v>
      </c>
      <c r="R242" s="97" t="s">
        <v>520</v>
      </c>
      <c r="S242" s="97" t="s">
        <v>264</v>
      </c>
      <c r="T242" s="97" t="s">
        <v>306</v>
      </c>
      <c r="U242" s="97">
        <v>2016</v>
      </c>
      <c r="V242" s="97" t="s">
        <v>304</v>
      </c>
      <c r="W242" s="106" t="s">
        <v>520</v>
      </c>
      <c r="X242" s="106" t="s">
        <v>520</v>
      </c>
      <c r="Y242" s="97" t="s">
        <v>520</v>
      </c>
      <c r="Z242" s="117"/>
      <c r="AA242" s="97" t="s">
        <v>306</v>
      </c>
      <c r="AB242" s="97" t="s">
        <v>1065</v>
      </c>
      <c r="AC242" s="97" t="s">
        <v>520</v>
      </c>
      <c r="AD242" s="97" t="s">
        <v>520</v>
      </c>
    </row>
    <row r="243" spans="1:30" x14ac:dyDescent="0.3">
      <c r="A243" s="99">
        <v>2904</v>
      </c>
      <c r="B243" s="97" t="s">
        <v>192</v>
      </c>
      <c r="C243" s="98" t="s">
        <v>598</v>
      </c>
      <c r="D243" s="153" t="s">
        <v>988</v>
      </c>
      <c r="E243" s="97" t="s">
        <v>989</v>
      </c>
      <c r="F243" s="99" t="s">
        <v>1010</v>
      </c>
      <c r="G243" s="97" t="s">
        <v>71</v>
      </c>
      <c r="H243" s="97" t="s">
        <v>2</v>
      </c>
      <c r="I243" s="106">
        <v>2017</v>
      </c>
      <c r="J243" s="128">
        <v>71</v>
      </c>
      <c r="K243" s="128">
        <v>29</v>
      </c>
      <c r="L243" s="102" t="s">
        <v>376</v>
      </c>
      <c r="M243" s="128" t="s">
        <v>520</v>
      </c>
      <c r="N243" s="110">
        <v>134500</v>
      </c>
      <c r="O243" s="110">
        <v>134500</v>
      </c>
      <c r="P243" s="97" t="s">
        <v>452</v>
      </c>
      <c r="Q243" s="110">
        <v>134500</v>
      </c>
      <c r="R243" s="97" t="s">
        <v>520</v>
      </c>
      <c r="S243" s="97" t="s">
        <v>264</v>
      </c>
      <c r="T243" s="97" t="s">
        <v>4</v>
      </c>
      <c r="U243" s="97">
        <v>2016</v>
      </c>
      <c r="V243" s="97" t="s">
        <v>304</v>
      </c>
      <c r="W243" s="106">
        <v>28.214739999999999</v>
      </c>
      <c r="X243" s="106">
        <v>-80.610129999999998</v>
      </c>
      <c r="Y243" s="99" t="s">
        <v>554</v>
      </c>
      <c r="Z243" s="107"/>
      <c r="AA243" s="97" t="s">
        <v>1065</v>
      </c>
      <c r="AB243" s="97" t="s">
        <v>1065</v>
      </c>
      <c r="AC243" s="97" t="s">
        <v>1064</v>
      </c>
      <c r="AD243" s="87" t="s">
        <v>1077</v>
      </c>
    </row>
    <row r="244" spans="1:30" x14ac:dyDescent="0.3">
      <c r="A244" s="99">
        <v>2903</v>
      </c>
      <c r="B244" s="97" t="s">
        <v>192</v>
      </c>
      <c r="C244" s="97" t="s">
        <v>965</v>
      </c>
      <c r="D244" s="153" t="s">
        <v>990</v>
      </c>
      <c r="E244" s="97" t="s">
        <v>991</v>
      </c>
      <c r="F244" s="97" t="s">
        <v>992</v>
      </c>
      <c r="G244" s="97" t="s">
        <v>576</v>
      </c>
      <c r="H244" s="97" t="s">
        <v>4</v>
      </c>
      <c r="I244" s="106">
        <v>2017</v>
      </c>
      <c r="J244" s="101">
        <v>424</v>
      </c>
      <c r="K244" s="101">
        <v>52</v>
      </c>
      <c r="L244" s="102" t="s">
        <v>376</v>
      </c>
      <c r="M244" s="101">
        <v>87</v>
      </c>
      <c r="N244" s="103" t="s">
        <v>598</v>
      </c>
      <c r="O244" s="103" t="s">
        <v>598</v>
      </c>
      <c r="P244" s="97" t="s">
        <v>452</v>
      </c>
      <c r="Q244" s="98" t="s">
        <v>598</v>
      </c>
      <c r="R244" s="97" t="s">
        <v>520</v>
      </c>
      <c r="S244" s="97" t="s">
        <v>264</v>
      </c>
      <c r="T244" s="97" t="s">
        <v>4</v>
      </c>
      <c r="U244" s="97">
        <v>2016</v>
      </c>
      <c r="V244" s="97" t="s">
        <v>304</v>
      </c>
      <c r="W244" s="109">
        <v>28.253509999999999</v>
      </c>
      <c r="X244" s="109">
        <v>-80.604089999999999</v>
      </c>
      <c r="Y244" s="98" t="s">
        <v>598</v>
      </c>
      <c r="Z244" s="107"/>
      <c r="AA244" s="21" t="s">
        <v>1064</v>
      </c>
      <c r="AB244" s="21" t="s">
        <v>1064</v>
      </c>
      <c r="AC244" s="21" t="s">
        <v>1064</v>
      </c>
      <c r="AD244" s="102" t="s">
        <v>1075</v>
      </c>
    </row>
    <row r="245" spans="1:30" x14ac:dyDescent="0.3">
      <c r="A245" s="99">
        <v>2902</v>
      </c>
      <c r="B245" s="97" t="s">
        <v>192</v>
      </c>
      <c r="C245" s="97" t="s">
        <v>965</v>
      </c>
      <c r="D245" s="153" t="s">
        <v>993</v>
      </c>
      <c r="E245" s="97" t="s">
        <v>558</v>
      </c>
      <c r="F245" s="97" t="s">
        <v>1011</v>
      </c>
      <c r="G245" s="97" t="s">
        <v>345</v>
      </c>
      <c r="H245" s="97" t="s">
        <v>4</v>
      </c>
      <c r="I245" s="106">
        <v>2016</v>
      </c>
      <c r="J245" s="101">
        <v>195</v>
      </c>
      <c r="K245" s="101">
        <v>45</v>
      </c>
      <c r="L245" s="102" t="s">
        <v>376</v>
      </c>
      <c r="M245" s="101">
        <v>144.23684280000001</v>
      </c>
      <c r="N245" s="103" t="s">
        <v>598</v>
      </c>
      <c r="O245" s="103" t="s">
        <v>598</v>
      </c>
      <c r="P245" s="97" t="s">
        <v>452</v>
      </c>
      <c r="Q245" s="98" t="s">
        <v>598</v>
      </c>
      <c r="R245" s="97" t="s">
        <v>520</v>
      </c>
      <c r="S245" s="97" t="s">
        <v>264</v>
      </c>
      <c r="T245" s="97" t="s">
        <v>4</v>
      </c>
      <c r="U245" s="97">
        <v>2016</v>
      </c>
      <c r="V245" s="97" t="s">
        <v>304</v>
      </c>
      <c r="W245" s="106">
        <v>28.234812999999999</v>
      </c>
      <c r="X245" s="106">
        <v>-80.607911000000001</v>
      </c>
      <c r="Y245" s="98" t="s">
        <v>598</v>
      </c>
      <c r="Z245" s="107"/>
      <c r="AA245" s="21" t="s">
        <v>1064</v>
      </c>
      <c r="AB245" s="21" t="s">
        <v>1064</v>
      </c>
      <c r="AC245" s="21" t="s">
        <v>1064</v>
      </c>
      <c r="AD245" s="102" t="s">
        <v>1075</v>
      </c>
    </row>
    <row r="246" spans="1:30" x14ac:dyDescent="0.3">
      <c r="A246" s="99">
        <v>2892</v>
      </c>
      <c r="B246" s="97" t="s">
        <v>192</v>
      </c>
      <c r="C246" s="97" t="s">
        <v>965</v>
      </c>
      <c r="D246" s="153" t="s">
        <v>994</v>
      </c>
      <c r="E246" s="97" t="s">
        <v>995</v>
      </c>
      <c r="F246" s="97" t="s">
        <v>996</v>
      </c>
      <c r="G246" s="106" t="s">
        <v>791</v>
      </c>
      <c r="H246" s="97" t="s">
        <v>256</v>
      </c>
      <c r="I246" s="106">
        <v>2018</v>
      </c>
      <c r="J246" s="59" t="s">
        <v>361</v>
      </c>
      <c r="K246" s="59" t="s">
        <v>361</v>
      </c>
      <c r="L246" s="97" t="s">
        <v>376</v>
      </c>
      <c r="M246" s="116">
        <v>3</v>
      </c>
      <c r="N246" s="103" t="s">
        <v>598</v>
      </c>
      <c r="O246" s="110">
        <v>2000</v>
      </c>
      <c r="P246" s="97" t="s">
        <v>452</v>
      </c>
      <c r="Q246" s="123" t="s">
        <v>598</v>
      </c>
      <c r="R246" s="97" t="s">
        <v>520</v>
      </c>
      <c r="S246" s="97" t="s">
        <v>264</v>
      </c>
      <c r="T246" s="97" t="s">
        <v>598</v>
      </c>
      <c r="U246" s="97">
        <v>2017</v>
      </c>
      <c r="V246" s="97" t="s">
        <v>304</v>
      </c>
      <c r="W246" s="109">
        <v>28.214739999999999</v>
      </c>
      <c r="X246" s="109">
        <v>-80.610129999999998</v>
      </c>
      <c r="Y246" s="121" t="s">
        <v>554</v>
      </c>
      <c r="Z246" s="107"/>
      <c r="AA246" s="98" t="s">
        <v>1065</v>
      </c>
      <c r="AB246" s="21" t="s">
        <v>1064</v>
      </c>
      <c r="AC246" s="21" t="s">
        <v>1081</v>
      </c>
      <c r="AD246" s="21" t="s">
        <v>520</v>
      </c>
    </row>
    <row r="247" spans="1:30" x14ac:dyDescent="0.3">
      <c r="A247" s="99">
        <v>2900</v>
      </c>
      <c r="B247" s="97" t="s">
        <v>192</v>
      </c>
      <c r="C247" s="126" t="s">
        <v>965</v>
      </c>
      <c r="D247" s="153" t="s">
        <v>997</v>
      </c>
      <c r="E247" s="97" t="s">
        <v>565</v>
      </c>
      <c r="F247" s="97" t="s">
        <v>998</v>
      </c>
      <c r="G247" s="97" t="s">
        <v>566</v>
      </c>
      <c r="H247" s="97" t="s">
        <v>4</v>
      </c>
      <c r="I247" s="106">
        <v>2018</v>
      </c>
      <c r="J247" s="116" t="s">
        <v>520</v>
      </c>
      <c r="K247" s="116" t="s">
        <v>520</v>
      </c>
      <c r="L247" s="97" t="s">
        <v>376</v>
      </c>
      <c r="M247" s="116" t="s">
        <v>520</v>
      </c>
      <c r="N247" s="110">
        <v>1850000</v>
      </c>
      <c r="O247" s="110">
        <v>370000</v>
      </c>
      <c r="P247" s="97" t="s">
        <v>452</v>
      </c>
      <c r="Q247" s="126">
        <v>1850000</v>
      </c>
      <c r="R247" s="97" t="s">
        <v>520</v>
      </c>
      <c r="S247" s="97" t="s">
        <v>265</v>
      </c>
      <c r="T247" s="97" t="s">
        <v>598</v>
      </c>
      <c r="U247" s="97">
        <v>2017</v>
      </c>
      <c r="V247" s="97" t="s">
        <v>304</v>
      </c>
      <c r="W247" s="106">
        <v>28.2328634256613</v>
      </c>
      <c r="X247" s="106">
        <v>-80.608028178654905</v>
      </c>
      <c r="Y247" s="124" t="s">
        <v>999</v>
      </c>
      <c r="Z247" s="107"/>
      <c r="AA247" s="98" t="s">
        <v>1065</v>
      </c>
      <c r="AB247" s="21" t="s">
        <v>1065</v>
      </c>
      <c r="AC247" s="21" t="s">
        <v>1065</v>
      </c>
      <c r="AD247" s="21" t="s">
        <v>520</v>
      </c>
    </row>
    <row r="248" spans="1:30" x14ac:dyDescent="0.3">
      <c r="A248" s="99">
        <v>2909</v>
      </c>
      <c r="B248" s="97" t="s">
        <v>192</v>
      </c>
      <c r="C248" s="97" t="s">
        <v>1012</v>
      </c>
      <c r="D248" s="153" t="s">
        <v>1000</v>
      </c>
      <c r="E248" s="97" t="s">
        <v>1013</v>
      </c>
      <c r="F248" s="99" t="s">
        <v>1014</v>
      </c>
      <c r="G248" s="97" t="s">
        <v>579</v>
      </c>
      <c r="H248" s="97" t="s">
        <v>256</v>
      </c>
      <c r="I248" s="106">
        <v>2019</v>
      </c>
      <c r="J248" s="59" t="s">
        <v>361</v>
      </c>
      <c r="K248" s="59" t="s">
        <v>361</v>
      </c>
      <c r="L248" s="21" t="s">
        <v>376</v>
      </c>
      <c r="M248" s="59">
        <v>249</v>
      </c>
      <c r="N248" s="110">
        <v>11676000</v>
      </c>
      <c r="O248" s="103" t="s">
        <v>361</v>
      </c>
      <c r="P248" s="97" t="s">
        <v>1001</v>
      </c>
      <c r="Q248" s="110">
        <v>11676000</v>
      </c>
      <c r="R248" s="97" t="s">
        <v>520</v>
      </c>
      <c r="S248" s="97" t="s">
        <v>264</v>
      </c>
      <c r="T248" s="97" t="s">
        <v>598</v>
      </c>
      <c r="U248" s="97">
        <v>2017</v>
      </c>
      <c r="V248" s="97" t="s">
        <v>304</v>
      </c>
      <c r="W248" s="106">
        <v>28.256325</v>
      </c>
      <c r="X248" s="106">
        <v>-80.611908999999997</v>
      </c>
      <c r="Y248" s="121" t="s">
        <v>554</v>
      </c>
      <c r="Z248" s="107"/>
      <c r="AA248" s="98" t="s">
        <v>1065</v>
      </c>
      <c r="AB248" s="21" t="s">
        <v>1065</v>
      </c>
      <c r="AC248" s="21" t="s">
        <v>1081</v>
      </c>
      <c r="AD248" s="21" t="s">
        <v>520</v>
      </c>
    </row>
    <row r="249" spans="1:30" x14ac:dyDescent="0.3">
      <c r="A249" s="99">
        <v>2898</v>
      </c>
      <c r="B249" s="97" t="s">
        <v>192</v>
      </c>
      <c r="C249" s="98" t="s">
        <v>598</v>
      </c>
      <c r="D249" s="153" t="s">
        <v>1002</v>
      </c>
      <c r="E249" s="97" t="s">
        <v>572</v>
      </c>
      <c r="F249" s="97" t="s">
        <v>1003</v>
      </c>
      <c r="G249" s="106" t="s">
        <v>573</v>
      </c>
      <c r="H249" s="97" t="s">
        <v>4</v>
      </c>
      <c r="I249" s="106">
        <v>2017</v>
      </c>
      <c r="J249" s="116" t="s">
        <v>520</v>
      </c>
      <c r="K249" s="116" t="s">
        <v>520</v>
      </c>
      <c r="L249" s="97" t="s">
        <v>376</v>
      </c>
      <c r="M249" s="116" t="s">
        <v>520</v>
      </c>
      <c r="N249" s="104" t="s">
        <v>598</v>
      </c>
      <c r="O249" s="103" t="s">
        <v>520</v>
      </c>
      <c r="P249" s="97" t="s">
        <v>452</v>
      </c>
      <c r="Q249" s="98" t="s">
        <v>598</v>
      </c>
      <c r="R249" s="97" t="s">
        <v>520</v>
      </c>
      <c r="S249" s="97" t="s">
        <v>265</v>
      </c>
      <c r="T249" s="97" t="s">
        <v>598</v>
      </c>
      <c r="U249" s="97">
        <v>2017</v>
      </c>
      <c r="V249" s="97" t="s">
        <v>304</v>
      </c>
      <c r="W249" s="100" t="s">
        <v>520</v>
      </c>
      <c r="X249" s="100" t="s">
        <v>520</v>
      </c>
      <c r="Y249" s="97">
        <v>2017</v>
      </c>
      <c r="Z249" s="107"/>
      <c r="AA249" s="98" t="s">
        <v>1065</v>
      </c>
      <c r="AB249" s="21" t="s">
        <v>1065</v>
      </c>
      <c r="AC249" s="21" t="s">
        <v>1065</v>
      </c>
      <c r="AD249" s="21" t="s">
        <v>520</v>
      </c>
    </row>
    <row r="250" spans="1:30" x14ac:dyDescent="0.3">
      <c r="A250" s="99">
        <v>2897</v>
      </c>
      <c r="B250" s="97" t="s">
        <v>192</v>
      </c>
      <c r="C250" s="98" t="s">
        <v>598</v>
      </c>
      <c r="D250" s="153" t="s">
        <v>1004</v>
      </c>
      <c r="E250" s="97" t="s">
        <v>1005</v>
      </c>
      <c r="F250" s="97" t="s">
        <v>1006</v>
      </c>
      <c r="G250" s="97" t="s">
        <v>580</v>
      </c>
      <c r="H250" s="97" t="s">
        <v>4</v>
      </c>
      <c r="I250" s="106">
        <v>2017</v>
      </c>
      <c r="J250" s="116" t="s">
        <v>361</v>
      </c>
      <c r="K250" s="116" t="s">
        <v>361</v>
      </c>
      <c r="L250" s="97" t="s">
        <v>376</v>
      </c>
      <c r="M250" s="116" t="s">
        <v>520</v>
      </c>
      <c r="N250" s="103" t="s">
        <v>598</v>
      </c>
      <c r="O250" s="103" t="s">
        <v>598</v>
      </c>
      <c r="P250" s="97" t="s">
        <v>452</v>
      </c>
      <c r="Q250" s="119" t="s">
        <v>361</v>
      </c>
      <c r="R250" s="97" t="s">
        <v>520</v>
      </c>
      <c r="S250" s="97" t="s">
        <v>265</v>
      </c>
      <c r="T250" s="97" t="s">
        <v>598</v>
      </c>
      <c r="U250" s="97">
        <v>2017</v>
      </c>
      <c r="V250" s="97" t="s">
        <v>304</v>
      </c>
      <c r="W250" s="109">
        <v>28.21369</v>
      </c>
      <c r="X250" s="109">
        <v>-80.616780000000006</v>
      </c>
      <c r="Y250" s="97">
        <v>2017</v>
      </c>
      <c r="Z250" s="107"/>
      <c r="AA250" s="98" t="s">
        <v>1065</v>
      </c>
      <c r="AB250" s="21" t="s">
        <v>1065</v>
      </c>
      <c r="AC250" s="21" t="s">
        <v>1081</v>
      </c>
      <c r="AD250" s="21" t="s">
        <v>520</v>
      </c>
    </row>
    <row r="251" spans="1:30" x14ac:dyDescent="0.3">
      <c r="A251" s="99">
        <v>2896</v>
      </c>
      <c r="B251" s="97" t="s">
        <v>192</v>
      </c>
      <c r="C251" s="116" t="s">
        <v>520</v>
      </c>
      <c r="D251" s="97" t="s">
        <v>1007</v>
      </c>
      <c r="E251" s="97" t="s">
        <v>575</v>
      </c>
      <c r="F251" s="97" t="s">
        <v>1008</v>
      </c>
      <c r="G251" s="97" t="s">
        <v>574</v>
      </c>
      <c r="H251" s="97" t="s">
        <v>548</v>
      </c>
      <c r="I251" s="106" t="s">
        <v>520</v>
      </c>
      <c r="J251" s="116" t="s">
        <v>520</v>
      </c>
      <c r="K251" s="116" t="s">
        <v>520</v>
      </c>
      <c r="L251" s="106" t="s">
        <v>520</v>
      </c>
      <c r="M251" s="116" t="s">
        <v>361</v>
      </c>
      <c r="N251" s="110" t="s">
        <v>520</v>
      </c>
      <c r="O251" s="110" t="s">
        <v>520</v>
      </c>
      <c r="P251" s="97" t="s">
        <v>520</v>
      </c>
      <c r="Q251" s="116" t="s">
        <v>520</v>
      </c>
      <c r="R251" s="97" t="s">
        <v>520</v>
      </c>
      <c r="S251" s="97" t="s">
        <v>265</v>
      </c>
      <c r="T251" s="97" t="s">
        <v>306</v>
      </c>
      <c r="U251" s="97">
        <v>2017</v>
      </c>
      <c r="V251" s="97" t="s">
        <v>304</v>
      </c>
      <c r="W251" s="106" t="s">
        <v>520</v>
      </c>
      <c r="X251" s="106" t="s">
        <v>520</v>
      </c>
      <c r="Y251" s="106" t="s">
        <v>520</v>
      </c>
      <c r="Z251" s="117"/>
      <c r="AA251" s="97" t="s">
        <v>306</v>
      </c>
      <c r="AB251" s="97" t="s">
        <v>1065</v>
      </c>
      <c r="AC251" s="97" t="s">
        <v>520</v>
      </c>
      <c r="AD251" s="97" t="s">
        <v>520</v>
      </c>
    </row>
    <row r="252" spans="1:30" x14ac:dyDescent="0.3">
      <c r="A252" s="99">
        <v>2652</v>
      </c>
      <c r="B252" s="97" t="s">
        <v>193</v>
      </c>
      <c r="C252" s="119" t="s">
        <v>598</v>
      </c>
      <c r="D252" s="153" t="s">
        <v>410</v>
      </c>
      <c r="E252" s="97" t="s">
        <v>194</v>
      </c>
      <c r="F252" s="118" t="s">
        <v>1108</v>
      </c>
      <c r="G252" s="97" t="s">
        <v>523</v>
      </c>
      <c r="H252" s="97" t="s">
        <v>4</v>
      </c>
      <c r="I252" s="106">
        <v>2013</v>
      </c>
      <c r="J252" s="101">
        <v>9</v>
      </c>
      <c r="K252" s="101">
        <v>2.2000000000000002</v>
      </c>
      <c r="L252" s="102" t="s">
        <v>376</v>
      </c>
      <c r="M252" s="101">
        <v>24.7</v>
      </c>
      <c r="N252" s="103" t="s">
        <v>598</v>
      </c>
      <c r="O252" s="103" t="s">
        <v>598</v>
      </c>
      <c r="P252" s="103" t="s">
        <v>598</v>
      </c>
      <c r="Q252" s="103" t="s">
        <v>598</v>
      </c>
      <c r="R252" s="97" t="s">
        <v>520</v>
      </c>
      <c r="S252" s="97" t="s">
        <v>264</v>
      </c>
      <c r="T252" s="97" t="s">
        <v>4</v>
      </c>
      <c r="U252" s="97">
        <v>2013</v>
      </c>
      <c r="V252" s="97" t="s">
        <v>304</v>
      </c>
      <c r="W252" s="111">
        <v>28.183302298659999</v>
      </c>
      <c r="X252" s="111">
        <v>-80.598923265410903</v>
      </c>
      <c r="Y252" s="119" t="s">
        <v>598</v>
      </c>
      <c r="Z252" s="107"/>
      <c r="AA252" s="21" t="s">
        <v>1064</v>
      </c>
      <c r="AB252" s="21" t="s">
        <v>1064</v>
      </c>
      <c r="AC252" s="21" t="s">
        <v>1064</v>
      </c>
      <c r="AD252" s="102" t="s">
        <v>1075</v>
      </c>
    </row>
    <row r="253" spans="1:30" x14ac:dyDescent="0.3">
      <c r="A253" s="99">
        <v>2651</v>
      </c>
      <c r="B253" s="97" t="s">
        <v>193</v>
      </c>
      <c r="C253" s="119" t="s">
        <v>598</v>
      </c>
      <c r="D253" s="153" t="s">
        <v>411</v>
      </c>
      <c r="E253" s="97" t="s">
        <v>194</v>
      </c>
      <c r="F253" s="118" t="s">
        <v>1108</v>
      </c>
      <c r="G253" s="97" t="s">
        <v>523</v>
      </c>
      <c r="H253" s="97" t="s">
        <v>4</v>
      </c>
      <c r="I253" s="106">
        <v>2013</v>
      </c>
      <c r="J253" s="101">
        <v>6</v>
      </c>
      <c r="K253" s="101">
        <v>0.8</v>
      </c>
      <c r="L253" s="102" t="s">
        <v>376</v>
      </c>
      <c r="M253" s="101">
        <v>8.1999999999999993</v>
      </c>
      <c r="N253" s="103" t="s">
        <v>598</v>
      </c>
      <c r="O253" s="103" t="s">
        <v>598</v>
      </c>
      <c r="P253" s="103" t="s">
        <v>598</v>
      </c>
      <c r="Q253" s="103" t="s">
        <v>598</v>
      </c>
      <c r="R253" s="97" t="s">
        <v>520</v>
      </c>
      <c r="S253" s="97" t="s">
        <v>264</v>
      </c>
      <c r="T253" s="97" t="s">
        <v>4</v>
      </c>
      <c r="U253" s="97">
        <v>2013</v>
      </c>
      <c r="V253" s="97" t="s">
        <v>304</v>
      </c>
      <c r="W253" s="111">
        <v>28.182881608434801</v>
      </c>
      <c r="X253" s="111">
        <v>-80.595856068935106</v>
      </c>
      <c r="Y253" s="119" t="s">
        <v>598</v>
      </c>
      <c r="Z253" s="107"/>
      <c r="AA253" s="21" t="s">
        <v>1064</v>
      </c>
      <c r="AB253" s="21" t="s">
        <v>1064</v>
      </c>
      <c r="AC253" s="21" t="s">
        <v>1064</v>
      </c>
      <c r="AD253" s="102" t="s">
        <v>1075</v>
      </c>
    </row>
    <row r="254" spans="1:30" x14ac:dyDescent="0.3">
      <c r="A254" s="99">
        <v>2637</v>
      </c>
      <c r="B254" s="97" t="s">
        <v>193</v>
      </c>
      <c r="C254" s="119" t="s">
        <v>598</v>
      </c>
      <c r="D254" s="153" t="s">
        <v>412</v>
      </c>
      <c r="E254" s="97" t="s">
        <v>194</v>
      </c>
      <c r="F254" s="118" t="s">
        <v>1108</v>
      </c>
      <c r="G254" s="97" t="s">
        <v>523</v>
      </c>
      <c r="H254" s="97" t="s">
        <v>4</v>
      </c>
      <c r="I254" s="106">
        <v>2013</v>
      </c>
      <c r="J254" s="101">
        <v>6</v>
      </c>
      <c r="K254" s="101">
        <v>1.7</v>
      </c>
      <c r="L254" s="102" t="s">
        <v>376</v>
      </c>
      <c r="M254" s="101">
        <v>8.6</v>
      </c>
      <c r="N254" s="103" t="s">
        <v>598</v>
      </c>
      <c r="O254" s="103" t="s">
        <v>598</v>
      </c>
      <c r="P254" s="103" t="s">
        <v>598</v>
      </c>
      <c r="Q254" s="103" t="s">
        <v>598</v>
      </c>
      <c r="R254" s="97" t="s">
        <v>520</v>
      </c>
      <c r="S254" s="97" t="s">
        <v>264</v>
      </c>
      <c r="T254" s="97" t="s">
        <v>4</v>
      </c>
      <c r="U254" s="97">
        <v>2013</v>
      </c>
      <c r="V254" s="97" t="s">
        <v>304</v>
      </c>
      <c r="W254" s="111">
        <v>28.183731336677202</v>
      </c>
      <c r="X254" s="111">
        <v>-80.601942296336702</v>
      </c>
      <c r="Y254" s="119" t="s">
        <v>598</v>
      </c>
      <c r="Z254" s="107"/>
      <c r="AA254" s="21" t="s">
        <v>1064</v>
      </c>
      <c r="AB254" s="21" t="s">
        <v>1064</v>
      </c>
      <c r="AC254" s="21" t="s">
        <v>1064</v>
      </c>
      <c r="AD254" s="102" t="s">
        <v>1075</v>
      </c>
    </row>
    <row r="255" spans="1:30" x14ac:dyDescent="0.3">
      <c r="A255" s="99">
        <v>2636</v>
      </c>
      <c r="B255" s="97" t="s">
        <v>193</v>
      </c>
      <c r="C255" s="119" t="s">
        <v>598</v>
      </c>
      <c r="D255" s="153" t="s">
        <v>413</v>
      </c>
      <c r="E255" s="97" t="s">
        <v>252</v>
      </c>
      <c r="F255" s="118" t="s">
        <v>1109</v>
      </c>
      <c r="G255" s="106" t="s">
        <v>705</v>
      </c>
      <c r="H255" s="97" t="s">
        <v>4</v>
      </c>
      <c r="I255" s="106">
        <v>2013</v>
      </c>
      <c r="J255" s="101">
        <v>0</v>
      </c>
      <c r="K255" s="101">
        <v>3.2</v>
      </c>
      <c r="L255" s="102" t="s">
        <v>376</v>
      </c>
      <c r="M255" s="101">
        <v>8.6</v>
      </c>
      <c r="N255" s="103" t="s">
        <v>598</v>
      </c>
      <c r="O255" s="103" t="s">
        <v>598</v>
      </c>
      <c r="P255" s="103" t="s">
        <v>598</v>
      </c>
      <c r="Q255" s="103" t="s">
        <v>598</v>
      </c>
      <c r="R255" s="97" t="s">
        <v>520</v>
      </c>
      <c r="S255" s="97" t="s">
        <v>264</v>
      </c>
      <c r="T255" s="97" t="s">
        <v>4</v>
      </c>
      <c r="U255" s="97">
        <v>2013</v>
      </c>
      <c r="V255" s="97" t="s">
        <v>304</v>
      </c>
      <c r="W255" s="111">
        <v>28.183731336677202</v>
      </c>
      <c r="X255" s="111">
        <v>-80.601942296336702</v>
      </c>
      <c r="Y255" s="119" t="s">
        <v>598</v>
      </c>
      <c r="Z255" s="107"/>
      <c r="AA255" s="21" t="s">
        <v>1064</v>
      </c>
      <c r="AB255" s="21" t="s">
        <v>1064</v>
      </c>
      <c r="AC255" s="21" t="s">
        <v>1064</v>
      </c>
      <c r="AD255" s="102" t="s">
        <v>1075</v>
      </c>
    </row>
    <row r="256" spans="1:30" x14ac:dyDescent="0.3">
      <c r="A256" s="99">
        <v>2635</v>
      </c>
      <c r="B256" s="97" t="s">
        <v>193</v>
      </c>
      <c r="C256" s="119" t="s">
        <v>598</v>
      </c>
      <c r="D256" s="153" t="s">
        <v>414</v>
      </c>
      <c r="E256" s="97" t="s">
        <v>194</v>
      </c>
      <c r="F256" s="118" t="s">
        <v>1110</v>
      </c>
      <c r="G256" s="97" t="s">
        <v>523</v>
      </c>
      <c r="H256" s="97" t="s">
        <v>4</v>
      </c>
      <c r="I256" s="106">
        <v>2013</v>
      </c>
      <c r="J256" s="101">
        <v>3</v>
      </c>
      <c r="K256" s="101">
        <v>0.4</v>
      </c>
      <c r="L256" s="102" t="s">
        <v>376</v>
      </c>
      <c r="M256" s="101">
        <v>11.7</v>
      </c>
      <c r="N256" s="103" t="s">
        <v>598</v>
      </c>
      <c r="O256" s="103" t="s">
        <v>598</v>
      </c>
      <c r="P256" s="103" t="s">
        <v>598</v>
      </c>
      <c r="Q256" s="103" t="s">
        <v>598</v>
      </c>
      <c r="R256" s="97" t="s">
        <v>520</v>
      </c>
      <c r="S256" s="97" t="s">
        <v>264</v>
      </c>
      <c r="T256" s="97" t="s">
        <v>4</v>
      </c>
      <c r="U256" s="97">
        <v>2013</v>
      </c>
      <c r="V256" s="97" t="s">
        <v>304</v>
      </c>
      <c r="W256" s="111">
        <v>28.182336371696898</v>
      </c>
      <c r="X256" s="111">
        <v>-80.594490299235304</v>
      </c>
      <c r="Y256" s="119" t="s">
        <v>598</v>
      </c>
      <c r="Z256" s="107"/>
      <c r="AA256" s="21" t="s">
        <v>1064</v>
      </c>
      <c r="AB256" s="21" t="s">
        <v>1064</v>
      </c>
      <c r="AC256" s="21" t="s">
        <v>1064</v>
      </c>
      <c r="AD256" s="102" t="s">
        <v>1075</v>
      </c>
    </row>
    <row r="257" spans="1:30" s="13" customFormat="1" x14ac:dyDescent="0.3">
      <c r="A257" s="99">
        <v>2634</v>
      </c>
      <c r="B257" s="97" t="s">
        <v>193</v>
      </c>
      <c r="C257" s="118" t="s">
        <v>539</v>
      </c>
      <c r="D257" s="153" t="s">
        <v>415</v>
      </c>
      <c r="E257" s="97" t="s">
        <v>255</v>
      </c>
      <c r="F257" s="118" t="s">
        <v>1111</v>
      </c>
      <c r="G257" s="97" t="s">
        <v>523</v>
      </c>
      <c r="H257" s="97" t="s">
        <v>4</v>
      </c>
      <c r="I257" s="106">
        <v>2013</v>
      </c>
      <c r="J257" s="101">
        <v>27</v>
      </c>
      <c r="K257" s="101">
        <v>4.5999999999999996</v>
      </c>
      <c r="L257" s="102" t="s">
        <v>376</v>
      </c>
      <c r="M257" s="101">
        <v>39.700000000000003</v>
      </c>
      <c r="N257" s="103" t="s">
        <v>598</v>
      </c>
      <c r="O257" s="103" t="s">
        <v>598</v>
      </c>
      <c r="P257" s="118" t="s">
        <v>539</v>
      </c>
      <c r="Q257" s="103" t="s">
        <v>598</v>
      </c>
      <c r="R257" s="97" t="s">
        <v>341</v>
      </c>
      <c r="S257" s="97" t="s">
        <v>264</v>
      </c>
      <c r="T257" s="97" t="s">
        <v>4</v>
      </c>
      <c r="U257" s="97">
        <v>2013</v>
      </c>
      <c r="V257" s="97" t="s">
        <v>304</v>
      </c>
      <c r="W257" s="111">
        <v>28.166641424092099</v>
      </c>
      <c r="X257" s="111">
        <v>-80.590067684720907</v>
      </c>
      <c r="Y257" s="119" t="s">
        <v>598</v>
      </c>
      <c r="Z257" s="107"/>
      <c r="AA257" s="21" t="s">
        <v>1064</v>
      </c>
      <c r="AB257" s="21" t="s">
        <v>1064</v>
      </c>
      <c r="AC257" s="21" t="s">
        <v>1064</v>
      </c>
      <c r="AD257" s="102" t="s">
        <v>1075</v>
      </c>
    </row>
    <row r="258" spans="1:30" x14ac:dyDescent="0.3">
      <c r="A258" s="99">
        <v>2666</v>
      </c>
      <c r="B258" s="97" t="s">
        <v>193</v>
      </c>
      <c r="C258" s="118" t="s">
        <v>539</v>
      </c>
      <c r="D258" s="153" t="s">
        <v>418</v>
      </c>
      <c r="E258" s="97" t="s">
        <v>198</v>
      </c>
      <c r="F258" s="118" t="s">
        <v>1112</v>
      </c>
      <c r="G258" s="97" t="s">
        <v>523</v>
      </c>
      <c r="H258" s="97" t="s">
        <v>4</v>
      </c>
      <c r="I258" s="106">
        <v>2013</v>
      </c>
      <c r="J258" s="101">
        <v>97</v>
      </c>
      <c r="K258" s="101">
        <v>13.7</v>
      </c>
      <c r="L258" s="102" t="s">
        <v>376</v>
      </c>
      <c r="M258" s="101">
        <v>108.2</v>
      </c>
      <c r="N258" s="103" t="s">
        <v>598</v>
      </c>
      <c r="O258" s="103" t="s">
        <v>598</v>
      </c>
      <c r="P258" s="118" t="s">
        <v>539</v>
      </c>
      <c r="Q258" s="103" t="s">
        <v>598</v>
      </c>
      <c r="R258" s="97" t="s">
        <v>341</v>
      </c>
      <c r="S258" s="97" t="s">
        <v>264</v>
      </c>
      <c r="T258" s="97" t="s">
        <v>4</v>
      </c>
      <c r="U258" s="97">
        <v>2013</v>
      </c>
      <c r="V258" s="97" t="s">
        <v>304</v>
      </c>
      <c r="W258" s="111">
        <v>28.165991396092799</v>
      </c>
      <c r="X258" s="111">
        <v>-80.594215572707796</v>
      </c>
      <c r="Y258" s="119" t="s">
        <v>598</v>
      </c>
      <c r="Z258" s="107"/>
      <c r="AA258" s="21" t="s">
        <v>1064</v>
      </c>
      <c r="AB258" s="21" t="s">
        <v>1064</v>
      </c>
      <c r="AC258" s="21" t="s">
        <v>1064</v>
      </c>
      <c r="AD258" s="102" t="s">
        <v>1075</v>
      </c>
    </row>
    <row r="259" spans="1:30" x14ac:dyDescent="0.3">
      <c r="A259" s="99">
        <v>2642</v>
      </c>
      <c r="B259" s="97" t="s">
        <v>193</v>
      </c>
      <c r="C259" s="118" t="s">
        <v>539</v>
      </c>
      <c r="D259" s="153" t="s">
        <v>416</v>
      </c>
      <c r="E259" s="97" t="s">
        <v>198</v>
      </c>
      <c r="F259" s="118" t="s">
        <v>1113</v>
      </c>
      <c r="G259" s="97" t="s">
        <v>523</v>
      </c>
      <c r="H259" s="97" t="s">
        <v>4</v>
      </c>
      <c r="I259" s="106">
        <v>2013</v>
      </c>
      <c r="J259" s="101">
        <v>25</v>
      </c>
      <c r="K259" s="101">
        <v>3.5</v>
      </c>
      <c r="L259" s="102" t="s">
        <v>376</v>
      </c>
      <c r="M259" s="101">
        <v>7.8</v>
      </c>
      <c r="N259" s="103" t="s">
        <v>598</v>
      </c>
      <c r="O259" s="103" t="s">
        <v>598</v>
      </c>
      <c r="P259" s="118" t="s">
        <v>539</v>
      </c>
      <c r="Q259" s="103" t="s">
        <v>598</v>
      </c>
      <c r="R259" s="97" t="s">
        <v>341</v>
      </c>
      <c r="S259" s="97" t="s">
        <v>264</v>
      </c>
      <c r="T259" s="97" t="s">
        <v>4</v>
      </c>
      <c r="U259" s="97">
        <v>2013</v>
      </c>
      <c r="V259" s="97" t="s">
        <v>304</v>
      </c>
      <c r="W259" s="111">
        <v>28.165614245745399</v>
      </c>
      <c r="X259" s="111">
        <v>-80.598667484295703</v>
      </c>
      <c r="Y259" s="119" t="s">
        <v>598</v>
      </c>
      <c r="Z259" s="107"/>
      <c r="AA259" s="21" t="s">
        <v>1064</v>
      </c>
      <c r="AB259" s="21" t="s">
        <v>1064</v>
      </c>
      <c r="AC259" s="21" t="s">
        <v>1064</v>
      </c>
      <c r="AD259" s="102" t="s">
        <v>1075</v>
      </c>
    </row>
    <row r="260" spans="1:30" x14ac:dyDescent="0.3">
      <c r="A260" s="132">
        <v>2644</v>
      </c>
      <c r="B260" s="21" t="s">
        <v>193</v>
      </c>
      <c r="C260" s="133" t="s">
        <v>539</v>
      </c>
      <c r="D260" s="153" t="s">
        <v>417</v>
      </c>
      <c r="E260" s="21" t="s">
        <v>623</v>
      </c>
      <c r="F260" s="118" t="s">
        <v>1114</v>
      </c>
      <c r="G260" s="21" t="s">
        <v>351</v>
      </c>
      <c r="H260" s="21" t="s">
        <v>4</v>
      </c>
      <c r="I260" s="131">
        <v>2013</v>
      </c>
      <c r="J260" s="101">
        <v>600</v>
      </c>
      <c r="K260" s="101">
        <v>160.19999999999999</v>
      </c>
      <c r="L260" s="102" t="s">
        <v>376</v>
      </c>
      <c r="M260" s="101">
        <v>216.2</v>
      </c>
      <c r="N260" s="103" t="s">
        <v>598</v>
      </c>
      <c r="O260" s="103" t="s">
        <v>598</v>
      </c>
      <c r="P260" s="118" t="s">
        <v>539</v>
      </c>
      <c r="Q260" s="103" t="s">
        <v>598</v>
      </c>
      <c r="R260" s="97" t="s">
        <v>270</v>
      </c>
      <c r="S260" s="97" t="s">
        <v>264</v>
      </c>
      <c r="T260" s="97" t="s">
        <v>4</v>
      </c>
      <c r="U260" s="97">
        <v>2013</v>
      </c>
      <c r="V260" s="97" t="s">
        <v>304</v>
      </c>
      <c r="W260" s="111">
        <v>28.165054379555698</v>
      </c>
      <c r="X260" s="111">
        <v>-80.594565843065695</v>
      </c>
      <c r="Y260" s="119" t="s">
        <v>598</v>
      </c>
      <c r="Z260" s="107"/>
      <c r="AA260" s="21" t="s">
        <v>1064</v>
      </c>
      <c r="AB260" s="21" t="s">
        <v>1064</v>
      </c>
      <c r="AC260" s="21" t="s">
        <v>1064</v>
      </c>
      <c r="AD260" s="102" t="s">
        <v>1075</v>
      </c>
    </row>
    <row r="261" spans="1:30" x14ac:dyDescent="0.3">
      <c r="A261" s="99">
        <v>2678</v>
      </c>
      <c r="B261" s="97" t="s">
        <v>193</v>
      </c>
      <c r="C261" s="118" t="s">
        <v>539</v>
      </c>
      <c r="D261" s="153" t="s">
        <v>195</v>
      </c>
      <c r="E261" s="97" t="s">
        <v>196</v>
      </c>
      <c r="F261" s="118" t="s">
        <v>1115</v>
      </c>
      <c r="G261" s="97" t="s">
        <v>349</v>
      </c>
      <c r="H261" s="97" t="s">
        <v>4</v>
      </c>
      <c r="I261" s="106">
        <v>2013</v>
      </c>
      <c r="J261" s="101">
        <v>277</v>
      </c>
      <c r="K261" s="101">
        <v>25</v>
      </c>
      <c r="L261" s="102" t="s">
        <v>376</v>
      </c>
      <c r="M261" s="101">
        <v>216.2</v>
      </c>
      <c r="N261" s="103" t="s">
        <v>598</v>
      </c>
      <c r="O261" s="103" t="s">
        <v>598</v>
      </c>
      <c r="P261" s="118" t="s">
        <v>539</v>
      </c>
      <c r="Q261" s="103" t="s">
        <v>598</v>
      </c>
      <c r="R261" s="97" t="s">
        <v>270</v>
      </c>
      <c r="S261" s="97" t="s">
        <v>264</v>
      </c>
      <c r="T261" s="97" t="s">
        <v>4</v>
      </c>
      <c r="U261" s="97">
        <v>2013</v>
      </c>
      <c r="V261" s="97" t="s">
        <v>304</v>
      </c>
      <c r="W261" s="111">
        <v>28.165054379555698</v>
      </c>
      <c r="X261" s="111">
        <v>-80.594565843065695</v>
      </c>
      <c r="Y261" s="119" t="s">
        <v>598</v>
      </c>
      <c r="Z261" s="107"/>
      <c r="AA261" s="21" t="s">
        <v>1064</v>
      </c>
      <c r="AB261" s="21" t="s">
        <v>1064</v>
      </c>
      <c r="AC261" s="21" t="s">
        <v>1064</v>
      </c>
      <c r="AD261" s="102" t="s">
        <v>1075</v>
      </c>
    </row>
    <row r="262" spans="1:30" x14ac:dyDescent="0.3">
      <c r="A262" s="99">
        <v>2677</v>
      </c>
      <c r="B262" s="97" t="s">
        <v>193</v>
      </c>
      <c r="C262" s="118" t="s">
        <v>539</v>
      </c>
      <c r="D262" s="153" t="s">
        <v>197</v>
      </c>
      <c r="E262" s="97" t="s">
        <v>198</v>
      </c>
      <c r="F262" s="118" t="s">
        <v>1116</v>
      </c>
      <c r="G262" s="97" t="s">
        <v>523</v>
      </c>
      <c r="H262" s="97" t="s">
        <v>4</v>
      </c>
      <c r="I262" s="106">
        <v>2013</v>
      </c>
      <c r="J262" s="101">
        <v>17</v>
      </c>
      <c r="K262" s="101">
        <v>2.4</v>
      </c>
      <c r="L262" s="102" t="s">
        <v>376</v>
      </c>
      <c r="M262" s="101">
        <v>3.5</v>
      </c>
      <c r="N262" s="103" t="s">
        <v>598</v>
      </c>
      <c r="O262" s="103" t="s">
        <v>598</v>
      </c>
      <c r="P262" s="118" t="s">
        <v>539</v>
      </c>
      <c r="Q262" s="103" t="s">
        <v>598</v>
      </c>
      <c r="R262" s="97" t="s">
        <v>341</v>
      </c>
      <c r="S262" s="97" t="s">
        <v>264</v>
      </c>
      <c r="T262" s="97" t="s">
        <v>4</v>
      </c>
      <c r="U262" s="97">
        <v>2013</v>
      </c>
      <c r="V262" s="97" t="s">
        <v>304</v>
      </c>
      <c r="W262" s="111">
        <v>28.164811499032499</v>
      </c>
      <c r="X262" s="111">
        <v>-80.599927117115897</v>
      </c>
      <c r="Y262" s="119" t="s">
        <v>598</v>
      </c>
      <c r="Z262" s="107"/>
      <c r="AA262" s="21" t="s">
        <v>1064</v>
      </c>
      <c r="AB262" s="21" t="s">
        <v>1064</v>
      </c>
      <c r="AC262" s="21" t="s">
        <v>1064</v>
      </c>
      <c r="AD262" s="102" t="s">
        <v>1075</v>
      </c>
    </row>
    <row r="263" spans="1:30" x14ac:dyDescent="0.3">
      <c r="A263" s="99">
        <v>2676</v>
      </c>
      <c r="B263" s="97" t="s">
        <v>193</v>
      </c>
      <c r="C263" s="118" t="s">
        <v>539</v>
      </c>
      <c r="D263" s="153" t="s">
        <v>199</v>
      </c>
      <c r="E263" s="97" t="s">
        <v>200</v>
      </c>
      <c r="F263" s="118" t="s">
        <v>1117</v>
      </c>
      <c r="G263" s="97" t="s">
        <v>669</v>
      </c>
      <c r="H263" s="97" t="s">
        <v>4</v>
      </c>
      <c r="I263" s="106">
        <v>2013</v>
      </c>
      <c r="J263" s="101">
        <v>82</v>
      </c>
      <c r="K263" s="101">
        <v>9.5</v>
      </c>
      <c r="L263" s="102" t="s">
        <v>376</v>
      </c>
      <c r="M263" s="101">
        <v>57.8</v>
      </c>
      <c r="N263" s="103" t="s">
        <v>598</v>
      </c>
      <c r="O263" s="103" t="s">
        <v>598</v>
      </c>
      <c r="P263" s="118" t="s">
        <v>539</v>
      </c>
      <c r="Q263" s="103" t="s">
        <v>598</v>
      </c>
      <c r="R263" s="97" t="s">
        <v>342</v>
      </c>
      <c r="S263" s="97" t="s">
        <v>264</v>
      </c>
      <c r="T263" s="97" t="s">
        <v>4</v>
      </c>
      <c r="U263" s="97">
        <v>2013</v>
      </c>
      <c r="V263" s="97" t="s">
        <v>304</v>
      </c>
      <c r="W263" s="111">
        <v>28.167189750702398</v>
      </c>
      <c r="X263" s="111">
        <v>-80.600533295345897</v>
      </c>
      <c r="Y263" s="119" t="s">
        <v>598</v>
      </c>
      <c r="Z263" s="107"/>
      <c r="AA263" s="21" t="s">
        <v>1064</v>
      </c>
      <c r="AB263" s="21" t="s">
        <v>1064</v>
      </c>
      <c r="AC263" s="21" t="s">
        <v>1064</v>
      </c>
      <c r="AD263" s="102" t="s">
        <v>1075</v>
      </c>
    </row>
    <row r="264" spans="1:30" x14ac:dyDescent="0.3">
      <c r="A264" s="99">
        <v>2675</v>
      </c>
      <c r="B264" s="97" t="s">
        <v>193</v>
      </c>
      <c r="C264" s="118" t="s">
        <v>539</v>
      </c>
      <c r="D264" s="153" t="s">
        <v>201</v>
      </c>
      <c r="E264" s="97" t="s">
        <v>202</v>
      </c>
      <c r="F264" s="118" t="s">
        <v>1117</v>
      </c>
      <c r="G264" s="97" t="s">
        <v>669</v>
      </c>
      <c r="H264" s="97" t="s">
        <v>4</v>
      </c>
      <c r="I264" s="106">
        <v>2013</v>
      </c>
      <c r="J264" s="101">
        <v>61</v>
      </c>
      <c r="K264" s="101">
        <v>8.1999999999999993</v>
      </c>
      <c r="L264" s="102" t="s">
        <v>376</v>
      </c>
      <c r="M264" s="101">
        <v>32.5</v>
      </c>
      <c r="N264" s="108">
        <v>1796800</v>
      </c>
      <c r="O264" s="103" t="s">
        <v>598</v>
      </c>
      <c r="P264" s="118" t="s">
        <v>539</v>
      </c>
      <c r="Q264" s="108" t="s">
        <v>923</v>
      </c>
      <c r="R264" s="97" t="s">
        <v>343</v>
      </c>
      <c r="S264" s="97" t="s">
        <v>264</v>
      </c>
      <c r="T264" s="97" t="s">
        <v>4</v>
      </c>
      <c r="U264" s="97">
        <v>2013</v>
      </c>
      <c r="V264" s="97" t="s">
        <v>304</v>
      </c>
      <c r="W264" s="111">
        <v>28.170597246678302</v>
      </c>
      <c r="X264" s="111">
        <v>-80.595116282810693</v>
      </c>
      <c r="Y264" s="119" t="s">
        <v>598</v>
      </c>
      <c r="Z264" s="107"/>
      <c r="AA264" s="21" t="s">
        <v>1064</v>
      </c>
      <c r="AB264" s="21" t="s">
        <v>1064</v>
      </c>
      <c r="AC264" s="21" t="s">
        <v>1064</v>
      </c>
      <c r="AD264" s="102" t="s">
        <v>1075</v>
      </c>
    </row>
    <row r="265" spans="1:30" x14ac:dyDescent="0.3">
      <c r="A265" s="99">
        <v>2674</v>
      </c>
      <c r="B265" s="97" t="s">
        <v>193</v>
      </c>
      <c r="C265" s="118" t="s">
        <v>539</v>
      </c>
      <c r="D265" s="153" t="s">
        <v>203</v>
      </c>
      <c r="E265" s="97" t="s">
        <v>204</v>
      </c>
      <c r="F265" s="118" t="s">
        <v>588</v>
      </c>
      <c r="G265" s="97" t="s">
        <v>669</v>
      </c>
      <c r="H265" s="97" t="s">
        <v>4</v>
      </c>
      <c r="I265" s="106">
        <v>2013</v>
      </c>
      <c r="J265" s="101">
        <v>30</v>
      </c>
      <c r="K265" s="101">
        <v>5.6</v>
      </c>
      <c r="L265" s="102" t="s">
        <v>376</v>
      </c>
      <c r="M265" s="101">
        <v>12.9</v>
      </c>
      <c r="N265" s="103" t="s">
        <v>598</v>
      </c>
      <c r="O265" s="103" t="s">
        <v>598</v>
      </c>
      <c r="P265" s="118" t="s">
        <v>539</v>
      </c>
      <c r="Q265" s="103" t="s">
        <v>598</v>
      </c>
      <c r="R265" s="97" t="s">
        <v>343</v>
      </c>
      <c r="S265" s="97" t="s">
        <v>264</v>
      </c>
      <c r="T265" s="97" t="s">
        <v>4</v>
      </c>
      <c r="U265" s="97">
        <v>2013</v>
      </c>
      <c r="V265" s="97" t="s">
        <v>304</v>
      </c>
      <c r="W265" s="111">
        <v>28.1723555792078</v>
      </c>
      <c r="X265" s="111">
        <v>-80.592977070751303</v>
      </c>
      <c r="Y265" s="119" t="s">
        <v>598</v>
      </c>
      <c r="Z265" s="107"/>
      <c r="AA265" s="21" t="s">
        <v>1064</v>
      </c>
      <c r="AB265" s="21" t="s">
        <v>1064</v>
      </c>
      <c r="AC265" s="21" t="s">
        <v>1064</v>
      </c>
      <c r="AD265" s="102" t="s">
        <v>1075</v>
      </c>
    </row>
    <row r="266" spans="1:30" x14ac:dyDescent="0.3">
      <c r="A266" s="99">
        <v>2673</v>
      </c>
      <c r="B266" s="97" t="s">
        <v>193</v>
      </c>
      <c r="C266" s="118" t="s">
        <v>539</v>
      </c>
      <c r="D266" s="153" t="s">
        <v>205</v>
      </c>
      <c r="E266" s="97" t="s">
        <v>206</v>
      </c>
      <c r="F266" s="127" t="s">
        <v>625</v>
      </c>
      <c r="G266" s="97" t="s">
        <v>703</v>
      </c>
      <c r="H266" s="97" t="s">
        <v>4</v>
      </c>
      <c r="I266" s="106">
        <v>2013</v>
      </c>
      <c r="J266" s="101">
        <v>18</v>
      </c>
      <c r="K266" s="101">
        <v>3.5</v>
      </c>
      <c r="L266" s="102" t="s">
        <v>376</v>
      </c>
      <c r="M266" s="101">
        <v>12.8</v>
      </c>
      <c r="N266" s="103" t="s">
        <v>598</v>
      </c>
      <c r="O266" s="103" t="s">
        <v>598</v>
      </c>
      <c r="P266" s="118" t="s">
        <v>539</v>
      </c>
      <c r="Q266" s="103" t="s">
        <v>598</v>
      </c>
      <c r="R266" s="97" t="s">
        <v>343</v>
      </c>
      <c r="S266" s="97" t="s">
        <v>264</v>
      </c>
      <c r="T266" s="97" t="s">
        <v>4</v>
      </c>
      <c r="U266" s="97">
        <v>2013</v>
      </c>
      <c r="V266" s="97" t="s">
        <v>304</v>
      </c>
      <c r="W266" s="111">
        <v>28.171386597773399</v>
      </c>
      <c r="X266" s="111">
        <v>-80.594410005199194</v>
      </c>
      <c r="Y266" s="119" t="s">
        <v>598</v>
      </c>
      <c r="Z266" s="107"/>
      <c r="AA266" s="21" t="s">
        <v>1064</v>
      </c>
      <c r="AB266" s="21" t="s">
        <v>1064</v>
      </c>
      <c r="AC266" s="21" t="s">
        <v>1064</v>
      </c>
      <c r="AD266" s="102" t="s">
        <v>1075</v>
      </c>
    </row>
    <row r="267" spans="1:30" x14ac:dyDescent="0.3">
      <c r="A267" s="99">
        <v>2672</v>
      </c>
      <c r="B267" s="97" t="s">
        <v>193</v>
      </c>
      <c r="C267" s="118" t="s">
        <v>539</v>
      </c>
      <c r="D267" s="153" t="s">
        <v>207</v>
      </c>
      <c r="E267" s="97" t="s">
        <v>208</v>
      </c>
      <c r="F267" s="127" t="s">
        <v>625</v>
      </c>
      <c r="G267" s="97" t="s">
        <v>703</v>
      </c>
      <c r="H267" s="97" t="s">
        <v>4</v>
      </c>
      <c r="I267" s="106">
        <v>2013</v>
      </c>
      <c r="J267" s="101">
        <v>13</v>
      </c>
      <c r="K267" s="101">
        <v>1.8</v>
      </c>
      <c r="L267" s="102" t="s">
        <v>376</v>
      </c>
      <c r="M267" s="101">
        <v>19.7</v>
      </c>
      <c r="N267" s="103" t="s">
        <v>598</v>
      </c>
      <c r="O267" s="103" t="s">
        <v>598</v>
      </c>
      <c r="P267" s="118" t="s">
        <v>539</v>
      </c>
      <c r="Q267" s="103" t="s">
        <v>598</v>
      </c>
      <c r="R267" s="97" t="s">
        <v>343</v>
      </c>
      <c r="S267" s="97" t="s">
        <v>264</v>
      </c>
      <c r="T267" s="97" t="s">
        <v>4</v>
      </c>
      <c r="U267" s="97">
        <v>2013</v>
      </c>
      <c r="V267" s="97" t="s">
        <v>304</v>
      </c>
      <c r="W267" s="111">
        <v>28.170087560527701</v>
      </c>
      <c r="X267" s="111">
        <v>-80.595572321447193</v>
      </c>
      <c r="Y267" s="119" t="s">
        <v>598</v>
      </c>
      <c r="Z267" s="107"/>
      <c r="AA267" s="21" t="s">
        <v>1064</v>
      </c>
      <c r="AB267" s="21" t="s">
        <v>1064</v>
      </c>
      <c r="AC267" s="21" t="s">
        <v>1064</v>
      </c>
      <c r="AD267" s="102" t="s">
        <v>1075</v>
      </c>
    </row>
    <row r="268" spans="1:30" x14ac:dyDescent="0.3">
      <c r="A268" s="99">
        <v>2671</v>
      </c>
      <c r="B268" s="97" t="s">
        <v>193</v>
      </c>
      <c r="C268" s="118" t="s">
        <v>539</v>
      </c>
      <c r="D268" s="153" t="s">
        <v>209</v>
      </c>
      <c r="E268" s="97" t="s">
        <v>210</v>
      </c>
      <c r="F268" s="127" t="s">
        <v>625</v>
      </c>
      <c r="G268" s="97" t="s">
        <v>703</v>
      </c>
      <c r="H268" s="97" t="s">
        <v>4</v>
      </c>
      <c r="I268" s="106">
        <v>2013</v>
      </c>
      <c r="J268" s="101">
        <v>12</v>
      </c>
      <c r="K268" s="101">
        <v>2.6</v>
      </c>
      <c r="L268" s="102" t="s">
        <v>376</v>
      </c>
      <c r="M268" s="101">
        <v>14.1</v>
      </c>
      <c r="N268" s="103" t="s">
        <v>598</v>
      </c>
      <c r="O268" s="103" t="s">
        <v>598</v>
      </c>
      <c r="P268" s="118" t="s">
        <v>539</v>
      </c>
      <c r="Q268" s="103" t="s">
        <v>598</v>
      </c>
      <c r="R268" s="97" t="s">
        <v>343</v>
      </c>
      <c r="S268" s="97" t="s">
        <v>264</v>
      </c>
      <c r="T268" s="97" t="s">
        <v>4</v>
      </c>
      <c r="U268" s="97">
        <v>2013</v>
      </c>
      <c r="V268" s="97" t="s">
        <v>304</v>
      </c>
      <c r="W268" s="111">
        <v>28.170988223910602</v>
      </c>
      <c r="X268" s="111">
        <v>-80.591067138126903</v>
      </c>
      <c r="Y268" s="119" t="s">
        <v>598</v>
      </c>
      <c r="Z268" s="107"/>
      <c r="AA268" s="21" t="s">
        <v>1064</v>
      </c>
      <c r="AB268" s="21" t="s">
        <v>1064</v>
      </c>
      <c r="AC268" s="21" t="s">
        <v>1064</v>
      </c>
      <c r="AD268" s="102" t="s">
        <v>1075</v>
      </c>
    </row>
    <row r="269" spans="1:30" x14ac:dyDescent="0.3">
      <c r="A269" s="99">
        <v>2670</v>
      </c>
      <c r="B269" s="97" t="s">
        <v>193</v>
      </c>
      <c r="C269" s="119" t="s">
        <v>598</v>
      </c>
      <c r="D269" s="153" t="s">
        <v>211</v>
      </c>
      <c r="E269" s="97" t="s">
        <v>212</v>
      </c>
      <c r="F269" s="119" t="s">
        <v>588</v>
      </c>
      <c r="G269" s="97" t="s">
        <v>703</v>
      </c>
      <c r="H269" s="97" t="s">
        <v>4</v>
      </c>
      <c r="I269" s="106">
        <v>2013</v>
      </c>
      <c r="J269" s="101">
        <v>318</v>
      </c>
      <c r="K269" s="101">
        <v>80.5</v>
      </c>
      <c r="L269" s="102" t="s">
        <v>376</v>
      </c>
      <c r="M269" s="101">
        <v>97.9</v>
      </c>
      <c r="N269" s="103" t="s">
        <v>598</v>
      </c>
      <c r="O269" s="103" t="s">
        <v>598</v>
      </c>
      <c r="P269" s="103" t="s">
        <v>598</v>
      </c>
      <c r="Q269" s="103" t="s">
        <v>598</v>
      </c>
      <c r="R269" s="97" t="s">
        <v>520</v>
      </c>
      <c r="S269" s="97" t="s">
        <v>264</v>
      </c>
      <c r="T269" s="97" t="s">
        <v>4</v>
      </c>
      <c r="U269" s="97">
        <v>2013</v>
      </c>
      <c r="V269" s="97" t="s">
        <v>304</v>
      </c>
      <c r="W269" s="111">
        <v>28.185679133565699</v>
      </c>
      <c r="X269" s="111">
        <v>-80.599899061562994</v>
      </c>
      <c r="Y269" s="119" t="s">
        <v>598</v>
      </c>
      <c r="Z269" s="107"/>
      <c r="AA269" s="21" t="s">
        <v>1064</v>
      </c>
      <c r="AB269" s="21" t="s">
        <v>1064</v>
      </c>
      <c r="AC269" s="21" t="s">
        <v>1064</v>
      </c>
      <c r="AD269" s="102" t="s">
        <v>1075</v>
      </c>
    </row>
    <row r="270" spans="1:30" x14ac:dyDescent="0.3">
      <c r="A270" s="99">
        <v>2669</v>
      </c>
      <c r="B270" s="97" t="s">
        <v>193</v>
      </c>
      <c r="C270" s="119" t="s">
        <v>598</v>
      </c>
      <c r="D270" s="153" t="s">
        <v>213</v>
      </c>
      <c r="E270" s="97" t="s">
        <v>350</v>
      </c>
      <c r="F270" s="118" t="s">
        <v>1118</v>
      </c>
      <c r="G270" s="97" t="s">
        <v>350</v>
      </c>
      <c r="H270" s="97" t="s">
        <v>4</v>
      </c>
      <c r="I270" s="100" t="s">
        <v>520</v>
      </c>
      <c r="J270" s="101">
        <v>47</v>
      </c>
      <c r="K270" s="101">
        <v>30</v>
      </c>
      <c r="L270" s="102" t="s">
        <v>376</v>
      </c>
      <c r="M270" s="101" t="s">
        <v>520</v>
      </c>
      <c r="N270" s="103" t="s">
        <v>598</v>
      </c>
      <c r="O270" s="103" t="s">
        <v>598</v>
      </c>
      <c r="P270" s="103" t="s">
        <v>598</v>
      </c>
      <c r="Q270" s="103" t="s">
        <v>598</v>
      </c>
      <c r="R270" s="97" t="s">
        <v>520</v>
      </c>
      <c r="S270" s="97" t="s">
        <v>265</v>
      </c>
      <c r="T270" s="97" t="s">
        <v>2</v>
      </c>
      <c r="U270" s="97">
        <v>2013</v>
      </c>
      <c r="V270" s="97" t="s">
        <v>304</v>
      </c>
      <c r="W270" s="136" t="s">
        <v>598</v>
      </c>
      <c r="X270" s="136" t="s">
        <v>598</v>
      </c>
      <c r="Y270" s="119" t="s">
        <v>598</v>
      </c>
      <c r="Z270" s="107"/>
      <c r="AA270" s="97" t="s">
        <v>1065</v>
      </c>
      <c r="AB270" s="21" t="s">
        <v>1065</v>
      </c>
      <c r="AC270" s="21" t="s">
        <v>1074</v>
      </c>
      <c r="AD270" s="102" t="s">
        <v>1071</v>
      </c>
    </row>
    <row r="271" spans="1:30" x14ac:dyDescent="0.3">
      <c r="A271" s="99">
        <v>2656</v>
      </c>
      <c r="B271" s="97" t="s">
        <v>193</v>
      </c>
      <c r="C271" s="119" t="s">
        <v>598</v>
      </c>
      <c r="D271" s="153" t="s">
        <v>214</v>
      </c>
      <c r="E271" s="97" t="s">
        <v>1</v>
      </c>
      <c r="F271" s="97" t="s">
        <v>478</v>
      </c>
      <c r="G271" s="97" t="s">
        <v>1</v>
      </c>
      <c r="H271" s="97" t="s">
        <v>2</v>
      </c>
      <c r="I271" s="100" t="s">
        <v>520</v>
      </c>
      <c r="J271" s="101">
        <v>1002</v>
      </c>
      <c r="K271" s="101">
        <v>197</v>
      </c>
      <c r="L271" s="102" t="s">
        <v>376</v>
      </c>
      <c r="M271" s="101" t="s">
        <v>520</v>
      </c>
      <c r="N271" s="103" t="s">
        <v>598</v>
      </c>
      <c r="O271" s="103" t="s">
        <v>598</v>
      </c>
      <c r="P271" s="103" t="s">
        <v>598</v>
      </c>
      <c r="Q271" s="103" t="s">
        <v>598</v>
      </c>
      <c r="R271" s="97" t="s">
        <v>520</v>
      </c>
      <c r="S271" s="97" t="s">
        <v>265</v>
      </c>
      <c r="T271" s="97" t="s">
        <v>2</v>
      </c>
      <c r="U271" s="97">
        <v>2013</v>
      </c>
      <c r="V271" s="97" t="s">
        <v>304</v>
      </c>
      <c r="W271" s="136" t="s">
        <v>520</v>
      </c>
      <c r="X271" s="136" t="s">
        <v>520</v>
      </c>
      <c r="Y271" s="119" t="s">
        <v>598</v>
      </c>
      <c r="Z271" s="107"/>
      <c r="AA271" s="97" t="s">
        <v>1065</v>
      </c>
      <c r="AB271" s="21" t="s">
        <v>1065</v>
      </c>
      <c r="AC271" s="21" t="s">
        <v>1073</v>
      </c>
      <c r="AD271" s="102" t="s">
        <v>1072</v>
      </c>
    </row>
    <row r="272" spans="1:30" x14ac:dyDescent="0.3">
      <c r="A272" s="99">
        <v>2614</v>
      </c>
      <c r="B272" s="97" t="s">
        <v>193</v>
      </c>
      <c r="C272" s="118" t="s">
        <v>539</v>
      </c>
      <c r="D272" s="153" t="s">
        <v>215</v>
      </c>
      <c r="E272" s="97" t="s">
        <v>216</v>
      </c>
      <c r="F272" s="97" t="s">
        <v>503</v>
      </c>
      <c r="G272" s="97" t="s">
        <v>703</v>
      </c>
      <c r="H272" s="97" t="s">
        <v>4</v>
      </c>
      <c r="I272" s="106">
        <v>2013</v>
      </c>
      <c r="J272" s="101">
        <v>3</v>
      </c>
      <c r="K272" s="101">
        <v>0.6</v>
      </c>
      <c r="L272" s="102" t="s">
        <v>376</v>
      </c>
      <c r="M272" s="101">
        <v>0.24</v>
      </c>
      <c r="N272" s="103" t="s">
        <v>598</v>
      </c>
      <c r="O272" s="103" t="s">
        <v>598</v>
      </c>
      <c r="P272" s="97" t="s">
        <v>599</v>
      </c>
      <c r="Q272" s="103" t="s">
        <v>598</v>
      </c>
      <c r="R272" s="97" t="s">
        <v>343</v>
      </c>
      <c r="S272" s="97" t="s">
        <v>264</v>
      </c>
      <c r="T272" s="97" t="s">
        <v>4</v>
      </c>
      <c r="U272" s="97">
        <v>2013</v>
      </c>
      <c r="V272" s="97" t="s">
        <v>304</v>
      </c>
      <c r="W272" s="111">
        <v>28.1723111179091</v>
      </c>
      <c r="X272" s="111">
        <v>-80.605362371249399</v>
      </c>
      <c r="Y272" s="121" t="s">
        <v>557</v>
      </c>
      <c r="Z272" s="107"/>
      <c r="AA272" s="21" t="s">
        <v>1064</v>
      </c>
      <c r="AB272" s="21" t="s">
        <v>1064</v>
      </c>
      <c r="AC272" s="21" t="s">
        <v>1064</v>
      </c>
      <c r="AD272" s="102" t="s">
        <v>1075</v>
      </c>
    </row>
    <row r="273" spans="1:30" x14ac:dyDescent="0.3">
      <c r="A273" s="99">
        <v>2613</v>
      </c>
      <c r="B273" s="97" t="s">
        <v>193</v>
      </c>
      <c r="C273" s="118" t="s">
        <v>539</v>
      </c>
      <c r="D273" s="153" t="s">
        <v>217</v>
      </c>
      <c r="E273" s="97" t="s">
        <v>218</v>
      </c>
      <c r="F273" s="97" t="s">
        <v>503</v>
      </c>
      <c r="G273" s="97" t="s">
        <v>703</v>
      </c>
      <c r="H273" s="97" t="s">
        <v>4</v>
      </c>
      <c r="I273" s="106">
        <v>2013</v>
      </c>
      <c r="J273" s="101">
        <v>2</v>
      </c>
      <c r="K273" s="101">
        <v>0.5</v>
      </c>
      <c r="L273" s="102" t="s">
        <v>376</v>
      </c>
      <c r="M273" s="101">
        <v>0.15</v>
      </c>
      <c r="N273" s="103" t="s">
        <v>598</v>
      </c>
      <c r="O273" s="103" t="s">
        <v>598</v>
      </c>
      <c r="P273" s="97" t="s">
        <v>599</v>
      </c>
      <c r="Q273" s="103" t="s">
        <v>598</v>
      </c>
      <c r="R273" s="97" t="s">
        <v>343</v>
      </c>
      <c r="S273" s="97" t="s">
        <v>264</v>
      </c>
      <c r="T273" s="97" t="s">
        <v>4</v>
      </c>
      <c r="U273" s="97">
        <v>2013</v>
      </c>
      <c r="V273" s="97" t="s">
        <v>304</v>
      </c>
      <c r="W273" s="111">
        <v>28.172320612326999</v>
      </c>
      <c r="X273" s="111">
        <v>-80.604498942841701</v>
      </c>
      <c r="Y273" s="121" t="s">
        <v>557</v>
      </c>
      <c r="Z273" s="107"/>
      <c r="AA273" s="21" t="s">
        <v>1064</v>
      </c>
      <c r="AB273" s="21" t="s">
        <v>1064</v>
      </c>
      <c r="AC273" s="21" t="s">
        <v>1064</v>
      </c>
      <c r="AD273" s="102" t="s">
        <v>1075</v>
      </c>
    </row>
    <row r="274" spans="1:30" x14ac:dyDescent="0.3">
      <c r="A274" s="99">
        <v>2612</v>
      </c>
      <c r="B274" s="97" t="s">
        <v>193</v>
      </c>
      <c r="C274" s="118" t="s">
        <v>539</v>
      </c>
      <c r="D274" s="153" t="s">
        <v>219</v>
      </c>
      <c r="E274" s="97" t="s">
        <v>220</v>
      </c>
      <c r="F274" s="97" t="s">
        <v>503</v>
      </c>
      <c r="G274" s="97" t="s">
        <v>703</v>
      </c>
      <c r="H274" s="97" t="s">
        <v>4</v>
      </c>
      <c r="I274" s="106">
        <v>2013</v>
      </c>
      <c r="J274" s="101">
        <v>2</v>
      </c>
      <c r="K274" s="101">
        <v>0.5</v>
      </c>
      <c r="L274" s="102" t="s">
        <v>376</v>
      </c>
      <c r="M274" s="101">
        <v>0.16</v>
      </c>
      <c r="N274" s="103" t="s">
        <v>598</v>
      </c>
      <c r="O274" s="103" t="s">
        <v>598</v>
      </c>
      <c r="P274" s="97" t="s">
        <v>599</v>
      </c>
      <c r="Q274" s="103" t="s">
        <v>598</v>
      </c>
      <c r="R274" s="97" t="s">
        <v>343</v>
      </c>
      <c r="S274" s="97" t="s">
        <v>264</v>
      </c>
      <c r="T274" s="97" t="s">
        <v>4</v>
      </c>
      <c r="U274" s="97">
        <v>2013</v>
      </c>
      <c r="V274" s="97" t="s">
        <v>304</v>
      </c>
      <c r="W274" s="111">
        <v>28.172326743747401</v>
      </c>
      <c r="X274" s="111">
        <v>-80.603748513572697</v>
      </c>
      <c r="Y274" s="121" t="s">
        <v>557</v>
      </c>
      <c r="Z274" s="107"/>
      <c r="AA274" s="21" t="s">
        <v>1064</v>
      </c>
      <c r="AB274" s="21" t="s">
        <v>1064</v>
      </c>
      <c r="AC274" s="21" t="s">
        <v>1064</v>
      </c>
      <c r="AD274" s="102" t="s">
        <v>1075</v>
      </c>
    </row>
    <row r="275" spans="1:30" x14ac:dyDescent="0.3">
      <c r="A275" s="99">
        <v>2611</v>
      </c>
      <c r="B275" s="97" t="s">
        <v>193</v>
      </c>
      <c r="C275" s="118" t="s">
        <v>539</v>
      </c>
      <c r="D275" s="153" t="s">
        <v>221</v>
      </c>
      <c r="E275" s="97" t="s">
        <v>222</v>
      </c>
      <c r="F275" s="97" t="s">
        <v>503</v>
      </c>
      <c r="G275" s="97" t="s">
        <v>703</v>
      </c>
      <c r="H275" s="97" t="s">
        <v>4</v>
      </c>
      <c r="I275" s="106">
        <v>2013</v>
      </c>
      <c r="J275" s="101">
        <v>3</v>
      </c>
      <c r="K275" s="101">
        <v>0.8</v>
      </c>
      <c r="L275" s="102" t="s">
        <v>376</v>
      </c>
      <c r="M275" s="101">
        <v>0.2</v>
      </c>
      <c r="N275" s="103" t="s">
        <v>598</v>
      </c>
      <c r="O275" s="103" t="s">
        <v>598</v>
      </c>
      <c r="P275" s="97" t="s">
        <v>599</v>
      </c>
      <c r="Q275" s="103" t="s">
        <v>598</v>
      </c>
      <c r="R275" s="97" t="s">
        <v>343</v>
      </c>
      <c r="S275" s="97" t="s">
        <v>264</v>
      </c>
      <c r="T275" s="97" t="s">
        <v>4</v>
      </c>
      <c r="U275" s="97">
        <v>2013</v>
      </c>
      <c r="V275" s="97" t="s">
        <v>304</v>
      </c>
      <c r="W275" s="111">
        <v>28.1723319057974</v>
      </c>
      <c r="X275" s="111">
        <v>-80.602826979053006</v>
      </c>
      <c r="Y275" s="121" t="s">
        <v>557</v>
      </c>
      <c r="Z275" s="107"/>
      <c r="AA275" s="21" t="s">
        <v>1064</v>
      </c>
      <c r="AB275" s="21" t="s">
        <v>1064</v>
      </c>
      <c r="AC275" s="21" t="s">
        <v>1064</v>
      </c>
      <c r="AD275" s="102" t="s">
        <v>1075</v>
      </c>
    </row>
    <row r="276" spans="1:30" x14ac:dyDescent="0.3">
      <c r="A276" s="99">
        <v>2439</v>
      </c>
      <c r="B276" s="97" t="s">
        <v>193</v>
      </c>
      <c r="C276" s="118" t="s">
        <v>539</v>
      </c>
      <c r="D276" s="153" t="s">
        <v>223</v>
      </c>
      <c r="E276" s="97" t="s">
        <v>224</v>
      </c>
      <c r="F276" s="97" t="s">
        <v>503</v>
      </c>
      <c r="G276" s="97" t="s">
        <v>703</v>
      </c>
      <c r="H276" s="97" t="s">
        <v>4</v>
      </c>
      <c r="I276" s="106">
        <v>2013</v>
      </c>
      <c r="J276" s="101">
        <v>3</v>
      </c>
      <c r="K276" s="101">
        <v>0.7</v>
      </c>
      <c r="L276" s="102" t="s">
        <v>376</v>
      </c>
      <c r="M276" s="101">
        <v>0.2</v>
      </c>
      <c r="N276" s="103" t="s">
        <v>598</v>
      </c>
      <c r="O276" s="103" t="s">
        <v>598</v>
      </c>
      <c r="P276" s="97" t="s">
        <v>599</v>
      </c>
      <c r="Q276" s="103" t="s">
        <v>598</v>
      </c>
      <c r="R276" s="97" t="s">
        <v>343</v>
      </c>
      <c r="S276" s="97" t="s">
        <v>264</v>
      </c>
      <c r="T276" s="97" t="s">
        <v>4</v>
      </c>
      <c r="U276" s="97">
        <v>2013</v>
      </c>
      <c r="V276" s="97" t="s">
        <v>304</v>
      </c>
      <c r="W276" s="111">
        <v>28.1723371868434</v>
      </c>
      <c r="X276" s="111">
        <v>-80.602065028378107</v>
      </c>
      <c r="Y276" s="121" t="s">
        <v>557</v>
      </c>
      <c r="Z276" s="107"/>
      <c r="AA276" s="21" t="s">
        <v>1064</v>
      </c>
      <c r="AB276" s="21" t="s">
        <v>1064</v>
      </c>
      <c r="AC276" s="21" t="s">
        <v>1064</v>
      </c>
      <c r="AD276" s="102" t="s">
        <v>1075</v>
      </c>
    </row>
    <row r="277" spans="1:30" x14ac:dyDescent="0.3">
      <c r="A277" s="99">
        <v>2440</v>
      </c>
      <c r="B277" s="97" t="s">
        <v>193</v>
      </c>
      <c r="C277" s="118" t="s">
        <v>539</v>
      </c>
      <c r="D277" s="153" t="s">
        <v>225</v>
      </c>
      <c r="E277" s="97" t="s">
        <v>226</v>
      </c>
      <c r="F277" s="97" t="s">
        <v>503</v>
      </c>
      <c r="G277" s="97" t="s">
        <v>703</v>
      </c>
      <c r="H277" s="97" t="s">
        <v>4</v>
      </c>
      <c r="I277" s="106">
        <v>2013</v>
      </c>
      <c r="J277" s="101">
        <v>11</v>
      </c>
      <c r="K277" s="101">
        <v>3</v>
      </c>
      <c r="L277" s="102" t="s">
        <v>376</v>
      </c>
      <c r="M277" s="101">
        <v>2</v>
      </c>
      <c r="N277" s="103" t="s">
        <v>598</v>
      </c>
      <c r="O277" s="103" t="s">
        <v>598</v>
      </c>
      <c r="P277" s="97" t="s">
        <v>599</v>
      </c>
      <c r="Q277" s="103" t="s">
        <v>598</v>
      </c>
      <c r="R277" s="97" t="s">
        <v>343</v>
      </c>
      <c r="S277" s="97" t="s">
        <v>264</v>
      </c>
      <c r="T277" s="97" t="s">
        <v>4</v>
      </c>
      <c r="U277" s="97">
        <v>2013</v>
      </c>
      <c r="V277" s="97" t="s">
        <v>304</v>
      </c>
      <c r="W277" s="111">
        <v>28.171897627669299</v>
      </c>
      <c r="X277" s="111">
        <v>-80.6028152876397</v>
      </c>
      <c r="Y277" s="121" t="s">
        <v>557</v>
      </c>
      <c r="Z277" s="107"/>
      <c r="AA277" s="21" t="s">
        <v>1064</v>
      </c>
      <c r="AB277" s="21" t="s">
        <v>1064</v>
      </c>
      <c r="AC277" s="21" t="s">
        <v>1064</v>
      </c>
      <c r="AD277" s="102" t="s">
        <v>1075</v>
      </c>
    </row>
    <row r="278" spans="1:30" x14ac:dyDescent="0.3">
      <c r="A278" s="99">
        <v>2441</v>
      </c>
      <c r="B278" s="97" t="s">
        <v>193</v>
      </c>
      <c r="C278" s="118" t="s">
        <v>539</v>
      </c>
      <c r="D278" s="153" t="s">
        <v>227</v>
      </c>
      <c r="E278" s="97" t="s">
        <v>228</v>
      </c>
      <c r="F278" s="97" t="s">
        <v>503</v>
      </c>
      <c r="G278" s="97" t="s">
        <v>703</v>
      </c>
      <c r="H278" s="97" t="s">
        <v>4</v>
      </c>
      <c r="I278" s="106">
        <v>2013</v>
      </c>
      <c r="J278" s="101">
        <v>8</v>
      </c>
      <c r="K278" s="101">
        <v>2.2999999999999998</v>
      </c>
      <c r="L278" s="102" t="s">
        <v>376</v>
      </c>
      <c r="M278" s="101">
        <v>1.3</v>
      </c>
      <c r="N278" s="103" t="s">
        <v>598</v>
      </c>
      <c r="O278" s="103" t="s">
        <v>598</v>
      </c>
      <c r="P278" s="97" t="s">
        <v>599</v>
      </c>
      <c r="Q278" s="103" t="s">
        <v>598</v>
      </c>
      <c r="R278" s="97" t="s">
        <v>343</v>
      </c>
      <c r="S278" s="97" t="s">
        <v>264</v>
      </c>
      <c r="T278" s="97" t="s">
        <v>4</v>
      </c>
      <c r="U278" s="97">
        <v>2013</v>
      </c>
      <c r="V278" s="97" t="s">
        <v>304</v>
      </c>
      <c r="W278" s="111">
        <v>28.171901738580299</v>
      </c>
      <c r="X278" s="111">
        <v>-80.602021231062295</v>
      </c>
      <c r="Y278" s="121" t="s">
        <v>557</v>
      </c>
      <c r="Z278" s="107"/>
      <c r="AA278" s="21" t="s">
        <v>1064</v>
      </c>
      <c r="AB278" s="21" t="s">
        <v>1064</v>
      </c>
      <c r="AC278" s="21" t="s">
        <v>1064</v>
      </c>
      <c r="AD278" s="102" t="s">
        <v>1075</v>
      </c>
    </row>
    <row r="279" spans="1:30" x14ac:dyDescent="0.3">
      <c r="A279" s="99">
        <v>2442</v>
      </c>
      <c r="B279" s="97" t="s">
        <v>193</v>
      </c>
      <c r="C279" s="118" t="s">
        <v>539</v>
      </c>
      <c r="D279" s="153" t="s">
        <v>229</v>
      </c>
      <c r="E279" s="97" t="s">
        <v>887</v>
      </c>
      <c r="F279" s="97" t="s">
        <v>503</v>
      </c>
      <c r="G279" s="97" t="s">
        <v>703</v>
      </c>
      <c r="H279" s="97" t="s">
        <v>4</v>
      </c>
      <c r="I279" s="106">
        <v>2013</v>
      </c>
      <c r="J279" s="101">
        <v>2</v>
      </c>
      <c r="K279" s="101">
        <v>0.5</v>
      </c>
      <c r="L279" s="102" t="s">
        <v>376</v>
      </c>
      <c r="M279" s="101">
        <v>0.2</v>
      </c>
      <c r="N279" s="103" t="s">
        <v>598</v>
      </c>
      <c r="O279" s="103" t="s">
        <v>598</v>
      </c>
      <c r="P279" s="97" t="s">
        <v>599</v>
      </c>
      <c r="Q279" s="103" t="s">
        <v>598</v>
      </c>
      <c r="R279" s="97" t="s">
        <v>343</v>
      </c>
      <c r="S279" s="97" t="s">
        <v>264</v>
      </c>
      <c r="T279" s="97" t="s">
        <v>4</v>
      </c>
      <c r="U279" s="97">
        <v>2013</v>
      </c>
      <c r="V279" s="97" t="s">
        <v>304</v>
      </c>
      <c r="W279" s="111">
        <v>28.172356113103501</v>
      </c>
      <c r="X279" s="111">
        <v>-80.6012170891062</v>
      </c>
      <c r="Y279" s="121" t="s">
        <v>557</v>
      </c>
      <c r="Z279" s="107"/>
      <c r="AA279" s="21" t="s">
        <v>1064</v>
      </c>
      <c r="AB279" s="21" t="s">
        <v>1064</v>
      </c>
      <c r="AC279" s="21" t="s">
        <v>1064</v>
      </c>
      <c r="AD279" s="102" t="s">
        <v>1075</v>
      </c>
    </row>
    <row r="280" spans="1:30" x14ac:dyDescent="0.3">
      <c r="A280" s="99">
        <v>2443</v>
      </c>
      <c r="B280" s="97" t="s">
        <v>193</v>
      </c>
      <c r="C280" s="118" t="s">
        <v>539</v>
      </c>
      <c r="D280" s="153" t="s">
        <v>230</v>
      </c>
      <c r="E280" s="97" t="s">
        <v>231</v>
      </c>
      <c r="F280" s="97" t="s">
        <v>503</v>
      </c>
      <c r="G280" s="97" t="s">
        <v>703</v>
      </c>
      <c r="H280" s="97" t="s">
        <v>4</v>
      </c>
      <c r="I280" s="106">
        <v>2013</v>
      </c>
      <c r="J280" s="101">
        <v>24</v>
      </c>
      <c r="K280" s="101">
        <v>5.4</v>
      </c>
      <c r="L280" s="102" t="s">
        <v>376</v>
      </c>
      <c r="M280" s="101">
        <v>5.9</v>
      </c>
      <c r="N280" s="103" t="s">
        <v>598</v>
      </c>
      <c r="O280" s="103" t="s">
        <v>598</v>
      </c>
      <c r="P280" s="97" t="s">
        <v>599</v>
      </c>
      <c r="Q280" s="103" t="s">
        <v>598</v>
      </c>
      <c r="R280" s="97" t="s">
        <v>343</v>
      </c>
      <c r="S280" s="97" t="s">
        <v>264</v>
      </c>
      <c r="T280" s="97" t="s">
        <v>4</v>
      </c>
      <c r="U280" s="97">
        <v>2013</v>
      </c>
      <c r="V280" s="97" t="s">
        <v>304</v>
      </c>
      <c r="W280" s="111">
        <v>28.171177128067701</v>
      </c>
      <c r="X280" s="111">
        <v>-80.601233359150498</v>
      </c>
      <c r="Y280" s="121" t="s">
        <v>557</v>
      </c>
      <c r="Z280" s="107"/>
      <c r="AA280" s="21" t="s">
        <v>1064</v>
      </c>
      <c r="AB280" s="21" t="s">
        <v>1064</v>
      </c>
      <c r="AC280" s="21" t="s">
        <v>1064</v>
      </c>
      <c r="AD280" s="102" t="s">
        <v>1075</v>
      </c>
    </row>
    <row r="281" spans="1:30" x14ac:dyDescent="0.3">
      <c r="A281" s="99">
        <v>2459</v>
      </c>
      <c r="B281" s="97" t="s">
        <v>193</v>
      </c>
      <c r="C281" s="118" t="s">
        <v>539</v>
      </c>
      <c r="D281" s="153" t="s">
        <v>232</v>
      </c>
      <c r="E281" s="97" t="s">
        <v>233</v>
      </c>
      <c r="F281" s="97" t="s">
        <v>503</v>
      </c>
      <c r="G281" s="97" t="s">
        <v>703</v>
      </c>
      <c r="H281" s="97" t="s">
        <v>4</v>
      </c>
      <c r="I281" s="106">
        <v>2013</v>
      </c>
      <c r="J281" s="101">
        <v>3</v>
      </c>
      <c r="K281" s="101">
        <v>0.4</v>
      </c>
      <c r="L281" s="102" t="s">
        <v>376</v>
      </c>
      <c r="M281" s="101">
        <v>0.4</v>
      </c>
      <c r="N281" s="103" t="s">
        <v>598</v>
      </c>
      <c r="O281" s="103" t="s">
        <v>598</v>
      </c>
      <c r="P281" s="97" t="s">
        <v>599</v>
      </c>
      <c r="Q281" s="103" t="s">
        <v>598</v>
      </c>
      <c r="R281" s="97" t="s">
        <v>343</v>
      </c>
      <c r="S281" s="97" t="s">
        <v>264</v>
      </c>
      <c r="T281" s="97" t="s">
        <v>4</v>
      </c>
      <c r="U281" s="97">
        <v>2013</v>
      </c>
      <c r="V281" s="97" t="s">
        <v>304</v>
      </c>
      <c r="W281" s="111">
        <v>28.172368890994399</v>
      </c>
      <c r="X281" s="111">
        <v>-80.599728087506094</v>
      </c>
      <c r="Y281" s="121" t="s">
        <v>557</v>
      </c>
      <c r="Z281" s="107"/>
      <c r="AA281" s="21" t="s">
        <v>1064</v>
      </c>
      <c r="AB281" s="21" t="s">
        <v>1064</v>
      </c>
      <c r="AC281" s="21" t="s">
        <v>1064</v>
      </c>
      <c r="AD281" s="102" t="s">
        <v>1075</v>
      </c>
    </row>
    <row r="282" spans="1:30" x14ac:dyDescent="0.3">
      <c r="A282" s="99">
        <v>2445</v>
      </c>
      <c r="B282" s="97" t="s">
        <v>193</v>
      </c>
      <c r="C282" s="118" t="s">
        <v>539</v>
      </c>
      <c r="D282" s="153" t="s">
        <v>234</v>
      </c>
      <c r="E282" s="97" t="s">
        <v>235</v>
      </c>
      <c r="F282" s="97" t="s">
        <v>503</v>
      </c>
      <c r="G282" s="97" t="s">
        <v>703</v>
      </c>
      <c r="H282" s="97" t="s">
        <v>4</v>
      </c>
      <c r="I282" s="106">
        <v>2013</v>
      </c>
      <c r="J282" s="101">
        <v>25</v>
      </c>
      <c r="K282" s="101">
        <v>3.5</v>
      </c>
      <c r="L282" s="102" t="s">
        <v>376</v>
      </c>
      <c r="M282" s="101">
        <v>4.0999999999999996</v>
      </c>
      <c r="N282" s="103" t="s">
        <v>598</v>
      </c>
      <c r="O282" s="103" t="s">
        <v>598</v>
      </c>
      <c r="P282" s="97" t="s">
        <v>599</v>
      </c>
      <c r="Q282" s="103" t="s">
        <v>598</v>
      </c>
      <c r="R282" s="97" t="s">
        <v>343</v>
      </c>
      <c r="S282" s="97" t="s">
        <v>264</v>
      </c>
      <c r="T282" s="97" t="s">
        <v>4</v>
      </c>
      <c r="U282" s="97">
        <v>2013</v>
      </c>
      <c r="V282" s="97" t="s">
        <v>304</v>
      </c>
      <c r="W282" s="111">
        <v>28.171240395528201</v>
      </c>
      <c r="X282" s="111">
        <v>-80.600174715652599</v>
      </c>
      <c r="Y282" s="121" t="s">
        <v>557</v>
      </c>
      <c r="Z282" s="107"/>
      <c r="AA282" s="21" t="s">
        <v>1064</v>
      </c>
      <c r="AB282" s="21" t="s">
        <v>1064</v>
      </c>
      <c r="AC282" s="21" t="s">
        <v>1064</v>
      </c>
      <c r="AD282" s="102" t="s">
        <v>1075</v>
      </c>
    </row>
    <row r="283" spans="1:30" x14ac:dyDescent="0.3">
      <c r="A283" s="99">
        <v>2432</v>
      </c>
      <c r="B283" s="97" t="s">
        <v>193</v>
      </c>
      <c r="C283" s="118" t="s">
        <v>539</v>
      </c>
      <c r="D283" s="153" t="s">
        <v>236</v>
      </c>
      <c r="E283" s="97" t="s">
        <v>237</v>
      </c>
      <c r="F283" s="97" t="s">
        <v>503</v>
      </c>
      <c r="G283" s="97" t="s">
        <v>703</v>
      </c>
      <c r="H283" s="97" t="s">
        <v>4</v>
      </c>
      <c r="I283" s="106">
        <v>2013</v>
      </c>
      <c r="J283" s="101">
        <v>4</v>
      </c>
      <c r="K283" s="101">
        <v>0.6</v>
      </c>
      <c r="L283" s="102" t="s">
        <v>376</v>
      </c>
      <c r="M283" s="101">
        <v>0.5</v>
      </c>
      <c r="N283" s="103" t="s">
        <v>598</v>
      </c>
      <c r="O283" s="103" t="s">
        <v>598</v>
      </c>
      <c r="P283" s="97" t="s">
        <v>599</v>
      </c>
      <c r="Q283" s="103" t="s">
        <v>598</v>
      </c>
      <c r="R283" s="97" t="s">
        <v>343</v>
      </c>
      <c r="S283" s="97" t="s">
        <v>264</v>
      </c>
      <c r="T283" s="97" t="s">
        <v>4</v>
      </c>
      <c r="U283" s="97">
        <v>2013</v>
      </c>
      <c r="V283" s="97" t="s">
        <v>304</v>
      </c>
      <c r="W283" s="111">
        <v>28.1722096880642</v>
      </c>
      <c r="X283" s="111">
        <v>-80.597203154344996</v>
      </c>
      <c r="Y283" s="121" t="s">
        <v>557</v>
      </c>
      <c r="Z283" s="107"/>
      <c r="AA283" s="21" t="s">
        <v>1064</v>
      </c>
      <c r="AB283" s="21" t="s">
        <v>1064</v>
      </c>
      <c r="AC283" s="21" t="s">
        <v>1064</v>
      </c>
      <c r="AD283" s="102" t="s">
        <v>1075</v>
      </c>
    </row>
    <row r="284" spans="1:30" x14ac:dyDescent="0.3">
      <c r="A284" s="99">
        <v>2447</v>
      </c>
      <c r="B284" s="97" t="s">
        <v>193</v>
      </c>
      <c r="C284" s="118" t="s">
        <v>539</v>
      </c>
      <c r="D284" s="153" t="s">
        <v>238</v>
      </c>
      <c r="E284" s="97" t="s">
        <v>239</v>
      </c>
      <c r="F284" s="97" t="s">
        <v>503</v>
      </c>
      <c r="G284" s="97" t="s">
        <v>703</v>
      </c>
      <c r="H284" s="97" t="s">
        <v>4</v>
      </c>
      <c r="I284" s="106">
        <v>2013</v>
      </c>
      <c r="J284" s="101">
        <v>19</v>
      </c>
      <c r="K284" s="101">
        <v>2.8</v>
      </c>
      <c r="L284" s="102" t="s">
        <v>376</v>
      </c>
      <c r="M284" s="101">
        <v>2.1</v>
      </c>
      <c r="N284" s="103" t="s">
        <v>598</v>
      </c>
      <c r="O284" s="103" t="s">
        <v>598</v>
      </c>
      <c r="P284" s="97" t="s">
        <v>599</v>
      </c>
      <c r="Q284" s="103" t="s">
        <v>598</v>
      </c>
      <c r="R284" s="97" t="s">
        <v>343</v>
      </c>
      <c r="S284" s="97" t="s">
        <v>264</v>
      </c>
      <c r="T284" s="97" t="s">
        <v>4</v>
      </c>
      <c r="U284" s="97">
        <v>2013</v>
      </c>
      <c r="V284" s="97" t="s">
        <v>304</v>
      </c>
      <c r="W284" s="111">
        <v>28.1722096880642</v>
      </c>
      <c r="X284" s="111">
        <v>-80.597203154344996</v>
      </c>
      <c r="Y284" s="121" t="s">
        <v>557</v>
      </c>
      <c r="Z284" s="107"/>
      <c r="AA284" s="21" t="s">
        <v>1064</v>
      </c>
      <c r="AB284" s="21" t="s">
        <v>1064</v>
      </c>
      <c r="AC284" s="21" t="s">
        <v>1064</v>
      </c>
      <c r="AD284" s="102" t="s">
        <v>1075</v>
      </c>
    </row>
    <row r="285" spans="1:30" x14ac:dyDescent="0.3">
      <c r="A285" s="99">
        <v>2448</v>
      </c>
      <c r="B285" s="97" t="s">
        <v>193</v>
      </c>
      <c r="C285" s="118" t="s">
        <v>539</v>
      </c>
      <c r="D285" s="153" t="s">
        <v>240</v>
      </c>
      <c r="E285" s="97" t="s">
        <v>241</v>
      </c>
      <c r="F285" s="97" t="s">
        <v>503</v>
      </c>
      <c r="G285" s="97" t="s">
        <v>703</v>
      </c>
      <c r="H285" s="97" t="s">
        <v>4</v>
      </c>
      <c r="I285" s="106">
        <v>2013</v>
      </c>
      <c r="J285" s="101">
        <v>7</v>
      </c>
      <c r="K285" s="101">
        <v>1.9</v>
      </c>
      <c r="L285" s="102" t="s">
        <v>376</v>
      </c>
      <c r="M285" s="101">
        <v>1.2</v>
      </c>
      <c r="N285" s="103" t="s">
        <v>598</v>
      </c>
      <c r="O285" s="103" t="s">
        <v>598</v>
      </c>
      <c r="P285" s="97" t="s">
        <v>599</v>
      </c>
      <c r="Q285" s="103" t="s">
        <v>598</v>
      </c>
      <c r="R285" s="97" t="s">
        <v>343</v>
      </c>
      <c r="S285" s="97" t="s">
        <v>264</v>
      </c>
      <c r="T285" s="97" t="s">
        <v>4</v>
      </c>
      <c r="U285" s="97">
        <v>2013</v>
      </c>
      <c r="V285" s="97" t="s">
        <v>304</v>
      </c>
      <c r="W285" s="111">
        <v>28.172229617607599</v>
      </c>
      <c r="X285" s="111">
        <v>-80.595541844350393</v>
      </c>
      <c r="Y285" s="121" t="s">
        <v>557</v>
      </c>
      <c r="Z285" s="107"/>
      <c r="AA285" s="21" t="s">
        <v>1064</v>
      </c>
      <c r="AB285" s="21" t="s">
        <v>1064</v>
      </c>
      <c r="AC285" s="21" t="s">
        <v>1064</v>
      </c>
      <c r="AD285" s="102" t="s">
        <v>1075</v>
      </c>
    </row>
    <row r="286" spans="1:30" x14ac:dyDescent="0.3">
      <c r="A286" s="99">
        <v>2449</v>
      </c>
      <c r="B286" s="97" t="s">
        <v>193</v>
      </c>
      <c r="C286" s="118" t="s">
        <v>539</v>
      </c>
      <c r="D286" s="153" t="s">
        <v>242</v>
      </c>
      <c r="E286" s="97" t="s">
        <v>243</v>
      </c>
      <c r="F286" s="97" t="s">
        <v>503</v>
      </c>
      <c r="G286" s="97" t="s">
        <v>703</v>
      </c>
      <c r="H286" s="97" t="s">
        <v>4</v>
      </c>
      <c r="I286" s="106">
        <v>2013</v>
      </c>
      <c r="J286" s="101">
        <v>1</v>
      </c>
      <c r="K286" s="101">
        <v>0.3</v>
      </c>
      <c r="L286" s="102" t="s">
        <v>376</v>
      </c>
      <c r="M286" s="101">
        <v>0.1</v>
      </c>
      <c r="N286" s="103" t="s">
        <v>598</v>
      </c>
      <c r="O286" s="103" t="s">
        <v>598</v>
      </c>
      <c r="P286" s="97" t="s">
        <v>599</v>
      </c>
      <c r="Q286" s="103" t="s">
        <v>598</v>
      </c>
      <c r="R286" s="97" t="s">
        <v>343</v>
      </c>
      <c r="S286" s="97" t="s">
        <v>264</v>
      </c>
      <c r="T286" s="97" t="s">
        <v>4</v>
      </c>
      <c r="U286" s="97">
        <v>2013</v>
      </c>
      <c r="V286" s="97" t="s">
        <v>304</v>
      </c>
      <c r="W286" s="111">
        <v>28.172413386878201</v>
      </c>
      <c r="X286" s="111">
        <v>-80.594536368432102</v>
      </c>
      <c r="Y286" s="121" t="s">
        <v>557</v>
      </c>
      <c r="Z286" s="107"/>
      <c r="AA286" s="21" t="s">
        <v>1064</v>
      </c>
      <c r="AB286" s="21" t="s">
        <v>1064</v>
      </c>
      <c r="AC286" s="21" t="s">
        <v>1064</v>
      </c>
      <c r="AD286" s="102" t="s">
        <v>1075</v>
      </c>
    </row>
    <row r="287" spans="1:30" x14ac:dyDescent="0.3">
      <c r="A287" s="99">
        <v>2450</v>
      </c>
      <c r="B287" s="97" t="s">
        <v>193</v>
      </c>
      <c r="C287" s="118" t="s">
        <v>539</v>
      </c>
      <c r="D287" s="153" t="s">
        <v>244</v>
      </c>
      <c r="E287" s="97" t="s">
        <v>245</v>
      </c>
      <c r="F287" s="97" t="s">
        <v>503</v>
      </c>
      <c r="G287" s="97" t="s">
        <v>703</v>
      </c>
      <c r="H287" s="97" t="s">
        <v>4</v>
      </c>
      <c r="I287" s="106">
        <v>2013</v>
      </c>
      <c r="J287" s="101">
        <v>9</v>
      </c>
      <c r="K287" s="101">
        <v>1.7</v>
      </c>
      <c r="L287" s="102" t="s">
        <v>376</v>
      </c>
      <c r="M287" s="101">
        <v>3.1</v>
      </c>
      <c r="N287" s="103" t="s">
        <v>598</v>
      </c>
      <c r="O287" s="103" t="s">
        <v>598</v>
      </c>
      <c r="P287" s="97" t="s">
        <v>599</v>
      </c>
      <c r="Q287" s="103" t="s">
        <v>598</v>
      </c>
      <c r="R287" s="97" t="s">
        <v>343</v>
      </c>
      <c r="S287" s="97" t="s">
        <v>264</v>
      </c>
      <c r="T287" s="97" t="s">
        <v>4</v>
      </c>
      <c r="U287" s="97">
        <v>2013</v>
      </c>
      <c r="V287" s="97" t="s">
        <v>304</v>
      </c>
      <c r="W287" s="111">
        <v>28.172564400443498</v>
      </c>
      <c r="X287" s="111">
        <v>-80.591918625522396</v>
      </c>
      <c r="Y287" s="121" t="s">
        <v>557</v>
      </c>
      <c r="Z287" s="107"/>
      <c r="AA287" s="21" t="s">
        <v>1064</v>
      </c>
      <c r="AB287" s="21" t="s">
        <v>1064</v>
      </c>
      <c r="AC287" s="21" t="s">
        <v>1064</v>
      </c>
      <c r="AD287" s="102" t="s">
        <v>1075</v>
      </c>
    </row>
    <row r="288" spans="1:30" x14ac:dyDescent="0.3">
      <c r="A288" s="99">
        <v>2451</v>
      </c>
      <c r="B288" s="97" t="s">
        <v>193</v>
      </c>
      <c r="C288" s="118" t="s">
        <v>539</v>
      </c>
      <c r="D288" s="153" t="s">
        <v>246</v>
      </c>
      <c r="E288" s="97" t="s">
        <v>247</v>
      </c>
      <c r="F288" s="97" t="s">
        <v>503</v>
      </c>
      <c r="G288" s="97" t="s">
        <v>703</v>
      </c>
      <c r="H288" s="97" t="s">
        <v>4</v>
      </c>
      <c r="I288" s="106">
        <v>2013</v>
      </c>
      <c r="J288" s="101">
        <v>7</v>
      </c>
      <c r="K288" s="101">
        <v>1.6</v>
      </c>
      <c r="L288" s="102" t="s">
        <v>376</v>
      </c>
      <c r="M288" s="101">
        <v>0.5</v>
      </c>
      <c r="N288" s="103" t="s">
        <v>598</v>
      </c>
      <c r="O288" s="103" t="s">
        <v>598</v>
      </c>
      <c r="P288" s="97" t="s">
        <v>599</v>
      </c>
      <c r="Q288" s="103" t="s">
        <v>598</v>
      </c>
      <c r="R288" s="97" t="s">
        <v>343</v>
      </c>
      <c r="S288" s="97" t="s">
        <v>264</v>
      </c>
      <c r="T288" s="97" t="s">
        <v>4</v>
      </c>
      <c r="U288" s="97">
        <v>2013</v>
      </c>
      <c r="V288" s="97" t="s">
        <v>304</v>
      </c>
      <c r="W288" s="111">
        <v>28.172416740929599</v>
      </c>
      <c r="X288" s="111">
        <v>-80.591247099086104</v>
      </c>
      <c r="Y288" s="121" t="s">
        <v>557</v>
      </c>
      <c r="Z288" s="107"/>
      <c r="AA288" s="21" t="s">
        <v>1064</v>
      </c>
      <c r="AB288" s="21" t="s">
        <v>1064</v>
      </c>
      <c r="AC288" s="21" t="s">
        <v>1064</v>
      </c>
      <c r="AD288" s="102" t="s">
        <v>1075</v>
      </c>
    </row>
    <row r="289" spans="1:30" x14ac:dyDescent="0.3">
      <c r="A289" s="99">
        <v>2452</v>
      </c>
      <c r="B289" s="97" t="s">
        <v>193</v>
      </c>
      <c r="C289" s="118" t="s">
        <v>539</v>
      </c>
      <c r="D289" s="153" t="s">
        <v>248</v>
      </c>
      <c r="E289" s="97" t="s">
        <v>249</v>
      </c>
      <c r="F289" s="97" t="s">
        <v>503</v>
      </c>
      <c r="G289" s="97" t="s">
        <v>703</v>
      </c>
      <c r="H289" s="97" t="s">
        <v>4</v>
      </c>
      <c r="I289" s="106">
        <v>2013</v>
      </c>
      <c r="J289" s="101">
        <v>9</v>
      </c>
      <c r="K289" s="101">
        <v>2.2000000000000002</v>
      </c>
      <c r="L289" s="102" t="s">
        <v>376</v>
      </c>
      <c r="M289" s="101">
        <v>0.9</v>
      </c>
      <c r="N289" s="103" t="s">
        <v>598</v>
      </c>
      <c r="O289" s="103" t="s">
        <v>598</v>
      </c>
      <c r="P289" s="97" t="s">
        <v>599</v>
      </c>
      <c r="Q289" s="103" t="s">
        <v>598</v>
      </c>
      <c r="R289" s="97" t="s">
        <v>343</v>
      </c>
      <c r="S289" s="97" t="s">
        <v>264</v>
      </c>
      <c r="T289" s="97" t="s">
        <v>4</v>
      </c>
      <c r="U289" s="97">
        <v>2013</v>
      </c>
      <c r="V289" s="97" t="s">
        <v>304</v>
      </c>
      <c r="W289" s="111">
        <v>28.172180272429099</v>
      </c>
      <c r="X289" s="111">
        <v>-80.594672983355494</v>
      </c>
      <c r="Y289" s="121" t="s">
        <v>557</v>
      </c>
      <c r="Z289" s="107"/>
      <c r="AA289" s="21" t="s">
        <v>1064</v>
      </c>
      <c r="AB289" s="21" t="s">
        <v>1064</v>
      </c>
      <c r="AC289" s="21" t="s">
        <v>1064</v>
      </c>
      <c r="AD289" s="102" t="s">
        <v>1075</v>
      </c>
    </row>
    <row r="290" spans="1:30" x14ac:dyDescent="0.3">
      <c r="A290" s="99">
        <v>2453</v>
      </c>
      <c r="B290" s="97" t="s">
        <v>193</v>
      </c>
      <c r="C290" s="118" t="s">
        <v>539</v>
      </c>
      <c r="D290" s="153" t="s">
        <v>250</v>
      </c>
      <c r="E290" s="97" t="s">
        <v>251</v>
      </c>
      <c r="F290" s="97" t="s">
        <v>503</v>
      </c>
      <c r="G290" s="97" t="s">
        <v>703</v>
      </c>
      <c r="H290" s="97" t="s">
        <v>4</v>
      </c>
      <c r="I290" s="106">
        <v>2013</v>
      </c>
      <c r="J290" s="101">
        <v>11</v>
      </c>
      <c r="K290" s="101">
        <v>2.6</v>
      </c>
      <c r="L290" s="102" t="s">
        <v>376</v>
      </c>
      <c r="M290" s="101">
        <v>1.6</v>
      </c>
      <c r="N290" s="103" t="s">
        <v>598</v>
      </c>
      <c r="O290" s="103" t="s">
        <v>598</v>
      </c>
      <c r="P290" s="97" t="s">
        <v>599</v>
      </c>
      <c r="Q290" s="103" t="s">
        <v>598</v>
      </c>
      <c r="R290" s="97" t="s">
        <v>343</v>
      </c>
      <c r="S290" s="97" t="s">
        <v>264</v>
      </c>
      <c r="T290" s="97" t="s">
        <v>4</v>
      </c>
      <c r="U290" s="97">
        <v>2013</v>
      </c>
      <c r="V290" s="97" t="s">
        <v>304</v>
      </c>
      <c r="W290" s="111">
        <v>28.172167825739599</v>
      </c>
      <c r="X290" s="111">
        <v>-80.593476326622493</v>
      </c>
      <c r="Y290" s="121" t="s">
        <v>557</v>
      </c>
      <c r="Z290" s="107"/>
      <c r="AA290" s="21" t="s">
        <v>1064</v>
      </c>
      <c r="AB290" s="21" t="s">
        <v>1064</v>
      </c>
      <c r="AC290" s="21" t="s">
        <v>1064</v>
      </c>
      <c r="AD290" s="102" t="s">
        <v>1075</v>
      </c>
    </row>
    <row r="291" spans="1:30" x14ac:dyDescent="0.3">
      <c r="A291" s="99">
        <v>2454</v>
      </c>
      <c r="B291" s="97" t="s">
        <v>193</v>
      </c>
      <c r="C291" s="118" t="s">
        <v>539</v>
      </c>
      <c r="D291" s="153" t="s">
        <v>253</v>
      </c>
      <c r="E291" s="97" t="s">
        <v>254</v>
      </c>
      <c r="F291" s="97" t="s">
        <v>503</v>
      </c>
      <c r="G291" s="97" t="s">
        <v>703</v>
      </c>
      <c r="H291" s="97" t="s">
        <v>4</v>
      </c>
      <c r="I291" s="106">
        <v>2013</v>
      </c>
      <c r="J291" s="101">
        <v>15</v>
      </c>
      <c r="K291" s="101">
        <v>3.8</v>
      </c>
      <c r="L291" s="102" t="s">
        <v>376</v>
      </c>
      <c r="M291" s="101">
        <v>3.3</v>
      </c>
      <c r="N291" s="103" t="s">
        <v>598</v>
      </c>
      <c r="O291" s="103" t="s">
        <v>598</v>
      </c>
      <c r="P291" s="97" t="s">
        <v>599</v>
      </c>
      <c r="Q291" s="103" t="s">
        <v>598</v>
      </c>
      <c r="R291" s="97" t="s">
        <v>343</v>
      </c>
      <c r="S291" s="97" t="s">
        <v>264</v>
      </c>
      <c r="T291" s="97" t="s">
        <v>4</v>
      </c>
      <c r="U291" s="97">
        <v>2013</v>
      </c>
      <c r="V291" s="97" t="s">
        <v>304</v>
      </c>
      <c r="W291" s="111">
        <v>28.1721738802365</v>
      </c>
      <c r="X291" s="111">
        <v>-80.591251018692503</v>
      </c>
      <c r="Y291" s="121" t="s">
        <v>557</v>
      </c>
      <c r="Z291" s="107"/>
      <c r="AA291" s="21" t="s">
        <v>1064</v>
      </c>
      <c r="AB291" s="21" t="s">
        <v>1064</v>
      </c>
      <c r="AC291" s="21" t="s">
        <v>1064</v>
      </c>
      <c r="AD291" s="102" t="s">
        <v>1075</v>
      </c>
    </row>
    <row r="292" spans="1:30" x14ac:dyDescent="0.3">
      <c r="A292" s="99">
        <v>2455</v>
      </c>
      <c r="B292" s="97" t="s">
        <v>193</v>
      </c>
      <c r="C292" s="119" t="s">
        <v>598</v>
      </c>
      <c r="D292" s="153" t="s">
        <v>524</v>
      </c>
      <c r="E292" s="97" t="s">
        <v>529</v>
      </c>
      <c r="F292" s="97" t="s">
        <v>589</v>
      </c>
      <c r="G292" s="97" t="s">
        <v>704</v>
      </c>
      <c r="H292" s="97" t="s">
        <v>4</v>
      </c>
      <c r="I292" s="106">
        <v>2016</v>
      </c>
      <c r="J292" s="114">
        <v>10</v>
      </c>
      <c r="K292" s="114">
        <v>2</v>
      </c>
      <c r="L292" s="115" t="s">
        <v>376</v>
      </c>
      <c r="M292" s="114">
        <v>32</v>
      </c>
      <c r="N292" s="108">
        <v>43482</v>
      </c>
      <c r="O292" s="103" t="s">
        <v>598</v>
      </c>
      <c r="P292" s="103" t="s">
        <v>598</v>
      </c>
      <c r="Q292" s="108">
        <v>43482</v>
      </c>
      <c r="R292" s="97" t="s">
        <v>520</v>
      </c>
      <c r="S292" s="97" t="s">
        <v>264</v>
      </c>
      <c r="T292" s="97" t="s">
        <v>598</v>
      </c>
      <c r="U292" s="97">
        <v>2017</v>
      </c>
      <c r="V292" s="97" t="s">
        <v>304</v>
      </c>
      <c r="W292" s="111" t="s">
        <v>1060</v>
      </c>
      <c r="X292" s="111">
        <v>-80.598979220000004</v>
      </c>
      <c r="Y292" s="119" t="s">
        <v>598</v>
      </c>
      <c r="Z292" s="107"/>
      <c r="AA292" s="115" t="s">
        <v>1065</v>
      </c>
      <c r="AB292" s="115" t="s">
        <v>1064</v>
      </c>
      <c r="AC292" s="115" t="s">
        <v>1081</v>
      </c>
      <c r="AD292" s="115" t="s">
        <v>520</v>
      </c>
    </row>
    <row r="293" spans="1:30" x14ac:dyDescent="0.3">
      <c r="A293" s="99">
        <v>2456</v>
      </c>
      <c r="B293" s="97" t="s">
        <v>193</v>
      </c>
      <c r="C293" s="119" t="s">
        <v>598</v>
      </c>
      <c r="D293" s="153" t="s">
        <v>525</v>
      </c>
      <c r="E293" s="97" t="s">
        <v>529</v>
      </c>
      <c r="F293" s="97" t="s">
        <v>590</v>
      </c>
      <c r="G293" s="97" t="s">
        <v>523</v>
      </c>
      <c r="H293" s="97" t="s">
        <v>4</v>
      </c>
      <c r="I293" s="106">
        <v>2016</v>
      </c>
      <c r="J293" s="116" t="s">
        <v>361</v>
      </c>
      <c r="K293" s="116" t="s">
        <v>361</v>
      </c>
      <c r="L293" s="97" t="s">
        <v>376</v>
      </c>
      <c r="M293" s="116">
        <v>3</v>
      </c>
      <c r="N293" s="108">
        <v>34350</v>
      </c>
      <c r="O293" s="103" t="s">
        <v>598</v>
      </c>
      <c r="P293" s="103" t="s">
        <v>598</v>
      </c>
      <c r="Q293" s="108">
        <v>34350</v>
      </c>
      <c r="R293" s="97" t="s">
        <v>520</v>
      </c>
      <c r="S293" s="97" t="s">
        <v>264</v>
      </c>
      <c r="T293" s="97" t="s">
        <v>598</v>
      </c>
      <c r="U293" s="97">
        <v>2017</v>
      </c>
      <c r="V293" s="97" t="s">
        <v>304</v>
      </c>
      <c r="W293" s="111">
        <v>28.179697180000002</v>
      </c>
      <c r="X293" s="111">
        <v>-80.598979220000004</v>
      </c>
      <c r="Y293" s="119" t="s">
        <v>598</v>
      </c>
      <c r="Z293" s="107"/>
      <c r="AA293" s="98" t="s">
        <v>1065</v>
      </c>
      <c r="AB293" s="21" t="s">
        <v>1064</v>
      </c>
      <c r="AC293" s="21" t="s">
        <v>1081</v>
      </c>
      <c r="AD293" s="21" t="s">
        <v>520</v>
      </c>
    </row>
    <row r="294" spans="1:30" x14ac:dyDescent="0.3">
      <c r="A294" s="99">
        <v>2390</v>
      </c>
      <c r="B294" s="97" t="s">
        <v>193</v>
      </c>
      <c r="C294" s="118" t="s">
        <v>539</v>
      </c>
      <c r="D294" s="153" t="s">
        <v>526</v>
      </c>
      <c r="E294" s="97" t="s">
        <v>527</v>
      </c>
      <c r="F294" s="118" t="s">
        <v>581</v>
      </c>
      <c r="G294" s="97" t="s">
        <v>351</v>
      </c>
      <c r="H294" s="97" t="s">
        <v>4</v>
      </c>
      <c r="I294" s="106">
        <v>2018</v>
      </c>
      <c r="J294" s="114">
        <v>461</v>
      </c>
      <c r="K294" s="114">
        <v>96</v>
      </c>
      <c r="L294" s="115" t="s">
        <v>376</v>
      </c>
      <c r="M294" s="114">
        <v>293</v>
      </c>
      <c r="N294" s="108">
        <v>950000</v>
      </c>
      <c r="O294" s="103" t="s">
        <v>598</v>
      </c>
      <c r="P294" s="97" t="s">
        <v>599</v>
      </c>
      <c r="Q294" s="108">
        <v>703000</v>
      </c>
      <c r="R294" s="97" t="s">
        <v>528</v>
      </c>
      <c r="S294" s="97" t="s">
        <v>264</v>
      </c>
      <c r="T294" s="97" t="s">
        <v>598</v>
      </c>
      <c r="U294" s="97">
        <v>2017</v>
      </c>
      <c r="V294" s="97" t="s">
        <v>304</v>
      </c>
      <c r="W294" s="111">
        <v>28.164008079999999</v>
      </c>
      <c r="X294" s="111">
        <v>-80.601998050000006</v>
      </c>
      <c r="Y294" s="121" t="s">
        <v>555</v>
      </c>
      <c r="Z294" s="107"/>
      <c r="AA294" s="115" t="s">
        <v>1065</v>
      </c>
      <c r="AB294" s="115" t="s">
        <v>1064</v>
      </c>
      <c r="AC294" s="115" t="s">
        <v>1081</v>
      </c>
      <c r="AD294" s="115" t="s">
        <v>520</v>
      </c>
    </row>
    <row r="295" spans="1:30" x14ac:dyDescent="0.3">
      <c r="A295" s="99">
        <v>4350</v>
      </c>
      <c r="B295" s="97" t="s">
        <v>193</v>
      </c>
      <c r="C295" s="119" t="s">
        <v>361</v>
      </c>
      <c r="D295" s="153" t="s">
        <v>716</v>
      </c>
      <c r="E295" s="97" t="s">
        <v>731</v>
      </c>
      <c r="F295" s="118" t="s">
        <v>732</v>
      </c>
      <c r="G295" s="97" t="s">
        <v>733</v>
      </c>
      <c r="H295" s="97" t="s">
        <v>530</v>
      </c>
      <c r="I295" s="106">
        <v>2023</v>
      </c>
      <c r="J295" s="116" t="s">
        <v>520</v>
      </c>
      <c r="K295" s="116" t="s">
        <v>520</v>
      </c>
      <c r="L295" s="21" t="s">
        <v>376</v>
      </c>
      <c r="M295" s="59" t="s">
        <v>520</v>
      </c>
      <c r="N295" s="108">
        <v>2195137</v>
      </c>
      <c r="O295" s="103" t="s">
        <v>598</v>
      </c>
      <c r="P295" s="98" t="s">
        <v>361</v>
      </c>
      <c r="Q295" s="104" t="s">
        <v>361</v>
      </c>
      <c r="R295" s="97" t="s">
        <v>520</v>
      </c>
      <c r="S295" s="97" t="s">
        <v>264</v>
      </c>
      <c r="T295" s="97" t="s">
        <v>530</v>
      </c>
      <c r="U295" s="97">
        <v>2018</v>
      </c>
      <c r="V295" s="97" t="s">
        <v>304</v>
      </c>
      <c r="W295" s="111" t="s">
        <v>1061</v>
      </c>
      <c r="X295" s="111">
        <v>-80.598506971456601</v>
      </c>
      <c r="Y295" s="119" t="s">
        <v>598</v>
      </c>
      <c r="Z295" s="107"/>
      <c r="AA295" s="97" t="s">
        <v>1065</v>
      </c>
      <c r="AB295" s="21" t="s">
        <v>1065</v>
      </c>
      <c r="AC295" s="21" t="s">
        <v>1065</v>
      </c>
      <c r="AD295" s="21" t="s">
        <v>520</v>
      </c>
    </row>
    <row r="296" spans="1:30" s="155" customFormat="1" x14ac:dyDescent="0.3">
      <c r="A296" s="99">
        <v>4351</v>
      </c>
      <c r="B296" s="97" t="s">
        <v>193</v>
      </c>
      <c r="C296" s="119" t="s">
        <v>361</v>
      </c>
      <c r="D296" s="153" t="s">
        <v>717</v>
      </c>
      <c r="E296" s="97" t="s">
        <v>734</v>
      </c>
      <c r="F296" s="118" t="s">
        <v>735</v>
      </c>
      <c r="G296" s="97" t="s">
        <v>669</v>
      </c>
      <c r="H296" s="97" t="s">
        <v>530</v>
      </c>
      <c r="I296" s="106" t="s">
        <v>1119</v>
      </c>
      <c r="J296" s="59" t="s">
        <v>361</v>
      </c>
      <c r="K296" s="59" t="s">
        <v>361</v>
      </c>
      <c r="L296" s="21" t="s">
        <v>376</v>
      </c>
      <c r="M296" s="116">
        <v>184</v>
      </c>
      <c r="N296" s="108">
        <v>173707</v>
      </c>
      <c r="O296" s="103" t="s">
        <v>598</v>
      </c>
      <c r="P296" s="98" t="s">
        <v>361</v>
      </c>
      <c r="Q296" s="104" t="s">
        <v>361</v>
      </c>
      <c r="R296" s="97" t="s">
        <v>520</v>
      </c>
      <c r="S296" s="97" t="s">
        <v>264</v>
      </c>
      <c r="T296" s="97" t="s">
        <v>530</v>
      </c>
      <c r="U296" s="97">
        <v>2018</v>
      </c>
      <c r="V296" s="97" t="s">
        <v>304</v>
      </c>
      <c r="W296" s="111">
        <v>28.175957610509101</v>
      </c>
      <c r="X296" s="111">
        <v>-80.606124458942404</v>
      </c>
      <c r="Y296" s="119" t="s">
        <v>598</v>
      </c>
      <c r="Z296" s="107"/>
      <c r="AA296" s="98" t="s">
        <v>1065</v>
      </c>
      <c r="AB296" s="21" t="s">
        <v>1064</v>
      </c>
      <c r="AC296" s="21" t="s">
        <v>1081</v>
      </c>
      <c r="AD296" s="21" t="s">
        <v>520</v>
      </c>
    </row>
    <row r="297" spans="1:30" x14ac:dyDescent="0.3">
      <c r="A297" s="132">
        <v>4352</v>
      </c>
      <c r="B297" s="21" t="s">
        <v>193</v>
      </c>
      <c r="C297" s="119" t="s">
        <v>361</v>
      </c>
      <c r="D297" s="153" t="s">
        <v>718</v>
      </c>
      <c r="E297" s="21" t="s">
        <v>736</v>
      </c>
      <c r="F297" s="133" t="s">
        <v>737</v>
      </c>
      <c r="G297" s="21" t="s">
        <v>351</v>
      </c>
      <c r="H297" s="21" t="s">
        <v>530</v>
      </c>
      <c r="I297" s="131">
        <v>2023</v>
      </c>
      <c r="J297" s="59">
        <v>65</v>
      </c>
      <c r="K297" s="59">
        <v>23</v>
      </c>
      <c r="L297" s="21" t="s">
        <v>376</v>
      </c>
      <c r="M297" s="59">
        <v>35.06</v>
      </c>
      <c r="N297" s="108">
        <v>43580</v>
      </c>
      <c r="O297" s="103" t="s">
        <v>598</v>
      </c>
      <c r="P297" s="98" t="s">
        <v>361</v>
      </c>
      <c r="Q297" s="104" t="s">
        <v>361</v>
      </c>
      <c r="R297" s="97" t="s">
        <v>520</v>
      </c>
      <c r="S297" s="97" t="s">
        <v>264</v>
      </c>
      <c r="T297" s="97" t="s">
        <v>530</v>
      </c>
      <c r="U297" s="97">
        <v>2018</v>
      </c>
      <c r="V297" s="97" t="s">
        <v>304</v>
      </c>
      <c r="W297" s="111">
        <v>28.175758677116701</v>
      </c>
      <c r="X297" s="111">
        <v>-80.5950208243828</v>
      </c>
      <c r="Y297" s="119" t="s">
        <v>598</v>
      </c>
      <c r="Z297" s="107"/>
      <c r="AA297" s="98" t="s">
        <v>1065</v>
      </c>
      <c r="AB297" s="21" t="s">
        <v>1064</v>
      </c>
      <c r="AC297" s="21" t="s">
        <v>1081</v>
      </c>
      <c r="AD297" s="21" t="s">
        <v>520</v>
      </c>
    </row>
    <row r="298" spans="1:30" x14ac:dyDescent="0.3">
      <c r="A298" s="132">
        <v>4353</v>
      </c>
      <c r="B298" s="21" t="s">
        <v>193</v>
      </c>
      <c r="C298" s="119" t="s">
        <v>361</v>
      </c>
      <c r="D298" s="153" t="s">
        <v>719</v>
      </c>
      <c r="E298" s="21" t="s">
        <v>738</v>
      </c>
      <c r="F298" s="133" t="s">
        <v>739</v>
      </c>
      <c r="G298" s="21" t="s">
        <v>351</v>
      </c>
      <c r="H298" s="21" t="s">
        <v>530</v>
      </c>
      <c r="I298" s="131">
        <v>2024</v>
      </c>
      <c r="J298" s="59">
        <v>46</v>
      </c>
      <c r="K298" s="59">
        <v>23</v>
      </c>
      <c r="L298" s="21" t="s">
        <v>376</v>
      </c>
      <c r="M298" s="59">
        <v>12.13</v>
      </c>
      <c r="N298" s="108">
        <v>232156</v>
      </c>
      <c r="O298" s="103" t="s">
        <v>598</v>
      </c>
      <c r="P298" s="98" t="s">
        <v>361</v>
      </c>
      <c r="Q298" s="104" t="s">
        <v>361</v>
      </c>
      <c r="R298" s="97" t="s">
        <v>520</v>
      </c>
      <c r="S298" s="97" t="s">
        <v>264</v>
      </c>
      <c r="T298" s="97" t="s">
        <v>530</v>
      </c>
      <c r="U298" s="97">
        <v>2018</v>
      </c>
      <c r="V298" s="97" t="s">
        <v>304</v>
      </c>
      <c r="W298" s="111">
        <v>28.183968264968499</v>
      </c>
      <c r="X298" s="111">
        <v>-80.606885586360207</v>
      </c>
      <c r="Y298" s="119" t="s">
        <v>598</v>
      </c>
      <c r="Z298" s="107"/>
      <c r="AA298" s="98" t="s">
        <v>1065</v>
      </c>
      <c r="AB298" s="21" t="s">
        <v>1064</v>
      </c>
      <c r="AC298" s="21" t="s">
        <v>1081</v>
      </c>
      <c r="AD298" s="21" t="s">
        <v>520</v>
      </c>
    </row>
    <row r="299" spans="1:30" x14ac:dyDescent="0.3">
      <c r="A299" s="99">
        <v>4354</v>
      </c>
      <c r="B299" s="97" t="s">
        <v>193</v>
      </c>
      <c r="C299" s="119" t="s">
        <v>361</v>
      </c>
      <c r="D299" s="153" t="s">
        <v>720</v>
      </c>
      <c r="E299" s="97" t="s">
        <v>740</v>
      </c>
      <c r="F299" s="118" t="s">
        <v>741</v>
      </c>
      <c r="G299" s="97" t="s">
        <v>763</v>
      </c>
      <c r="H299" s="97" t="s">
        <v>530</v>
      </c>
      <c r="I299" s="106">
        <v>2024</v>
      </c>
      <c r="J299" s="59" t="s">
        <v>361</v>
      </c>
      <c r="K299" s="59" t="s">
        <v>361</v>
      </c>
      <c r="L299" s="97" t="s">
        <v>376</v>
      </c>
      <c r="M299" s="116">
        <v>1.94</v>
      </c>
      <c r="N299" s="108">
        <v>116840</v>
      </c>
      <c r="O299" s="103" t="s">
        <v>598</v>
      </c>
      <c r="P299" s="98" t="s">
        <v>361</v>
      </c>
      <c r="Q299" s="104" t="s">
        <v>361</v>
      </c>
      <c r="R299" s="97" t="s">
        <v>520</v>
      </c>
      <c r="S299" s="97" t="s">
        <v>264</v>
      </c>
      <c r="T299" s="97" t="s">
        <v>530</v>
      </c>
      <c r="U299" s="97">
        <v>2018</v>
      </c>
      <c r="V299" s="97" t="s">
        <v>304</v>
      </c>
      <c r="W299" s="111">
        <v>28.1839683276724</v>
      </c>
      <c r="X299" s="111">
        <v>-80.605286984553501</v>
      </c>
      <c r="Y299" s="119" t="s">
        <v>598</v>
      </c>
      <c r="Z299" s="107"/>
      <c r="AA299" s="98" t="s">
        <v>1065</v>
      </c>
      <c r="AB299" s="21" t="s">
        <v>1064</v>
      </c>
      <c r="AC299" s="21" t="s">
        <v>1081</v>
      </c>
      <c r="AD299" s="21" t="s">
        <v>520</v>
      </c>
    </row>
    <row r="300" spans="1:30" x14ac:dyDescent="0.3">
      <c r="A300" s="99">
        <v>4355</v>
      </c>
      <c r="B300" s="97" t="s">
        <v>193</v>
      </c>
      <c r="C300" s="119" t="s">
        <v>361</v>
      </c>
      <c r="D300" s="153" t="s">
        <v>721</v>
      </c>
      <c r="E300" s="97" t="s">
        <v>742</v>
      </c>
      <c r="F300" s="118" t="s">
        <v>743</v>
      </c>
      <c r="G300" s="97" t="s">
        <v>345</v>
      </c>
      <c r="H300" s="97" t="s">
        <v>530</v>
      </c>
      <c r="I300" s="106">
        <v>2024</v>
      </c>
      <c r="J300" s="59" t="s">
        <v>361</v>
      </c>
      <c r="K300" s="59" t="s">
        <v>361</v>
      </c>
      <c r="L300" s="97" t="s">
        <v>376</v>
      </c>
      <c r="M300" s="116">
        <v>14.1</v>
      </c>
      <c r="N300" s="108">
        <v>150960</v>
      </c>
      <c r="O300" s="103" t="s">
        <v>598</v>
      </c>
      <c r="P300" s="98" t="s">
        <v>361</v>
      </c>
      <c r="Q300" s="104" t="s">
        <v>361</v>
      </c>
      <c r="R300" s="97" t="s">
        <v>520</v>
      </c>
      <c r="S300" s="97" t="s">
        <v>264</v>
      </c>
      <c r="T300" s="97" t="s">
        <v>530</v>
      </c>
      <c r="U300" s="97">
        <v>2018</v>
      </c>
      <c r="V300" s="97" t="s">
        <v>304</v>
      </c>
      <c r="W300" s="111">
        <v>28.160671931349398</v>
      </c>
      <c r="X300" s="111">
        <v>-80.5951551156938</v>
      </c>
      <c r="Y300" s="119" t="s">
        <v>598</v>
      </c>
      <c r="Z300" s="107"/>
      <c r="AA300" s="98" t="s">
        <v>1065</v>
      </c>
      <c r="AB300" s="21" t="s">
        <v>1064</v>
      </c>
      <c r="AC300" s="21" t="s">
        <v>1081</v>
      </c>
      <c r="AD300" s="21" t="s">
        <v>520</v>
      </c>
    </row>
    <row r="301" spans="1:30" x14ac:dyDescent="0.3">
      <c r="A301" s="99">
        <v>4356</v>
      </c>
      <c r="B301" s="97" t="s">
        <v>193</v>
      </c>
      <c r="C301" s="119" t="s">
        <v>361</v>
      </c>
      <c r="D301" s="153" t="s">
        <v>722</v>
      </c>
      <c r="E301" s="97" t="s">
        <v>744</v>
      </c>
      <c r="F301" s="118" t="s">
        <v>745</v>
      </c>
      <c r="G301" s="97" t="s">
        <v>345</v>
      </c>
      <c r="H301" s="97" t="s">
        <v>530</v>
      </c>
      <c r="I301" s="106">
        <v>2025</v>
      </c>
      <c r="J301" s="59" t="s">
        <v>361</v>
      </c>
      <c r="K301" s="59" t="s">
        <v>361</v>
      </c>
      <c r="L301" s="97" t="s">
        <v>376</v>
      </c>
      <c r="M301" s="116">
        <v>19.13</v>
      </c>
      <c r="N301" s="108">
        <v>151026</v>
      </c>
      <c r="O301" s="103" t="s">
        <v>598</v>
      </c>
      <c r="P301" s="98" t="s">
        <v>361</v>
      </c>
      <c r="Q301" s="104" t="s">
        <v>361</v>
      </c>
      <c r="R301" s="97" t="s">
        <v>520</v>
      </c>
      <c r="S301" s="97" t="s">
        <v>264</v>
      </c>
      <c r="T301" s="97" t="s">
        <v>530</v>
      </c>
      <c r="U301" s="97">
        <v>2018</v>
      </c>
      <c r="V301" s="97" t="s">
        <v>304</v>
      </c>
      <c r="W301" s="111">
        <v>28.158832097395599</v>
      </c>
      <c r="X301" s="111">
        <v>-80.595198002577305</v>
      </c>
      <c r="Y301" s="119" t="s">
        <v>598</v>
      </c>
      <c r="Z301" s="107"/>
      <c r="AA301" s="98" t="s">
        <v>1065</v>
      </c>
      <c r="AB301" s="21" t="s">
        <v>1064</v>
      </c>
      <c r="AC301" s="21" t="s">
        <v>1081</v>
      </c>
      <c r="AD301" s="21" t="s">
        <v>520</v>
      </c>
    </row>
    <row r="302" spans="1:30" x14ac:dyDescent="0.3">
      <c r="A302" s="99">
        <v>4357</v>
      </c>
      <c r="B302" s="97" t="s">
        <v>193</v>
      </c>
      <c r="C302" s="119" t="s">
        <v>361</v>
      </c>
      <c r="D302" s="153" t="s">
        <v>723</v>
      </c>
      <c r="E302" s="97" t="s">
        <v>746</v>
      </c>
      <c r="F302" s="118" t="s">
        <v>747</v>
      </c>
      <c r="G302" s="97" t="s">
        <v>764</v>
      </c>
      <c r="H302" s="97" t="s">
        <v>530</v>
      </c>
      <c r="I302" s="106">
        <v>2025</v>
      </c>
      <c r="J302" s="59" t="s">
        <v>361</v>
      </c>
      <c r="K302" s="59" t="s">
        <v>361</v>
      </c>
      <c r="L302" s="21" t="s">
        <v>376</v>
      </c>
      <c r="M302" s="59">
        <v>240</v>
      </c>
      <c r="N302" s="108">
        <v>93696</v>
      </c>
      <c r="O302" s="103" t="s">
        <v>598</v>
      </c>
      <c r="P302" s="98" t="s">
        <v>361</v>
      </c>
      <c r="Q302" s="104" t="s">
        <v>361</v>
      </c>
      <c r="R302" s="97" t="s">
        <v>520</v>
      </c>
      <c r="S302" s="97" t="s">
        <v>264</v>
      </c>
      <c r="T302" s="97" t="s">
        <v>530</v>
      </c>
      <c r="U302" s="97">
        <v>2018</v>
      </c>
      <c r="V302" s="97" t="s">
        <v>304</v>
      </c>
      <c r="W302" s="111">
        <v>28.179543083654</v>
      </c>
      <c r="X302" s="111">
        <v>-80.605100579343897</v>
      </c>
      <c r="Y302" s="119" t="s">
        <v>598</v>
      </c>
      <c r="Z302" s="107"/>
      <c r="AA302" s="98" t="s">
        <v>1065</v>
      </c>
      <c r="AB302" s="21" t="s">
        <v>1064</v>
      </c>
      <c r="AC302" s="21" t="s">
        <v>1081</v>
      </c>
      <c r="AD302" s="21" t="s">
        <v>520</v>
      </c>
    </row>
    <row r="303" spans="1:30" x14ac:dyDescent="0.3">
      <c r="A303" s="99">
        <v>4358</v>
      </c>
      <c r="B303" s="97" t="s">
        <v>193</v>
      </c>
      <c r="C303" s="119" t="s">
        <v>361</v>
      </c>
      <c r="D303" s="153" t="s">
        <v>724</v>
      </c>
      <c r="E303" s="97" t="s">
        <v>748</v>
      </c>
      <c r="F303" s="118" t="s">
        <v>749</v>
      </c>
      <c r="G303" s="97" t="s">
        <v>694</v>
      </c>
      <c r="H303" s="97" t="s">
        <v>530</v>
      </c>
      <c r="I303" s="106">
        <v>2026</v>
      </c>
      <c r="J303" s="59">
        <v>72</v>
      </c>
      <c r="K303" s="59">
        <v>11</v>
      </c>
      <c r="L303" s="97" t="s">
        <v>376</v>
      </c>
      <c r="M303" s="116">
        <v>16.91</v>
      </c>
      <c r="N303" s="108">
        <v>148580</v>
      </c>
      <c r="O303" s="103" t="s">
        <v>598</v>
      </c>
      <c r="P303" s="98" t="s">
        <v>361</v>
      </c>
      <c r="Q303" s="104" t="s">
        <v>361</v>
      </c>
      <c r="R303" s="97" t="s">
        <v>520</v>
      </c>
      <c r="S303" s="97" t="s">
        <v>264</v>
      </c>
      <c r="T303" s="97" t="s">
        <v>530</v>
      </c>
      <c r="U303" s="97">
        <v>2018</v>
      </c>
      <c r="V303" s="97" t="s">
        <v>304</v>
      </c>
      <c r="W303" s="111">
        <v>28.157599866383499</v>
      </c>
      <c r="X303" s="111">
        <v>-80.588449788868203</v>
      </c>
      <c r="Y303" s="119" t="s">
        <v>598</v>
      </c>
      <c r="Z303" s="107"/>
      <c r="AA303" s="98" t="s">
        <v>1065</v>
      </c>
      <c r="AB303" s="21" t="s">
        <v>1064</v>
      </c>
      <c r="AC303" s="21" t="s">
        <v>1081</v>
      </c>
      <c r="AD303" s="21" t="s">
        <v>520</v>
      </c>
    </row>
    <row r="304" spans="1:30" x14ac:dyDescent="0.3">
      <c r="A304" s="99">
        <v>4359</v>
      </c>
      <c r="B304" s="97" t="s">
        <v>193</v>
      </c>
      <c r="C304" s="119" t="s">
        <v>361</v>
      </c>
      <c r="D304" s="153" t="s">
        <v>725</v>
      </c>
      <c r="E304" s="97" t="s">
        <v>750</v>
      </c>
      <c r="F304" s="118" t="s">
        <v>751</v>
      </c>
      <c r="G304" s="97" t="s">
        <v>694</v>
      </c>
      <c r="H304" s="97" t="s">
        <v>530</v>
      </c>
      <c r="I304" s="106">
        <v>2026</v>
      </c>
      <c r="J304" s="59" t="s">
        <v>361</v>
      </c>
      <c r="K304" s="59" t="s">
        <v>361</v>
      </c>
      <c r="L304" s="97" t="s">
        <v>376</v>
      </c>
      <c r="M304" s="116">
        <v>157</v>
      </c>
      <c r="N304" s="108">
        <v>102292</v>
      </c>
      <c r="O304" s="103" t="s">
        <v>598</v>
      </c>
      <c r="P304" s="98" t="s">
        <v>361</v>
      </c>
      <c r="Q304" s="104" t="s">
        <v>361</v>
      </c>
      <c r="R304" s="97" t="s">
        <v>520</v>
      </c>
      <c r="S304" s="97" t="s">
        <v>264</v>
      </c>
      <c r="T304" s="97" t="s">
        <v>530</v>
      </c>
      <c r="U304" s="97">
        <v>2018</v>
      </c>
      <c r="V304" s="97" t="s">
        <v>304</v>
      </c>
      <c r="W304" s="111">
        <v>28.1574953693341</v>
      </c>
      <c r="X304" s="111">
        <v>-80.597266980723901</v>
      </c>
      <c r="Y304" s="119" t="s">
        <v>598</v>
      </c>
      <c r="Z304" s="107"/>
      <c r="AA304" s="98" t="s">
        <v>1065</v>
      </c>
      <c r="AB304" s="21" t="s">
        <v>1064</v>
      </c>
      <c r="AC304" s="21" t="s">
        <v>1081</v>
      </c>
      <c r="AD304" s="21" t="s">
        <v>520</v>
      </c>
    </row>
    <row r="305" spans="1:30" x14ac:dyDescent="0.3">
      <c r="A305" s="99">
        <v>4360</v>
      </c>
      <c r="B305" s="97" t="s">
        <v>193</v>
      </c>
      <c r="C305" s="119" t="s">
        <v>361</v>
      </c>
      <c r="D305" s="153" t="s">
        <v>726</v>
      </c>
      <c r="E305" s="97" t="s">
        <v>752</v>
      </c>
      <c r="F305" s="118" t="s">
        <v>753</v>
      </c>
      <c r="G305" s="97" t="s">
        <v>522</v>
      </c>
      <c r="H305" s="97" t="s">
        <v>530</v>
      </c>
      <c r="I305" s="106">
        <v>2027</v>
      </c>
      <c r="J305" s="59" t="s">
        <v>361</v>
      </c>
      <c r="K305" s="59" t="s">
        <v>361</v>
      </c>
      <c r="L305" s="97" t="s">
        <v>376</v>
      </c>
      <c r="M305" s="116">
        <v>6</v>
      </c>
      <c r="N305" s="108">
        <v>241868</v>
      </c>
      <c r="O305" s="103" t="s">
        <v>598</v>
      </c>
      <c r="P305" s="98" t="s">
        <v>361</v>
      </c>
      <c r="Q305" s="104" t="s">
        <v>361</v>
      </c>
      <c r="R305" s="97" t="s">
        <v>520</v>
      </c>
      <c r="S305" s="97" t="s">
        <v>264</v>
      </c>
      <c r="T305" s="97" t="s">
        <v>530</v>
      </c>
      <c r="U305" s="97">
        <v>2018</v>
      </c>
      <c r="V305" s="97" t="s">
        <v>304</v>
      </c>
      <c r="W305" s="111">
        <v>28.175259831173801</v>
      </c>
      <c r="X305" s="111">
        <v>-80.592750390715494</v>
      </c>
      <c r="Y305" s="119" t="s">
        <v>598</v>
      </c>
      <c r="Z305" s="107"/>
      <c r="AA305" s="98" t="s">
        <v>1065</v>
      </c>
      <c r="AB305" s="21" t="s">
        <v>1064</v>
      </c>
      <c r="AC305" s="21" t="s">
        <v>1081</v>
      </c>
      <c r="AD305" s="21" t="s">
        <v>520</v>
      </c>
    </row>
    <row r="306" spans="1:30" x14ac:dyDescent="0.3">
      <c r="A306" s="99">
        <v>4361</v>
      </c>
      <c r="B306" s="97" t="s">
        <v>193</v>
      </c>
      <c r="C306" s="119" t="s">
        <v>361</v>
      </c>
      <c r="D306" s="153" t="s">
        <v>727</v>
      </c>
      <c r="E306" s="97" t="s">
        <v>754</v>
      </c>
      <c r="F306" s="118" t="s">
        <v>755</v>
      </c>
      <c r="G306" s="97" t="s">
        <v>764</v>
      </c>
      <c r="H306" s="97" t="s">
        <v>530</v>
      </c>
      <c r="I306" s="106">
        <v>2028</v>
      </c>
      <c r="J306" s="59" t="s">
        <v>361</v>
      </c>
      <c r="K306" s="59" t="s">
        <v>361</v>
      </c>
      <c r="L306" s="21" t="s">
        <v>376</v>
      </c>
      <c r="M306" s="59" t="s">
        <v>361</v>
      </c>
      <c r="N306" s="108">
        <v>138661</v>
      </c>
      <c r="O306" s="103" t="s">
        <v>598</v>
      </c>
      <c r="P306" s="98" t="s">
        <v>361</v>
      </c>
      <c r="Q306" s="104" t="s">
        <v>361</v>
      </c>
      <c r="R306" s="97" t="s">
        <v>520</v>
      </c>
      <c r="S306" s="97" t="s">
        <v>264</v>
      </c>
      <c r="T306" s="97" t="s">
        <v>530</v>
      </c>
      <c r="U306" s="97">
        <v>2018</v>
      </c>
      <c r="V306" s="97" t="s">
        <v>304</v>
      </c>
      <c r="W306" s="111">
        <v>28.185527040131699</v>
      </c>
      <c r="X306" s="111">
        <v>-80.607468887035196</v>
      </c>
      <c r="Y306" s="119" t="s">
        <v>598</v>
      </c>
      <c r="Z306" s="107"/>
      <c r="AA306" s="98" t="s">
        <v>1065</v>
      </c>
      <c r="AB306" s="21" t="s">
        <v>1064</v>
      </c>
      <c r="AC306" s="21" t="s">
        <v>1081</v>
      </c>
      <c r="AD306" s="21" t="s">
        <v>520</v>
      </c>
    </row>
    <row r="307" spans="1:30" x14ac:dyDescent="0.3">
      <c r="A307" s="99">
        <v>4362</v>
      </c>
      <c r="B307" s="97" t="s">
        <v>193</v>
      </c>
      <c r="C307" s="119" t="s">
        <v>361</v>
      </c>
      <c r="D307" s="153" t="s">
        <v>728</v>
      </c>
      <c r="E307" s="97" t="s">
        <v>756</v>
      </c>
      <c r="F307" s="118" t="s">
        <v>757</v>
      </c>
      <c r="G307" s="97" t="s">
        <v>758</v>
      </c>
      <c r="H307" s="97" t="s">
        <v>530</v>
      </c>
      <c r="I307" s="106">
        <v>2028</v>
      </c>
      <c r="J307" s="101" t="s">
        <v>361</v>
      </c>
      <c r="K307" s="101" t="s">
        <v>361</v>
      </c>
      <c r="L307" s="102" t="s">
        <v>376</v>
      </c>
      <c r="M307" s="101">
        <v>2</v>
      </c>
      <c r="N307" s="108">
        <v>20815</v>
      </c>
      <c r="O307" s="103" t="s">
        <v>598</v>
      </c>
      <c r="P307" s="98" t="s">
        <v>361</v>
      </c>
      <c r="Q307" s="104" t="s">
        <v>361</v>
      </c>
      <c r="R307" s="97" t="s">
        <v>520</v>
      </c>
      <c r="S307" s="97" t="s">
        <v>265</v>
      </c>
      <c r="T307" s="97" t="s">
        <v>530</v>
      </c>
      <c r="U307" s="97">
        <v>2018</v>
      </c>
      <c r="V307" s="97" t="s">
        <v>304</v>
      </c>
      <c r="W307" s="136" t="s">
        <v>598</v>
      </c>
      <c r="X307" s="136" t="s">
        <v>598</v>
      </c>
      <c r="Y307" s="119" t="s">
        <v>598</v>
      </c>
      <c r="Z307" s="107"/>
      <c r="AA307" s="97" t="s">
        <v>1065</v>
      </c>
      <c r="AB307" s="21" t="s">
        <v>1065</v>
      </c>
      <c r="AC307" s="21" t="s">
        <v>1074</v>
      </c>
      <c r="AD307" s="102" t="s">
        <v>1071</v>
      </c>
    </row>
    <row r="308" spans="1:30" x14ac:dyDescent="0.3">
      <c r="A308" s="99">
        <v>4363</v>
      </c>
      <c r="B308" s="97" t="s">
        <v>193</v>
      </c>
      <c r="C308" s="119" t="s">
        <v>361</v>
      </c>
      <c r="D308" s="153" t="s">
        <v>729</v>
      </c>
      <c r="E308" s="97" t="s">
        <v>759</v>
      </c>
      <c r="F308" s="118" t="s">
        <v>760</v>
      </c>
      <c r="G308" s="106" t="s">
        <v>791</v>
      </c>
      <c r="H308" s="97" t="s">
        <v>530</v>
      </c>
      <c r="I308" s="106">
        <v>2028</v>
      </c>
      <c r="J308" s="59">
        <v>71</v>
      </c>
      <c r="K308" s="59">
        <v>13</v>
      </c>
      <c r="L308" s="97" t="s">
        <v>376</v>
      </c>
      <c r="M308" s="116" t="s">
        <v>520</v>
      </c>
      <c r="N308" s="108">
        <v>40480</v>
      </c>
      <c r="O308" s="103" t="s">
        <v>598</v>
      </c>
      <c r="P308" s="98" t="s">
        <v>361</v>
      </c>
      <c r="Q308" s="104" t="s">
        <v>361</v>
      </c>
      <c r="R308" s="97" t="s">
        <v>520</v>
      </c>
      <c r="S308" s="97" t="s">
        <v>264</v>
      </c>
      <c r="T308" s="97" t="s">
        <v>530</v>
      </c>
      <c r="U308" s="97">
        <v>2018</v>
      </c>
      <c r="V308" s="97" t="s">
        <v>304</v>
      </c>
      <c r="W308" s="111">
        <v>28.172158598500602</v>
      </c>
      <c r="X308" s="111">
        <v>-80.604497872740097</v>
      </c>
      <c r="Y308" s="119" t="s">
        <v>598</v>
      </c>
      <c r="Z308" s="107"/>
      <c r="AA308" s="98" t="s">
        <v>1065</v>
      </c>
      <c r="AB308" s="21" t="s">
        <v>1064</v>
      </c>
      <c r="AC308" s="21" t="s">
        <v>1081</v>
      </c>
      <c r="AD308" s="21" t="s">
        <v>520</v>
      </c>
    </row>
    <row r="309" spans="1:30" x14ac:dyDescent="0.3">
      <c r="A309" s="99">
        <v>4364</v>
      </c>
      <c r="B309" s="97" t="s">
        <v>193</v>
      </c>
      <c r="C309" s="119" t="s">
        <v>361</v>
      </c>
      <c r="D309" s="153" t="s">
        <v>730</v>
      </c>
      <c r="E309" s="97" t="s">
        <v>761</v>
      </c>
      <c r="F309" s="118" t="s">
        <v>762</v>
      </c>
      <c r="G309" s="97" t="s">
        <v>694</v>
      </c>
      <c r="H309" s="97" t="s">
        <v>530</v>
      </c>
      <c r="I309" s="106">
        <v>2028</v>
      </c>
      <c r="J309" s="59" t="s">
        <v>361</v>
      </c>
      <c r="K309" s="59" t="s">
        <v>361</v>
      </c>
      <c r="L309" s="97" t="s">
        <v>376</v>
      </c>
      <c r="M309" s="116" t="s">
        <v>361</v>
      </c>
      <c r="N309" s="108">
        <v>69575</v>
      </c>
      <c r="O309" s="103" t="s">
        <v>598</v>
      </c>
      <c r="P309" s="98" t="s">
        <v>361</v>
      </c>
      <c r="Q309" s="104" t="s">
        <v>361</v>
      </c>
      <c r="R309" s="97" t="s">
        <v>520</v>
      </c>
      <c r="S309" s="97" t="s">
        <v>264</v>
      </c>
      <c r="T309" s="97" t="s">
        <v>530</v>
      </c>
      <c r="U309" s="97">
        <v>2018</v>
      </c>
      <c r="V309" s="97" t="s">
        <v>304</v>
      </c>
      <c r="W309" s="111">
        <v>28.1601183592607</v>
      </c>
      <c r="X309" s="111">
        <v>-80.597833553310807</v>
      </c>
      <c r="Y309" s="119" t="s">
        <v>598</v>
      </c>
      <c r="Z309" s="107"/>
      <c r="AA309" s="98" t="s">
        <v>1065</v>
      </c>
      <c r="AB309" s="21" t="s">
        <v>1064</v>
      </c>
      <c r="AC309" s="21" t="s">
        <v>1081</v>
      </c>
      <c r="AD309" s="21" t="s">
        <v>520</v>
      </c>
    </row>
  </sheetData>
  <autoFilter ref="A1:AD309" xr:uid="{8C0EDF5D-37A9-46BC-8F32-EAB78AB74AC7}">
    <sortState xmlns:xlrd2="http://schemas.microsoft.com/office/spreadsheetml/2017/richdata2" ref="A2:AD309">
      <sortCondition ref="D1:D309"/>
    </sortState>
  </autoFilter>
  <phoneticPr fontId="15" type="noConversion"/>
  <dataValidations count="1">
    <dataValidation type="list" allowBlank="1" sqref="S268:T269 G268:M269 P268:P269 S302:T303 G302:M303 P302:P303" xr:uid="{00000000-0002-0000-0100-000000000000}">
      <formula1>Project_Type</formula1>
    </dataValidation>
  </dataValidations>
  <pageMargins left="0.7" right="0.7" top="0.75" bottom="0.75" header="0.3" footer="0.3"/>
  <pageSetup orientation="portrait" r:id="rId1"/>
  <legacyDrawing r:id="rId2"/>
  <extLst>
    <ext xmlns:x15="http://schemas.microsoft.com/office/spreadsheetml/2010/11/main" uri="{F7C9EE02-42E1-4005-9D12-6889AFFD525C}">
      <x15:webExtensions xmlns:xm="http://schemas.microsoft.com/office/excel/2006/main">
        <x15:webExtension appRef="{6CDDE0A1-5701-405F-88C2-FC78812CCD69}">
          <xm:f>'BRL All Projects'!$A$1:$Y$309</xm:f>
        </x15:webExtension>
      </x15:webExtens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314F0-5671-4EED-A03F-EFF60A60D5DD}">
  <dimension ref="A1:F255"/>
  <sheetViews>
    <sheetView workbookViewId="0">
      <selection activeCell="R255" sqref="R255"/>
    </sheetView>
  </sheetViews>
  <sheetFormatPr defaultRowHeight="14.4" x14ac:dyDescent="0.3"/>
  <cols>
    <col min="12" max="12" width="13.109375" bestFit="1" customWidth="1"/>
    <col min="13" max="13" width="17.88671875" bestFit="1" customWidth="1"/>
    <col min="14" max="14" width="16.5546875" bestFit="1" customWidth="1"/>
    <col min="17" max="17" width="13.109375" bestFit="1" customWidth="1"/>
    <col min="18" max="18" width="16.5546875" bestFit="1" customWidth="1"/>
    <col min="19" max="19" width="15" bestFit="1" customWidth="1"/>
  </cols>
  <sheetData>
    <row r="1" spans="1:6" ht="27" x14ac:dyDescent="0.3">
      <c r="A1" s="62" t="s">
        <v>655</v>
      </c>
      <c r="B1" s="62" t="s">
        <v>854</v>
      </c>
      <c r="C1" s="62" t="s">
        <v>855</v>
      </c>
      <c r="D1" s="62" t="s">
        <v>856</v>
      </c>
      <c r="E1" s="14" t="s">
        <v>274</v>
      </c>
      <c r="F1" s="14" t="s">
        <v>275</v>
      </c>
    </row>
    <row r="2" spans="1:6" ht="171.6" x14ac:dyDescent="0.3">
      <c r="A2" s="58">
        <v>2390</v>
      </c>
      <c r="B2" s="15" t="s">
        <v>526</v>
      </c>
      <c r="C2" s="15" t="s">
        <v>527</v>
      </c>
      <c r="D2" s="22" t="s">
        <v>581</v>
      </c>
      <c r="E2" s="81">
        <v>28.164008079999999</v>
      </c>
      <c r="F2" s="81">
        <v>-80.601998050000006</v>
      </c>
    </row>
    <row r="3" spans="1:6" ht="145.19999999999999" x14ac:dyDescent="0.3">
      <c r="A3" s="15">
        <v>2393</v>
      </c>
      <c r="B3" s="15" t="s">
        <v>51</v>
      </c>
      <c r="C3" s="15" t="s">
        <v>52</v>
      </c>
      <c r="D3" s="15" t="s">
        <v>699</v>
      </c>
      <c r="E3" s="72">
        <v>28.391469352438101</v>
      </c>
      <c r="F3" s="72">
        <v>-80.672522589464293</v>
      </c>
    </row>
    <row r="4" spans="1:6" ht="145.19999999999999" x14ac:dyDescent="0.3">
      <c r="A4" s="15">
        <v>2394</v>
      </c>
      <c r="B4" s="15" t="s">
        <v>53</v>
      </c>
      <c r="C4" s="15" t="s">
        <v>54</v>
      </c>
      <c r="D4" s="15" t="s">
        <v>699</v>
      </c>
      <c r="E4" s="72">
        <v>28.3879832208953</v>
      </c>
      <c r="F4" s="72">
        <v>-80.673465317254397</v>
      </c>
    </row>
    <row r="5" spans="1:6" ht="158.4" x14ac:dyDescent="0.3">
      <c r="A5" s="15">
        <v>2396</v>
      </c>
      <c r="B5" s="15" t="s">
        <v>57</v>
      </c>
      <c r="C5" s="15" t="s">
        <v>58</v>
      </c>
      <c r="D5" s="15" t="s">
        <v>659</v>
      </c>
      <c r="E5" s="72">
        <v>28.384582796935099</v>
      </c>
      <c r="F5" s="72">
        <v>-80.699943820626302</v>
      </c>
    </row>
    <row r="6" spans="1:6" ht="66" x14ac:dyDescent="0.3">
      <c r="A6" s="15">
        <v>2397</v>
      </c>
      <c r="B6" s="15" t="s">
        <v>160</v>
      </c>
      <c r="C6" s="15" t="s">
        <v>161</v>
      </c>
      <c r="D6" s="23" t="s">
        <v>594</v>
      </c>
      <c r="E6" s="72">
        <v>28.320333999999999</v>
      </c>
      <c r="F6" s="72">
        <v>-80.609013000000004</v>
      </c>
    </row>
    <row r="7" spans="1:6" ht="382.8" x14ac:dyDescent="0.3">
      <c r="A7" s="15">
        <v>2399</v>
      </c>
      <c r="B7" s="15" t="s">
        <v>61</v>
      </c>
      <c r="C7" s="21" t="s">
        <v>62</v>
      </c>
      <c r="D7" s="58" t="s">
        <v>663</v>
      </c>
      <c r="E7" s="72">
        <v>28.3530375866554</v>
      </c>
      <c r="F7" s="72">
        <v>-80.689290769991999</v>
      </c>
    </row>
    <row r="8" spans="1:6" ht="198" x14ac:dyDescent="0.3">
      <c r="A8" s="15">
        <v>2400</v>
      </c>
      <c r="B8" s="15" t="s">
        <v>63</v>
      </c>
      <c r="C8" s="15" t="s">
        <v>64</v>
      </c>
      <c r="D8" s="15" t="s">
        <v>665</v>
      </c>
      <c r="E8" s="72">
        <v>28.339136664876701</v>
      </c>
      <c r="F8" s="72">
        <v>-80.690079220622806</v>
      </c>
    </row>
    <row r="9" spans="1:6" ht="145.19999999999999" x14ac:dyDescent="0.3">
      <c r="A9" s="15">
        <v>2402</v>
      </c>
      <c r="B9" s="15" t="s">
        <v>55</v>
      </c>
      <c r="C9" s="15" t="s">
        <v>56</v>
      </c>
      <c r="D9" s="15" t="s">
        <v>699</v>
      </c>
      <c r="E9" s="72">
        <v>28.379865613649699</v>
      </c>
      <c r="F9" s="72">
        <v>-80.672240324815505</v>
      </c>
    </row>
    <row r="10" spans="1:6" ht="39.6" x14ac:dyDescent="0.3">
      <c r="A10" s="15">
        <v>2404</v>
      </c>
      <c r="B10" s="15" t="s">
        <v>15</v>
      </c>
      <c r="C10" s="15" t="s">
        <v>16</v>
      </c>
      <c r="D10" s="15" t="s">
        <v>588</v>
      </c>
      <c r="E10" s="72">
        <v>28.5611184339114</v>
      </c>
      <c r="F10" s="72">
        <v>-80.651148300132704</v>
      </c>
    </row>
    <row r="11" spans="1:6" ht="66" x14ac:dyDescent="0.3">
      <c r="A11" s="15">
        <v>2405</v>
      </c>
      <c r="B11" s="15" t="s">
        <v>146</v>
      </c>
      <c r="C11" s="15" t="s">
        <v>463</v>
      </c>
      <c r="D11" s="15" t="s">
        <v>484</v>
      </c>
      <c r="E11" s="72">
        <v>28.396375302078599</v>
      </c>
      <c r="F11" s="72">
        <v>-80.602895940119197</v>
      </c>
    </row>
    <row r="12" spans="1:6" ht="330" x14ac:dyDescent="0.3">
      <c r="A12" s="15">
        <v>2406</v>
      </c>
      <c r="B12" s="15" t="s">
        <v>560</v>
      </c>
      <c r="C12" s="15" t="s">
        <v>567</v>
      </c>
      <c r="D12" s="15" t="s">
        <v>710</v>
      </c>
      <c r="E12" s="84">
        <v>28.5303</v>
      </c>
      <c r="F12" s="84">
        <v>-80.565939999999998</v>
      </c>
    </row>
    <row r="13" spans="1:6" ht="79.2" x14ac:dyDescent="0.3">
      <c r="A13" s="15">
        <v>2407</v>
      </c>
      <c r="B13" s="15" t="s">
        <v>13</v>
      </c>
      <c r="C13" s="15" t="s">
        <v>14</v>
      </c>
      <c r="D13" s="15" t="s">
        <v>588</v>
      </c>
      <c r="E13" s="72">
        <v>28.517976132514001</v>
      </c>
      <c r="F13" s="72">
        <v>-80.653274632727005</v>
      </c>
    </row>
    <row r="14" spans="1:6" ht="66" x14ac:dyDescent="0.3">
      <c r="A14" s="15">
        <v>2408</v>
      </c>
      <c r="B14" s="15" t="s">
        <v>11</v>
      </c>
      <c r="C14" s="15" t="s">
        <v>12</v>
      </c>
      <c r="D14" s="15" t="s">
        <v>588</v>
      </c>
      <c r="E14" s="72">
        <v>28.509147637668899</v>
      </c>
      <c r="F14" s="72">
        <v>-80.642192595229403</v>
      </c>
    </row>
    <row r="15" spans="1:6" ht="66" x14ac:dyDescent="0.3">
      <c r="A15" s="15">
        <v>2409</v>
      </c>
      <c r="B15" s="15" t="s">
        <v>9</v>
      </c>
      <c r="C15" s="15" t="s">
        <v>10</v>
      </c>
      <c r="D15" s="15" t="s">
        <v>588</v>
      </c>
      <c r="E15" s="72">
        <v>28.509122126926101</v>
      </c>
      <c r="F15" s="72">
        <v>-80.641033004584102</v>
      </c>
    </row>
    <row r="16" spans="1:6" ht="52.8" x14ac:dyDescent="0.3">
      <c r="A16" s="15">
        <v>2410</v>
      </c>
      <c r="B16" s="15" t="s">
        <v>436</v>
      </c>
      <c r="C16" s="15" t="s">
        <v>50</v>
      </c>
      <c r="D16" s="15" t="s">
        <v>588</v>
      </c>
      <c r="E16" s="72">
        <v>28.519530933072701</v>
      </c>
      <c r="F16" s="72">
        <v>-80.649324864294698</v>
      </c>
    </row>
    <row r="17" spans="1:6" ht="39.6" x14ac:dyDescent="0.3">
      <c r="A17" s="15">
        <v>2411</v>
      </c>
      <c r="B17" s="15" t="s">
        <v>435</v>
      </c>
      <c r="C17" s="15" t="s">
        <v>49</v>
      </c>
      <c r="D17" s="15" t="s">
        <v>588</v>
      </c>
      <c r="E17" s="72">
        <v>28.581238994485801</v>
      </c>
      <c r="F17" s="72">
        <v>-80.651435789821903</v>
      </c>
    </row>
    <row r="18" spans="1:6" ht="39.6" x14ac:dyDescent="0.3">
      <c r="A18" s="15">
        <v>2412</v>
      </c>
      <c r="B18" s="15" t="s">
        <v>434</v>
      </c>
      <c r="C18" s="15" t="s">
        <v>48</v>
      </c>
      <c r="D18" s="15" t="s">
        <v>588</v>
      </c>
      <c r="E18" s="72">
        <v>28.6055000709555</v>
      </c>
      <c r="F18" s="72">
        <v>-80.6135285728067</v>
      </c>
    </row>
    <row r="19" spans="1:6" ht="39.6" x14ac:dyDescent="0.3">
      <c r="A19" s="15">
        <v>2413</v>
      </c>
      <c r="B19" s="15" t="s">
        <v>433</v>
      </c>
      <c r="C19" s="15" t="s">
        <v>47</v>
      </c>
      <c r="D19" s="15" t="s">
        <v>588</v>
      </c>
      <c r="E19" s="72">
        <v>28.520897148783501</v>
      </c>
      <c r="F19" s="72">
        <v>-80.653649783412206</v>
      </c>
    </row>
    <row r="20" spans="1:6" ht="92.4" x14ac:dyDescent="0.3">
      <c r="A20" s="15">
        <v>2414</v>
      </c>
      <c r="B20" s="15" t="s">
        <v>432</v>
      </c>
      <c r="C20" s="15" t="s">
        <v>46</v>
      </c>
      <c r="D20" s="15" t="s">
        <v>588</v>
      </c>
      <c r="E20" s="72">
        <v>28.5118949029115</v>
      </c>
      <c r="F20" s="72">
        <v>-80.642047073193396</v>
      </c>
    </row>
    <row r="21" spans="1:6" ht="52.8" x14ac:dyDescent="0.3">
      <c r="A21" s="15">
        <v>2415</v>
      </c>
      <c r="B21" s="15" t="s">
        <v>431</v>
      </c>
      <c r="C21" s="15" t="s">
        <v>45</v>
      </c>
      <c r="D21" s="15" t="s">
        <v>588</v>
      </c>
      <c r="E21" s="72">
        <v>28.5086503453761</v>
      </c>
      <c r="F21" s="72">
        <v>-80.634729015546299</v>
      </c>
    </row>
    <row r="22" spans="1:6" ht="66" x14ac:dyDescent="0.3">
      <c r="A22" s="15">
        <v>2416</v>
      </c>
      <c r="B22" s="15" t="s">
        <v>156</v>
      </c>
      <c r="C22" s="15" t="s">
        <v>157</v>
      </c>
      <c r="D22" s="23" t="s">
        <v>597</v>
      </c>
      <c r="E22" s="72">
        <v>28.155845348384499</v>
      </c>
      <c r="F22" s="72">
        <v>-80.600218484668801</v>
      </c>
    </row>
    <row r="23" spans="1:6" ht="92.4" x14ac:dyDescent="0.3">
      <c r="A23" s="15">
        <v>2417</v>
      </c>
      <c r="B23" s="15" t="s">
        <v>429</v>
      </c>
      <c r="C23" s="15" t="s">
        <v>626</v>
      </c>
      <c r="D23" s="15" t="s">
        <v>588</v>
      </c>
      <c r="E23" s="72">
        <v>28.490173965711399</v>
      </c>
      <c r="F23" s="72">
        <v>-80.652097164621097</v>
      </c>
    </row>
    <row r="24" spans="1:6" ht="66" x14ac:dyDescent="0.3">
      <c r="A24" s="15">
        <v>2418</v>
      </c>
      <c r="B24" s="15" t="s">
        <v>422</v>
      </c>
      <c r="C24" s="15" t="s">
        <v>167</v>
      </c>
      <c r="D24" s="23" t="s">
        <v>593</v>
      </c>
      <c r="E24" s="72">
        <v>28.138561570990699</v>
      </c>
      <c r="F24" s="72">
        <v>-80.594356470439493</v>
      </c>
    </row>
    <row r="25" spans="1:6" ht="66" x14ac:dyDescent="0.3">
      <c r="A25" s="15">
        <v>2422</v>
      </c>
      <c r="B25" s="15" t="s">
        <v>162</v>
      </c>
      <c r="C25" s="15" t="s">
        <v>163</v>
      </c>
      <c r="D25" s="23" t="s">
        <v>594</v>
      </c>
      <c r="E25" s="72">
        <v>28.3226542447496</v>
      </c>
      <c r="F25" s="72">
        <v>-80.609886569545097</v>
      </c>
    </row>
    <row r="26" spans="1:6" ht="66" x14ac:dyDescent="0.3">
      <c r="A26" s="15">
        <v>2423</v>
      </c>
      <c r="B26" s="15" t="s">
        <v>158</v>
      </c>
      <c r="C26" s="15" t="s">
        <v>159</v>
      </c>
      <c r="D26" s="23" t="s">
        <v>595</v>
      </c>
      <c r="E26" s="72">
        <v>28.161462499588499</v>
      </c>
      <c r="F26" s="72">
        <v>-80.603783044996405</v>
      </c>
    </row>
    <row r="27" spans="1:6" ht="66" x14ac:dyDescent="0.3">
      <c r="A27" s="15">
        <v>2424</v>
      </c>
      <c r="B27" s="15" t="s">
        <v>427</v>
      </c>
      <c r="C27" s="15" t="s">
        <v>172</v>
      </c>
      <c r="D27" s="23" t="s">
        <v>594</v>
      </c>
      <c r="E27" s="72">
        <v>28.268580855643702</v>
      </c>
      <c r="F27" s="72">
        <v>-80.606237110007299</v>
      </c>
    </row>
    <row r="28" spans="1:6" ht="66" x14ac:dyDescent="0.3">
      <c r="A28" s="15">
        <v>2425</v>
      </c>
      <c r="B28" s="15" t="s">
        <v>426</v>
      </c>
      <c r="C28" s="15" t="s">
        <v>171</v>
      </c>
      <c r="D28" s="23" t="s">
        <v>594</v>
      </c>
      <c r="E28" s="72">
        <v>28.149061914531</v>
      </c>
      <c r="F28" s="72">
        <v>-80.599510079589294</v>
      </c>
    </row>
    <row r="29" spans="1:6" ht="66" x14ac:dyDescent="0.3">
      <c r="A29" s="15">
        <v>2426</v>
      </c>
      <c r="B29" s="15" t="s">
        <v>17</v>
      </c>
      <c r="C29" s="15" t="s">
        <v>18</v>
      </c>
      <c r="D29" s="15" t="s">
        <v>588</v>
      </c>
      <c r="E29" s="72">
        <v>28.580586845384602</v>
      </c>
      <c r="F29" s="72">
        <v>-80.648960027969096</v>
      </c>
    </row>
    <row r="30" spans="1:6" ht="66" x14ac:dyDescent="0.3">
      <c r="A30" s="15">
        <v>2427</v>
      </c>
      <c r="B30" s="15" t="s">
        <v>425</v>
      </c>
      <c r="C30" s="15" t="s">
        <v>170</v>
      </c>
      <c r="D30" s="23" t="s">
        <v>596</v>
      </c>
      <c r="E30" s="72">
        <v>28.144496085249902</v>
      </c>
      <c r="F30" s="72">
        <v>-80.598761820027903</v>
      </c>
    </row>
    <row r="31" spans="1:6" ht="145.19999999999999" x14ac:dyDescent="0.3">
      <c r="A31" s="15">
        <v>2428</v>
      </c>
      <c r="B31" s="15" t="s">
        <v>443</v>
      </c>
      <c r="C31" s="15" t="s">
        <v>94</v>
      </c>
      <c r="D31" s="15" t="s">
        <v>699</v>
      </c>
      <c r="E31" s="72">
        <v>28.400693464785299</v>
      </c>
      <c r="F31" s="72">
        <v>-80.673771909704797</v>
      </c>
    </row>
    <row r="32" spans="1:6" ht="66" x14ac:dyDescent="0.3">
      <c r="A32" s="15">
        <v>2429</v>
      </c>
      <c r="B32" s="15" t="s">
        <v>424</v>
      </c>
      <c r="C32" s="15" t="s">
        <v>169</v>
      </c>
      <c r="D32" s="23" t="s">
        <v>595</v>
      </c>
      <c r="E32" s="72">
        <v>28.140075393076799</v>
      </c>
      <c r="F32" s="72">
        <v>-80.598741003361098</v>
      </c>
    </row>
    <row r="33" spans="1:6" ht="66" x14ac:dyDescent="0.3">
      <c r="A33" s="15">
        <v>2430</v>
      </c>
      <c r="B33" s="15" t="s">
        <v>423</v>
      </c>
      <c r="C33" s="15" t="s">
        <v>168</v>
      </c>
      <c r="D33" s="23" t="s">
        <v>594</v>
      </c>
      <c r="E33" s="72">
        <v>28.357415015404602</v>
      </c>
      <c r="F33" s="72">
        <v>-80.663853300850207</v>
      </c>
    </row>
    <row r="34" spans="1:6" ht="79.2" x14ac:dyDescent="0.3">
      <c r="A34" s="15">
        <v>2431</v>
      </c>
      <c r="B34" s="15" t="s">
        <v>430</v>
      </c>
      <c r="C34" s="15" t="s">
        <v>888</v>
      </c>
      <c r="D34" s="15" t="s">
        <v>588</v>
      </c>
      <c r="E34" s="72">
        <v>28.460662567092101</v>
      </c>
      <c r="F34" s="72">
        <v>-80.664599712257001</v>
      </c>
    </row>
    <row r="35" spans="1:6" ht="39.6" x14ac:dyDescent="0.3">
      <c r="A35" s="58">
        <v>2432</v>
      </c>
      <c r="B35" s="15" t="s">
        <v>236</v>
      </c>
      <c r="C35" s="15" t="s">
        <v>237</v>
      </c>
      <c r="D35" s="15" t="s">
        <v>503</v>
      </c>
      <c r="E35" s="81">
        <v>28.1722096880642</v>
      </c>
      <c r="F35" s="81">
        <v>-80.597203154344996</v>
      </c>
    </row>
    <row r="36" spans="1:6" ht="79.2" x14ac:dyDescent="0.3">
      <c r="A36" s="15">
        <v>2433</v>
      </c>
      <c r="B36" s="15" t="s">
        <v>149</v>
      </c>
      <c r="C36" s="15" t="s">
        <v>150</v>
      </c>
      <c r="D36" s="15" t="s">
        <v>487</v>
      </c>
      <c r="E36" s="72">
        <v>28.394667155192799</v>
      </c>
      <c r="F36" s="72">
        <v>-80.608155689574204</v>
      </c>
    </row>
    <row r="37" spans="1:6" ht="52.8" x14ac:dyDescent="0.3">
      <c r="A37" s="15">
        <v>2436</v>
      </c>
      <c r="B37" s="15" t="s">
        <v>144</v>
      </c>
      <c r="C37" s="15" t="s">
        <v>462</v>
      </c>
      <c r="D37" s="69" t="s">
        <v>956</v>
      </c>
      <c r="E37" s="72">
        <v>28.387071090410998</v>
      </c>
      <c r="F37" s="72">
        <v>-80.601781004748702</v>
      </c>
    </row>
    <row r="38" spans="1:6" ht="66" x14ac:dyDescent="0.3">
      <c r="A38" s="15">
        <v>2437</v>
      </c>
      <c r="B38" s="15" t="s">
        <v>142</v>
      </c>
      <c r="C38" s="15" t="s">
        <v>461</v>
      </c>
      <c r="D38" s="15" t="s">
        <v>485</v>
      </c>
      <c r="E38" s="72">
        <v>28.3962598045843</v>
      </c>
      <c r="F38" s="72">
        <v>-80.604848074011997</v>
      </c>
    </row>
    <row r="39" spans="1:6" ht="92.4" x14ac:dyDescent="0.3">
      <c r="A39" s="15">
        <v>2438</v>
      </c>
      <c r="B39" s="15" t="s">
        <v>141</v>
      </c>
      <c r="C39" s="15" t="s">
        <v>460</v>
      </c>
      <c r="D39" s="15" t="s">
        <v>485</v>
      </c>
      <c r="E39" s="72">
        <v>28.3976035575018</v>
      </c>
      <c r="F39" s="72">
        <v>-80.618838822813302</v>
      </c>
    </row>
    <row r="40" spans="1:6" ht="39.6" x14ac:dyDescent="0.3">
      <c r="A40" s="58">
        <v>2439</v>
      </c>
      <c r="B40" s="15" t="s">
        <v>223</v>
      </c>
      <c r="C40" s="15" t="s">
        <v>224</v>
      </c>
      <c r="D40" s="15" t="s">
        <v>503</v>
      </c>
      <c r="E40" s="81">
        <v>28.1723371868434</v>
      </c>
      <c r="F40" s="81">
        <v>-80.602065028378107</v>
      </c>
    </row>
    <row r="41" spans="1:6" ht="39.6" x14ac:dyDescent="0.3">
      <c r="A41" s="58">
        <v>2440</v>
      </c>
      <c r="B41" s="15" t="s">
        <v>225</v>
      </c>
      <c r="C41" s="15" t="s">
        <v>226</v>
      </c>
      <c r="D41" s="15" t="s">
        <v>503</v>
      </c>
      <c r="E41" s="81">
        <v>28.171897627669299</v>
      </c>
      <c r="F41" s="81">
        <v>-80.6028152876397</v>
      </c>
    </row>
    <row r="42" spans="1:6" ht="39.6" x14ac:dyDescent="0.3">
      <c r="A42" s="58">
        <v>2441</v>
      </c>
      <c r="B42" s="15" t="s">
        <v>227</v>
      </c>
      <c r="C42" s="15" t="s">
        <v>228</v>
      </c>
      <c r="D42" s="15" t="s">
        <v>503</v>
      </c>
      <c r="E42" s="81">
        <v>28.171901738580299</v>
      </c>
      <c r="F42" s="81">
        <v>-80.602021231062295</v>
      </c>
    </row>
    <row r="43" spans="1:6" ht="39.6" x14ac:dyDescent="0.3">
      <c r="A43" s="58">
        <v>2442</v>
      </c>
      <c r="B43" s="15" t="s">
        <v>229</v>
      </c>
      <c r="C43" s="15" t="s">
        <v>887</v>
      </c>
      <c r="D43" s="15" t="s">
        <v>503</v>
      </c>
      <c r="E43" s="81">
        <v>28.172356113103501</v>
      </c>
      <c r="F43" s="81">
        <v>-80.6012170891062</v>
      </c>
    </row>
    <row r="44" spans="1:6" ht="39.6" x14ac:dyDescent="0.3">
      <c r="A44" s="58">
        <v>2443</v>
      </c>
      <c r="B44" s="15" t="s">
        <v>230</v>
      </c>
      <c r="C44" s="15" t="s">
        <v>231</v>
      </c>
      <c r="D44" s="15" t="s">
        <v>503</v>
      </c>
      <c r="E44" s="81">
        <v>28.171177128067701</v>
      </c>
      <c r="F44" s="81">
        <v>-80.601233359150498</v>
      </c>
    </row>
    <row r="45" spans="1:6" ht="132" x14ac:dyDescent="0.3">
      <c r="A45" s="15">
        <v>2444</v>
      </c>
      <c r="B45" s="15" t="s">
        <v>153</v>
      </c>
      <c r="C45" s="15" t="s">
        <v>540</v>
      </c>
      <c r="D45" s="15" t="s">
        <v>542</v>
      </c>
      <c r="E45" s="72">
        <v>28.396122999999999</v>
      </c>
      <c r="F45" s="72">
        <v>-80.608024999999998</v>
      </c>
    </row>
    <row r="46" spans="1:6" ht="39.6" x14ac:dyDescent="0.3">
      <c r="A46" s="58">
        <v>2445</v>
      </c>
      <c r="B46" s="15" t="s">
        <v>234</v>
      </c>
      <c r="C46" s="15" t="s">
        <v>235</v>
      </c>
      <c r="D46" s="15" t="s">
        <v>503</v>
      </c>
      <c r="E46" s="81">
        <v>28.171240395528201</v>
      </c>
      <c r="F46" s="81">
        <v>-80.600174715652599</v>
      </c>
    </row>
    <row r="47" spans="1:6" ht="92.4" x14ac:dyDescent="0.3">
      <c r="A47" s="15">
        <v>2446</v>
      </c>
      <c r="B47" s="15" t="s">
        <v>154</v>
      </c>
      <c r="C47" s="15" t="s">
        <v>155</v>
      </c>
      <c r="D47" s="15" t="s">
        <v>489</v>
      </c>
      <c r="E47" s="72">
        <v>28.392517999999999</v>
      </c>
      <c r="F47" s="72">
        <v>-80.618622000000002</v>
      </c>
    </row>
    <row r="48" spans="1:6" ht="39.6" x14ac:dyDescent="0.3">
      <c r="A48" s="58">
        <v>2447</v>
      </c>
      <c r="B48" s="15" t="s">
        <v>238</v>
      </c>
      <c r="C48" s="15" t="s">
        <v>239</v>
      </c>
      <c r="D48" s="15" t="s">
        <v>503</v>
      </c>
      <c r="E48" s="81">
        <v>28.1722096880642</v>
      </c>
      <c r="F48" s="81">
        <v>-80.597203154344996</v>
      </c>
    </row>
    <row r="49" spans="1:6" ht="39.6" x14ac:dyDescent="0.3">
      <c r="A49" s="58">
        <v>2448</v>
      </c>
      <c r="B49" s="15" t="s">
        <v>240</v>
      </c>
      <c r="C49" s="15" t="s">
        <v>241</v>
      </c>
      <c r="D49" s="15" t="s">
        <v>503</v>
      </c>
      <c r="E49" s="81">
        <v>28.172229617607599</v>
      </c>
      <c r="F49" s="81">
        <v>-80.595541844350393</v>
      </c>
    </row>
    <row r="50" spans="1:6" ht="39.6" x14ac:dyDescent="0.3">
      <c r="A50" s="58">
        <v>2449</v>
      </c>
      <c r="B50" s="15" t="s">
        <v>242</v>
      </c>
      <c r="C50" s="15" t="s">
        <v>243</v>
      </c>
      <c r="D50" s="15" t="s">
        <v>503</v>
      </c>
      <c r="E50" s="81">
        <v>28.172413386878201</v>
      </c>
      <c r="F50" s="81">
        <v>-80.594536368432102</v>
      </c>
    </row>
    <row r="51" spans="1:6" ht="39.6" x14ac:dyDescent="0.3">
      <c r="A51" s="58">
        <v>2450</v>
      </c>
      <c r="B51" s="15" t="s">
        <v>244</v>
      </c>
      <c r="C51" s="15" t="s">
        <v>245</v>
      </c>
      <c r="D51" s="15" t="s">
        <v>503</v>
      </c>
      <c r="E51" s="81">
        <v>28.172564400443498</v>
      </c>
      <c r="F51" s="81">
        <v>-80.591918625522396</v>
      </c>
    </row>
    <row r="52" spans="1:6" ht="39.6" x14ac:dyDescent="0.3">
      <c r="A52" s="58">
        <v>2451</v>
      </c>
      <c r="B52" s="15" t="s">
        <v>246</v>
      </c>
      <c r="C52" s="15" t="s">
        <v>247</v>
      </c>
      <c r="D52" s="15" t="s">
        <v>503</v>
      </c>
      <c r="E52" s="81">
        <v>28.172416740929599</v>
      </c>
      <c r="F52" s="81">
        <v>-80.591247099086104</v>
      </c>
    </row>
    <row r="53" spans="1:6" ht="39.6" x14ac:dyDescent="0.3">
      <c r="A53" s="58">
        <v>2452</v>
      </c>
      <c r="B53" s="15" t="s">
        <v>248</v>
      </c>
      <c r="C53" s="15" t="s">
        <v>249</v>
      </c>
      <c r="D53" s="15" t="s">
        <v>503</v>
      </c>
      <c r="E53" s="81">
        <v>28.172180272429099</v>
      </c>
      <c r="F53" s="81">
        <v>-80.594672983355494</v>
      </c>
    </row>
    <row r="54" spans="1:6" ht="39.6" x14ac:dyDescent="0.3">
      <c r="A54" s="58">
        <v>2453</v>
      </c>
      <c r="B54" s="15" t="s">
        <v>250</v>
      </c>
      <c r="C54" s="15" t="s">
        <v>251</v>
      </c>
      <c r="D54" s="15" t="s">
        <v>503</v>
      </c>
      <c r="E54" s="81">
        <v>28.172167825739599</v>
      </c>
      <c r="F54" s="81">
        <v>-80.593476326622493</v>
      </c>
    </row>
    <row r="55" spans="1:6" ht="39.6" x14ac:dyDescent="0.3">
      <c r="A55" s="58">
        <v>2454</v>
      </c>
      <c r="B55" s="15" t="s">
        <v>253</v>
      </c>
      <c r="C55" s="15" t="s">
        <v>254</v>
      </c>
      <c r="D55" s="15" t="s">
        <v>503</v>
      </c>
      <c r="E55" s="81">
        <v>28.1721738802365</v>
      </c>
      <c r="F55" s="81">
        <v>-80.591251018692503</v>
      </c>
    </row>
    <row r="56" spans="1:6" ht="39.6" x14ac:dyDescent="0.3">
      <c r="A56" s="58">
        <v>2455</v>
      </c>
      <c r="B56" s="15" t="s">
        <v>524</v>
      </c>
      <c r="C56" s="15" t="s">
        <v>529</v>
      </c>
      <c r="D56" s="15" t="s">
        <v>589</v>
      </c>
      <c r="E56" s="81" t="s">
        <v>1060</v>
      </c>
      <c r="F56" s="81">
        <v>-80.598979220000004</v>
      </c>
    </row>
    <row r="57" spans="1:6" ht="39.6" x14ac:dyDescent="0.3">
      <c r="A57" s="58">
        <v>2456</v>
      </c>
      <c r="B57" s="15" t="s">
        <v>525</v>
      </c>
      <c r="C57" s="15" t="s">
        <v>529</v>
      </c>
      <c r="D57" s="15" t="s">
        <v>590</v>
      </c>
      <c r="E57" s="81">
        <v>28.179697180000002</v>
      </c>
      <c r="F57" s="81">
        <v>-80.598979220000004</v>
      </c>
    </row>
    <row r="58" spans="1:6" ht="145.19999999999999" x14ac:dyDescent="0.3">
      <c r="A58" s="15">
        <v>2457</v>
      </c>
      <c r="B58" s="15" t="s">
        <v>442</v>
      </c>
      <c r="C58" s="15" t="s">
        <v>93</v>
      </c>
      <c r="D58" s="15" t="s">
        <v>699</v>
      </c>
      <c r="E58" s="72">
        <v>28.395735001238801</v>
      </c>
      <c r="F58" s="72">
        <v>-80.675039191508006</v>
      </c>
    </row>
    <row r="59" spans="1:6" ht="39.6" x14ac:dyDescent="0.3">
      <c r="A59" s="58">
        <v>2459</v>
      </c>
      <c r="B59" s="15" t="s">
        <v>232</v>
      </c>
      <c r="C59" s="15" t="s">
        <v>233</v>
      </c>
      <c r="D59" s="15" t="s">
        <v>503</v>
      </c>
      <c r="E59" s="81">
        <v>28.172368890994399</v>
      </c>
      <c r="F59" s="81">
        <v>-80.599728087506094</v>
      </c>
    </row>
    <row r="60" spans="1:6" ht="92.4" x14ac:dyDescent="0.3">
      <c r="A60" s="15">
        <v>2460</v>
      </c>
      <c r="B60" s="15" t="s">
        <v>393</v>
      </c>
      <c r="C60" s="15" t="s">
        <v>609</v>
      </c>
      <c r="D60" s="15" t="s">
        <v>588</v>
      </c>
      <c r="E60" s="72">
        <v>28.360763119542298</v>
      </c>
      <c r="F60" s="72">
        <v>-80.605044771652004</v>
      </c>
    </row>
    <row r="61" spans="1:6" ht="118.8" x14ac:dyDescent="0.3">
      <c r="A61" s="15">
        <v>2464</v>
      </c>
      <c r="B61" s="15" t="s">
        <v>383</v>
      </c>
      <c r="C61" s="15" t="s">
        <v>278</v>
      </c>
      <c r="D61" s="15" t="s">
        <v>531</v>
      </c>
      <c r="E61" s="72">
        <v>28.3749361035383</v>
      </c>
      <c r="F61" s="72">
        <v>-80.606346869190304</v>
      </c>
    </row>
    <row r="62" spans="1:6" ht="118.8" x14ac:dyDescent="0.3">
      <c r="A62" s="15">
        <v>2465</v>
      </c>
      <c r="B62" s="15" t="s">
        <v>384</v>
      </c>
      <c r="C62" s="15" t="s">
        <v>279</v>
      </c>
      <c r="D62" s="15" t="s">
        <v>532</v>
      </c>
      <c r="E62" s="72">
        <v>28.382044117292899</v>
      </c>
      <c r="F62" s="72">
        <v>-80.603857373959201</v>
      </c>
    </row>
    <row r="63" spans="1:6" ht="118.8" x14ac:dyDescent="0.3">
      <c r="A63" s="15">
        <v>2466</v>
      </c>
      <c r="B63" s="15" t="s">
        <v>385</v>
      </c>
      <c r="C63" s="15" t="s">
        <v>882</v>
      </c>
      <c r="D63" s="15" t="s">
        <v>533</v>
      </c>
      <c r="E63" s="72">
        <v>28.388185698768801</v>
      </c>
      <c r="F63" s="72">
        <v>-80.602861849615707</v>
      </c>
    </row>
    <row r="64" spans="1:6" ht="118.8" x14ac:dyDescent="0.3">
      <c r="A64" s="15">
        <v>2467</v>
      </c>
      <c r="B64" s="15" t="s">
        <v>386</v>
      </c>
      <c r="C64" s="15" t="s">
        <v>280</v>
      </c>
      <c r="D64" s="15" t="s">
        <v>534</v>
      </c>
      <c r="E64" s="72">
        <v>28.3961230249623</v>
      </c>
      <c r="F64" s="72">
        <v>-80.615634070741507</v>
      </c>
    </row>
    <row r="65" spans="1:6" ht="92.4" x14ac:dyDescent="0.3">
      <c r="A65" s="15">
        <v>2468</v>
      </c>
      <c r="B65" s="15" t="s">
        <v>387</v>
      </c>
      <c r="C65" s="15" t="s">
        <v>281</v>
      </c>
      <c r="D65" s="15" t="s">
        <v>535</v>
      </c>
      <c r="E65" s="72">
        <v>28.392499132907599</v>
      </c>
      <c r="F65" s="72">
        <v>-80.617712101443004</v>
      </c>
    </row>
    <row r="66" spans="1:6" ht="145.19999999999999" x14ac:dyDescent="0.3">
      <c r="A66" s="15">
        <v>2469</v>
      </c>
      <c r="B66" s="15" t="s">
        <v>388</v>
      </c>
      <c r="C66" s="15" t="s">
        <v>282</v>
      </c>
      <c r="D66" s="15" t="s">
        <v>536</v>
      </c>
      <c r="E66" s="72">
        <v>28.3971961609979</v>
      </c>
      <c r="F66" s="72">
        <v>-80.601454869591095</v>
      </c>
    </row>
    <row r="67" spans="1:6" ht="132" x14ac:dyDescent="0.3">
      <c r="A67" s="15">
        <v>2470</v>
      </c>
      <c r="B67" s="15" t="s">
        <v>389</v>
      </c>
      <c r="C67" s="15" t="s">
        <v>480</v>
      </c>
      <c r="D67" s="15" t="s">
        <v>537</v>
      </c>
      <c r="E67" s="72">
        <v>28.4007115390535</v>
      </c>
      <c r="F67" s="72">
        <v>-80.607057218162097</v>
      </c>
    </row>
    <row r="68" spans="1:6" ht="132" x14ac:dyDescent="0.3">
      <c r="A68" s="15">
        <v>2472</v>
      </c>
      <c r="B68" s="15" t="s">
        <v>152</v>
      </c>
      <c r="C68" s="15" t="s">
        <v>465</v>
      </c>
      <c r="D68" s="15" t="s">
        <v>464</v>
      </c>
      <c r="E68" s="72">
        <v>28.392468692923199</v>
      </c>
      <c r="F68" s="72">
        <v>-80.617801922165597</v>
      </c>
    </row>
    <row r="69" spans="1:6" ht="66" x14ac:dyDescent="0.3">
      <c r="A69" s="15">
        <v>2475</v>
      </c>
      <c r="B69" s="15" t="s">
        <v>392</v>
      </c>
      <c r="C69" s="15" t="s">
        <v>96</v>
      </c>
      <c r="D69" s="15" t="s">
        <v>494</v>
      </c>
      <c r="E69" s="72">
        <v>28.333858856067099</v>
      </c>
      <c r="F69" s="72">
        <v>-80.609583691838594</v>
      </c>
    </row>
    <row r="70" spans="1:6" ht="52.8" x14ac:dyDescent="0.3">
      <c r="A70" s="15">
        <v>2476</v>
      </c>
      <c r="B70" s="15" t="s">
        <v>380</v>
      </c>
      <c r="C70" s="15" t="s">
        <v>466</v>
      </c>
      <c r="D70" s="15" t="s">
        <v>491</v>
      </c>
      <c r="E70" s="72">
        <v>28.3711951509054</v>
      </c>
      <c r="F70" s="72">
        <v>-80.607243013648798</v>
      </c>
    </row>
    <row r="71" spans="1:6" ht="118.8" x14ac:dyDescent="0.3">
      <c r="A71" s="15">
        <v>2477</v>
      </c>
      <c r="B71" s="15" t="s">
        <v>293</v>
      </c>
      <c r="C71" s="15" t="s">
        <v>301</v>
      </c>
      <c r="D71" s="15" t="s">
        <v>545</v>
      </c>
      <c r="E71" s="72">
        <v>28.3723657456318</v>
      </c>
      <c r="F71" s="72">
        <v>-80.606627545206294</v>
      </c>
    </row>
    <row r="72" spans="1:6" ht="39.6" x14ac:dyDescent="0.3">
      <c r="A72" s="15">
        <v>2478</v>
      </c>
      <c r="B72" s="15" t="s">
        <v>292</v>
      </c>
      <c r="C72" s="15" t="s">
        <v>303</v>
      </c>
      <c r="D72" s="15" t="s">
        <v>547</v>
      </c>
      <c r="E72" s="72">
        <v>28.374906601419099</v>
      </c>
      <c r="F72" s="72">
        <v>-80.603215131823006</v>
      </c>
    </row>
    <row r="73" spans="1:6" ht="39.6" x14ac:dyDescent="0.3">
      <c r="A73" s="15">
        <v>2479</v>
      </c>
      <c r="B73" s="15" t="s">
        <v>291</v>
      </c>
      <c r="C73" s="15" t="s">
        <v>300</v>
      </c>
      <c r="D73" s="15" t="s">
        <v>547</v>
      </c>
      <c r="E73" s="72">
        <v>28.382169689765199</v>
      </c>
      <c r="F73" s="72">
        <v>-80.603211544079201</v>
      </c>
    </row>
    <row r="74" spans="1:6" ht="132" x14ac:dyDescent="0.3">
      <c r="A74" s="15">
        <v>2480</v>
      </c>
      <c r="B74" s="15" t="s">
        <v>290</v>
      </c>
      <c r="C74" s="15" t="s">
        <v>299</v>
      </c>
      <c r="D74" s="15" t="s">
        <v>546</v>
      </c>
      <c r="E74" s="72">
        <v>28.385048445656398</v>
      </c>
      <c r="F74" s="72">
        <v>-80.606958899851506</v>
      </c>
    </row>
    <row r="75" spans="1:6" ht="118.8" x14ac:dyDescent="0.3">
      <c r="A75" s="15">
        <v>2481</v>
      </c>
      <c r="B75" s="15" t="s">
        <v>289</v>
      </c>
      <c r="C75" s="15" t="s">
        <v>298</v>
      </c>
      <c r="D75" s="15" t="s">
        <v>545</v>
      </c>
      <c r="E75" s="72">
        <v>28.385640530868798</v>
      </c>
      <c r="F75" s="72">
        <v>-80.607596187082294</v>
      </c>
    </row>
    <row r="76" spans="1:6" ht="92.4" x14ac:dyDescent="0.3">
      <c r="A76" s="15">
        <v>2482</v>
      </c>
      <c r="B76" s="15" t="s">
        <v>288</v>
      </c>
      <c r="C76" s="15" t="s">
        <v>297</v>
      </c>
      <c r="D76" s="15" t="s">
        <v>544</v>
      </c>
      <c r="E76" s="72">
        <v>28.388860537447901</v>
      </c>
      <c r="F76" s="72">
        <v>-80.601234441154702</v>
      </c>
    </row>
    <row r="77" spans="1:6" ht="92.4" x14ac:dyDescent="0.3">
      <c r="A77" s="15">
        <v>2483</v>
      </c>
      <c r="B77" s="15" t="s">
        <v>287</v>
      </c>
      <c r="C77" s="15" t="s">
        <v>296</v>
      </c>
      <c r="D77" s="15" t="s">
        <v>543</v>
      </c>
      <c r="E77" s="72">
        <v>28.377878508761501</v>
      </c>
      <c r="F77" s="72">
        <v>-80.607530084440995</v>
      </c>
    </row>
    <row r="78" spans="1:6" ht="92.4" x14ac:dyDescent="0.3">
      <c r="A78" s="15">
        <v>2484</v>
      </c>
      <c r="B78" s="15" t="s">
        <v>286</v>
      </c>
      <c r="C78" s="15" t="s">
        <v>541</v>
      </c>
      <c r="D78" s="15" t="s">
        <v>543</v>
      </c>
      <c r="E78" s="72">
        <v>28.3861264316274</v>
      </c>
      <c r="F78" s="72">
        <v>-80.607656379163799</v>
      </c>
    </row>
    <row r="79" spans="1:6" ht="92.4" x14ac:dyDescent="0.3">
      <c r="A79" s="15">
        <v>2485</v>
      </c>
      <c r="B79" s="15" t="s">
        <v>285</v>
      </c>
      <c r="C79" s="15" t="s">
        <v>295</v>
      </c>
      <c r="D79" s="15" t="s">
        <v>543</v>
      </c>
      <c r="E79" s="72">
        <v>28.391834907214999</v>
      </c>
      <c r="F79" s="72">
        <v>-80.597094374242303</v>
      </c>
    </row>
    <row r="80" spans="1:6" ht="52.8" x14ac:dyDescent="0.3">
      <c r="A80" s="15">
        <v>2486</v>
      </c>
      <c r="B80" s="15" t="s">
        <v>284</v>
      </c>
      <c r="C80" s="15" t="s">
        <v>294</v>
      </c>
      <c r="D80" s="15" t="s">
        <v>491</v>
      </c>
      <c r="E80" s="72">
        <v>28.39453</v>
      </c>
      <c r="F80" s="72">
        <v>-80.619078000000002</v>
      </c>
    </row>
    <row r="81" spans="1:6" ht="66" x14ac:dyDescent="0.3">
      <c r="A81" s="15">
        <v>2487</v>
      </c>
      <c r="B81" s="15" t="s">
        <v>391</v>
      </c>
      <c r="C81" s="15" t="s">
        <v>605</v>
      </c>
      <c r="D81" s="15" t="s">
        <v>482</v>
      </c>
      <c r="E81" s="72">
        <v>28.403493405344399</v>
      </c>
      <c r="F81" s="72">
        <v>-80.597409205138007</v>
      </c>
    </row>
    <row r="82" spans="1:6" ht="26.4" x14ac:dyDescent="0.3">
      <c r="A82" s="15">
        <v>2489</v>
      </c>
      <c r="B82" s="15" t="s">
        <v>118</v>
      </c>
      <c r="C82" s="15" t="s">
        <v>614</v>
      </c>
      <c r="D82" s="15" t="s">
        <v>588</v>
      </c>
      <c r="E82" s="72">
        <v>28.318469982300702</v>
      </c>
      <c r="F82" s="72">
        <v>-80.628682858083394</v>
      </c>
    </row>
    <row r="83" spans="1:6" ht="39.6" x14ac:dyDescent="0.3">
      <c r="A83" s="15">
        <v>2490</v>
      </c>
      <c r="B83" s="15" t="s">
        <v>407</v>
      </c>
      <c r="C83" s="15" t="s">
        <v>190</v>
      </c>
      <c r="D83" s="15" t="s">
        <v>588</v>
      </c>
      <c r="E83" s="72">
        <v>28.1419817717724</v>
      </c>
      <c r="F83" s="72">
        <v>-80.591261594169296</v>
      </c>
    </row>
    <row r="84" spans="1:6" ht="52.8" x14ac:dyDescent="0.3">
      <c r="A84" s="15">
        <v>2494</v>
      </c>
      <c r="B84" s="15" t="s">
        <v>403</v>
      </c>
      <c r="C84" s="15" t="s">
        <v>188</v>
      </c>
      <c r="D84" s="15" t="s">
        <v>588</v>
      </c>
      <c r="E84" s="72">
        <v>28.1404052655516</v>
      </c>
      <c r="F84" s="72">
        <v>-80.584570121548396</v>
      </c>
    </row>
    <row r="85" spans="1:6" ht="26.4" x14ac:dyDescent="0.3">
      <c r="A85" s="15">
        <v>2495</v>
      </c>
      <c r="B85" s="15" t="s">
        <v>402</v>
      </c>
      <c r="C85" s="15" t="s">
        <v>187</v>
      </c>
      <c r="D85" s="15" t="s">
        <v>588</v>
      </c>
      <c r="E85" s="72">
        <v>28.1444618690015</v>
      </c>
      <c r="F85" s="72">
        <v>-80.5997690730279</v>
      </c>
    </row>
    <row r="86" spans="1:6" ht="39.6" x14ac:dyDescent="0.3">
      <c r="A86" s="15">
        <v>2496</v>
      </c>
      <c r="B86" s="15" t="s">
        <v>401</v>
      </c>
      <c r="C86" s="15" t="s">
        <v>174</v>
      </c>
      <c r="D86" s="15" t="s">
        <v>588</v>
      </c>
      <c r="E86" s="72">
        <v>28.153839658798201</v>
      </c>
      <c r="F86" s="72">
        <v>-80.592325138231701</v>
      </c>
    </row>
    <row r="87" spans="1:6" ht="105.6" x14ac:dyDescent="0.3">
      <c r="A87" s="15">
        <v>2497</v>
      </c>
      <c r="B87" s="15" t="s">
        <v>305</v>
      </c>
      <c r="C87" s="15" t="s">
        <v>644</v>
      </c>
      <c r="D87" s="68" t="s">
        <v>870</v>
      </c>
      <c r="E87" s="72">
        <v>28.320034</v>
      </c>
      <c r="F87" s="72">
        <v>-80.611035000000001</v>
      </c>
    </row>
    <row r="88" spans="1:6" ht="39.6" x14ac:dyDescent="0.3">
      <c r="A88" s="15">
        <v>2498</v>
      </c>
      <c r="B88" s="15" t="s">
        <v>409</v>
      </c>
      <c r="C88" s="15" t="s">
        <v>191</v>
      </c>
      <c r="D88" s="15" t="s">
        <v>588</v>
      </c>
      <c r="E88" s="72">
        <v>28.1419817717724</v>
      </c>
      <c r="F88" s="72">
        <v>-80.591261594169296</v>
      </c>
    </row>
    <row r="89" spans="1:6" ht="66" x14ac:dyDescent="0.3">
      <c r="A89" s="15">
        <v>2500</v>
      </c>
      <c r="B89" s="15" t="s">
        <v>175</v>
      </c>
      <c r="C89" s="15" t="s">
        <v>186</v>
      </c>
      <c r="D89" s="15" t="s">
        <v>884</v>
      </c>
      <c r="E89" s="72">
        <v>28.150274744156199</v>
      </c>
      <c r="F89" s="72">
        <v>-80.589890992945598</v>
      </c>
    </row>
    <row r="90" spans="1:6" ht="26.4" x14ac:dyDescent="0.3">
      <c r="A90" s="15">
        <v>2501</v>
      </c>
      <c r="B90" s="15" t="s">
        <v>131</v>
      </c>
      <c r="C90" s="58" t="s">
        <v>476</v>
      </c>
      <c r="D90" s="15" t="s">
        <v>588</v>
      </c>
      <c r="E90" s="72">
        <v>28.324182015609502</v>
      </c>
      <c r="F90" s="72">
        <v>-80.610548943116996</v>
      </c>
    </row>
    <row r="91" spans="1:6" ht="79.2" x14ac:dyDescent="0.3">
      <c r="A91" s="15">
        <v>2502</v>
      </c>
      <c r="B91" s="15" t="s">
        <v>130</v>
      </c>
      <c r="C91" s="15" t="s">
        <v>475</v>
      </c>
      <c r="D91" s="15" t="s">
        <v>588</v>
      </c>
      <c r="E91" s="72">
        <v>28.342228741416601</v>
      </c>
      <c r="F91" s="72">
        <v>-80.610582360338398</v>
      </c>
    </row>
    <row r="92" spans="1:6" ht="39.6" x14ac:dyDescent="0.3">
      <c r="A92" s="15">
        <v>2504</v>
      </c>
      <c r="B92" s="15" t="s">
        <v>127</v>
      </c>
      <c r="C92" s="15" t="s">
        <v>617</v>
      </c>
      <c r="D92" s="15" t="s">
        <v>588</v>
      </c>
      <c r="E92" s="72">
        <v>28.363495927252998</v>
      </c>
      <c r="F92" s="72">
        <v>-80.609159647678595</v>
      </c>
    </row>
    <row r="93" spans="1:6" ht="39.6" x14ac:dyDescent="0.3">
      <c r="A93" s="15">
        <v>2505</v>
      </c>
      <c r="B93" s="15" t="s">
        <v>126</v>
      </c>
      <c r="C93" s="15" t="s">
        <v>617</v>
      </c>
      <c r="D93" s="15" t="s">
        <v>588</v>
      </c>
      <c r="E93" s="72">
        <v>28.363659744418101</v>
      </c>
      <c r="F93" s="72">
        <v>-80.608347521541305</v>
      </c>
    </row>
    <row r="94" spans="1:6" ht="52.8" x14ac:dyDescent="0.3">
      <c r="A94" s="15">
        <v>2506</v>
      </c>
      <c r="B94" s="15" t="s">
        <v>125</v>
      </c>
      <c r="C94" s="15" t="s">
        <v>474</v>
      </c>
      <c r="D94" s="15" t="s">
        <v>588</v>
      </c>
      <c r="E94" s="72">
        <v>28.3613639696833</v>
      </c>
      <c r="F94" s="72">
        <v>-80.608531572236799</v>
      </c>
    </row>
    <row r="95" spans="1:6" ht="39.6" x14ac:dyDescent="0.3">
      <c r="A95" s="15">
        <v>2507</v>
      </c>
      <c r="B95" s="15" t="s">
        <v>124</v>
      </c>
      <c r="C95" s="15" t="s">
        <v>122</v>
      </c>
      <c r="D95" s="15" t="s">
        <v>588</v>
      </c>
      <c r="E95" s="72">
        <v>28.368252804921401</v>
      </c>
      <c r="F95" s="72">
        <v>-80.605905568881795</v>
      </c>
    </row>
    <row r="96" spans="1:6" ht="39.6" x14ac:dyDescent="0.3">
      <c r="A96" s="15">
        <v>2508</v>
      </c>
      <c r="B96" s="15" t="s">
        <v>121</v>
      </c>
      <c r="C96" s="15" t="s">
        <v>122</v>
      </c>
      <c r="D96" s="15" t="s">
        <v>588</v>
      </c>
      <c r="E96" s="72">
        <v>28.3685198081753</v>
      </c>
      <c r="F96" s="72">
        <v>-80.608027380451603</v>
      </c>
    </row>
    <row r="97" spans="1:6" ht="66" x14ac:dyDescent="0.3">
      <c r="A97" s="15">
        <v>2509</v>
      </c>
      <c r="B97" s="15" t="s">
        <v>120</v>
      </c>
      <c r="C97" s="15" t="s">
        <v>616</v>
      </c>
      <c r="D97" s="15" t="s">
        <v>588</v>
      </c>
      <c r="E97" s="72">
        <v>28.317820979310699</v>
      </c>
      <c r="F97" s="72">
        <v>-80.634102008711494</v>
      </c>
    </row>
    <row r="98" spans="1:6" ht="92.4" x14ac:dyDescent="0.3">
      <c r="A98" s="15">
        <v>2510</v>
      </c>
      <c r="B98" s="15" t="s">
        <v>324</v>
      </c>
      <c r="C98" s="15" t="s">
        <v>337</v>
      </c>
      <c r="D98" s="15" t="s">
        <v>513</v>
      </c>
      <c r="E98" s="72">
        <v>28.144605613818801</v>
      </c>
      <c r="F98" s="72">
        <v>-80.588933544108897</v>
      </c>
    </row>
    <row r="99" spans="1:6" ht="105.6" x14ac:dyDescent="0.3">
      <c r="A99" s="15">
        <v>2511</v>
      </c>
      <c r="B99" s="15" t="s">
        <v>134</v>
      </c>
      <c r="C99" s="15" t="s">
        <v>618</v>
      </c>
      <c r="D99" s="68" t="s">
        <v>870</v>
      </c>
      <c r="E99" s="72">
        <v>28.318804974663699</v>
      </c>
      <c r="F99" s="72">
        <v>-80.609938082517601</v>
      </c>
    </row>
    <row r="100" spans="1:6" ht="39.6" x14ac:dyDescent="0.3">
      <c r="A100" s="15">
        <v>2512</v>
      </c>
      <c r="B100" s="15" t="s">
        <v>312</v>
      </c>
      <c r="C100" s="15" t="s">
        <v>329</v>
      </c>
      <c r="D100" s="15" t="s">
        <v>507</v>
      </c>
      <c r="E100" s="72">
        <v>28.140520442244</v>
      </c>
      <c r="F100" s="72">
        <v>-80.596190630938906</v>
      </c>
    </row>
    <row r="101" spans="1:6" ht="92.4" x14ac:dyDescent="0.3">
      <c r="A101" s="15">
        <v>2514</v>
      </c>
      <c r="B101" s="15" t="s">
        <v>322</v>
      </c>
      <c r="C101" s="15" t="s">
        <v>477</v>
      </c>
      <c r="D101" s="15" t="s">
        <v>511</v>
      </c>
      <c r="E101" s="72">
        <v>28.147195147809001</v>
      </c>
      <c r="F101" s="72">
        <v>-80.587739033362695</v>
      </c>
    </row>
    <row r="102" spans="1:6" ht="118.8" x14ac:dyDescent="0.3">
      <c r="A102" s="15">
        <v>2515</v>
      </c>
      <c r="B102" s="15" t="s">
        <v>321</v>
      </c>
      <c r="C102" s="15" t="s">
        <v>886</v>
      </c>
      <c r="D102" s="15" t="s">
        <v>510</v>
      </c>
      <c r="E102" s="72">
        <v>28.147649868748701</v>
      </c>
      <c r="F102" s="72">
        <v>-80.589172486615695</v>
      </c>
    </row>
    <row r="103" spans="1:6" ht="171.6" x14ac:dyDescent="0.3">
      <c r="A103" s="15">
        <v>2516</v>
      </c>
      <c r="B103" s="15" t="s">
        <v>320</v>
      </c>
      <c r="C103" s="15" t="s">
        <v>335</v>
      </c>
      <c r="D103" s="15" t="s">
        <v>509</v>
      </c>
      <c r="E103" s="72">
        <v>28.149535576933001</v>
      </c>
      <c r="F103" s="72">
        <v>-80.586295016074004</v>
      </c>
    </row>
    <row r="104" spans="1:6" ht="92.4" x14ac:dyDescent="0.3">
      <c r="A104" s="15">
        <v>2517</v>
      </c>
      <c r="B104" s="15" t="s">
        <v>319</v>
      </c>
      <c r="C104" s="15" t="s">
        <v>334</v>
      </c>
      <c r="D104" s="15" t="s">
        <v>501</v>
      </c>
      <c r="E104" s="72">
        <v>28.151529782725198</v>
      </c>
      <c r="F104" s="72">
        <v>-80.588906892596199</v>
      </c>
    </row>
    <row r="105" spans="1:6" ht="105.6" x14ac:dyDescent="0.3">
      <c r="A105" s="15">
        <v>2520</v>
      </c>
      <c r="B105" s="15" t="s">
        <v>316</v>
      </c>
      <c r="C105" s="23" t="s">
        <v>621</v>
      </c>
      <c r="D105" s="15" t="s">
        <v>499</v>
      </c>
      <c r="E105" s="72">
        <v>28.147084</v>
      </c>
      <c r="F105" s="72">
        <v>-80.589129</v>
      </c>
    </row>
    <row r="106" spans="1:6" ht="92.4" x14ac:dyDescent="0.3">
      <c r="A106" s="15">
        <v>2521</v>
      </c>
      <c r="B106" s="15" t="s">
        <v>315</v>
      </c>
      <c r="C106" s="15" t="s">
        <v>332</v>
      </c>
      <c r="D106" s="15" t="s">
        <v>505</v>
      </c>
      <c r="E106" s="72">
        <v>28.154582699712101</v>
      </c>
      <c r="F106" s="72">
        <v>-80.590641664946006</v>
      </c>
    </row>
    <row r="107" spans="1:6" ht="39.6" x14ac:dyDescent="0.3">
      <c r="A107" s="15">
        <v>2522</v>
      </c>
      <c r="B107" s="15" t="s">
        <v>408</v>
      </c>
      <c r="C107" s="15" t="s">
        <v>619</v>
      </c>
      <c r="D107" s="15" t="s">
        <v>588</v>
      </c>
      <c r="E107" s="72">
        <v>28.144626524481399</v>
      </c>
      <c r="F107" s="72">
        <v>-80.586660980083295</v>
      </c>
    </row>
    <row r="108" spans="1:6" ht="145.19999999999999" x14ac:dyDescent="0.3">
      <c r="A108" s="15">
        <v>2523</v>
      </c>
      <c r="B108" s="15" t="s">
        <v>313</v>
      </c>
      <c r="C108" s="15" t="s">
        <v>330</v>
      </c>
      <c r="D108" s="58" t="s">
        <v>498</v>
      </c>
      <c r="E108" s="72">
        <v>28.148647251973699</v>
      </c>
      <c r="F108" s="72">
        <v>-80.598290671963298</v>
      </c>
    </row>
    <row r="109" spans="1:6" ht="26.4" x14ac:dyDescent="0.3">
      <c r="A109" s="15">
        <v>2524</v>
      </c>
      <c r="B109" s="15" t="s">
        <v>117</v>
      </c>
      <c r="C109" s="15" t="s">
        <v>473</v>
      </c>
      <c r="D109" s="15" t="s">
        <v>588</v>
      </c>
      <c r="E109" s="72">
        <v>28.365911401517799</v>
      </c>
      <c r="F109" s="72">
        <v>-80.605321864334897</v>
      </c>
    </row>
    <row r="110" spans="1:6" ht="52.8" x14ac:dyDescent="0.3">
      <c r="A110" s="15">
        <v>2525</v>
      </c>
      <c r="B110" s="15" t="s">
        <v>311</v>
      </c>
      <c r="C110" s="15" t="s">
        <v>328</v>
      </c>
      <c r="D110" s="15" t="s">
        <v>508</v>
      </c>
      <c r="E110" s="72">
        <v>28.151211621058799</v>
      </c>
      <c r="F110" s="72">
        <v>-80.597787530317106</v>
      </c>
    </row>
    <row r="111" spans="1:6" ht="79.2" x14ac:dyDescent="0.3">
      <c r="A111" s="15">
        <v>2526</v>
      </c>
      <c r="B111" s="15" t="s">
        <v>310</v>
      </c>
      <c r="C111" s="15" t="s">
        <v>327</v>
      </c>
      <c r="D111" s="15" t="s">
        <v>496</v>
      </c>
      <c r="E111" s="72">
        <v>28.1419817717724</v>
      </c>
      <c r="F111" s="72">
        <v>-80.591261594169296</v>
      </c>
    </row>
    <row r="112" spans="1:6" ht="52.8" x14ac:dyDescent="0.3">
      <c r="A112" s="15">
        <v>2527</v>
      </c>
      <c r="B112" s="15" t="s">
        <v>308</v>
      </c>
      <c r="C112" s="15" t="s">
        <v>309</v>
      </c>
      <c r="D112" s="15" t="s">
        <v>588</v>
      </c>
      <c r="E112" s="72">
        <v>28.1563672209728</v>
      </c>
      <c r="F112" s="72">
        <v>-80.602189794172403</v>
      </c>
    </row>
    <row r="113" spans="1:6" ht="52.8" x14ac:dyDescent="0.3">
      <c r="A113" s="15">
        <v>2528</v>
      </c>
      <c r="B113" s="15" t="s">
        <v>307</v>
      </c>
      <c r="C113" s="15" t="s">
        <v>177</v>
      </c>
      <c r="D113" s="15" t="s">
        <v>588</v>
      </c>
      <c r="E113" s="72">
        <v>28.1522033942665</v>
      </c>
      <c r="F113" s="72">
        <v>-80.594792742586606</v>
      </c>
    </row>
    <row r="114" spans="1:6" ht="52.8" x14ac:dyDescent="0.3">
      <c r="A114" s="15">
        <v>2530</v>
      </c>
      <c r="B114" s="15" t="s">
        <v>183</v>
      </c>
      <c r="C114" s="15" t="s">
        <v>184</v>
      </c>
      <c r="D114" s="15" t="s">
        <v>588</v>
      </c>
      <c r="E114" s="72">
        <v>28.146238667726099</v>
      </c>
      <c r="F114" s="72">
        <v>-80.602556242949504</v>
      </c>
    </row>
    <row r="115" spans="1:6" ht="39.6" x14ac:dyDescent="0.3">
      <c r="A115" s="15">
        <v>2531</v>
      </c>
      <c r="B115" s="15" t="s">
        <v>181</v>
      </c>
      <c r="C115" s="15" t="s">
        <v>182</v>
      </c>
      <c r="D115" s="15" t="s">
        <v>588</v>
      </c>
      <c r="E115" s="72">
        <v>28.167062505902901</v>
      </c>
      <c r="F115" s="72">
        <v>-80.604401061629702</v>
      </c>
    </row>
    <row r="116" spans="1:6" ht="52.8" x14ac:dyDescent="0.3">
      <c r="A116" s="15">
        <v>2532</v>
      </c>
      <c r="B116" s="15" t="s">
        <v>179</v>
      </c>
      <c r="C116" s="15" t="s">
        <v>180</v>
      </c>
      <c r="D116" s="15" t="s">
        <v>588</v>
      </c>
      <c r="E116" s="72">
        <v>28.149141443884201</v>
      </c>
      <c r="F116" s="72">
        <v>-80.593221346315602</v>
      </c>
    </row>
    <row r="117" spans="1:6" ht="52.8" x14ac:dyDescent="0.3">
      <c r="A117" s="15">
        <v>2533</v>
      </c>
      <c r="B117" s="15" t="s">
        <v>178</v>
      </c>
      <c r="C117" s="15" t="s">
        <v>362</v>
      </c>
      <c r="D117" s="15" t="s">
        <v>588</v>
      </c>
      <c r="E117" s="72">
        <v>28.153125373619702</v>
      </c>
      <c r="F117" s="72">
        <v>-80.589419634286003</v>
      </c>
    </row>
    <row r="118" spans="1:6" ht="52.8" x14ac:dyDescent="0.3">
      <c r="A118" s="15">
        <v>2534</v>
      </c>
      <c r="B118" s="15" t="s">
        <v>176</v>
      </c>
      <c r="C118" s="15" t="s">
        <v>177</v>
      </c>
      <c r="D118" s="15" t="s">
        <v>588</v>
      </c>
      <c r="E118" s="72">
        <v>28.1522033942665</v>
      </c>
      <c r="F118" s="72">
        <v>-80.594792742586606</v>
      </c>
    </row>
    <row r="119" spans="1:6" ht="171.6" x14ac:dyDescent="0.3">
      <c r="A119" s="15">
        <v>2535</v>
      </c>
      <c r="B119" s="15" t="s">
        <v>314</v>
      </c>
      <c r="C119" s="15" t="s">
        <v>331</v>
      </c>
      <c r="D119" s="15" t="s">
        <v>506</v>
      </c>
      <c r="E119" s="72">
        <v>28.1551350518336</v>
      </c>
      <c r="F119" s="72">
        <v>-80.595295999261793</v>
      </c>
    </row>
    <row r="120" spans="1:6" ht="52.8" x14ac:dyDescent="0.3">
      <c r="A120" s="15">
        <v>2537</v>
      </c>
      <c r="B120" s="15" t="s">
        <v>119</v>
      </c>
      <c r="C120" s="15" t="s">
        <v>615</v>
      </c>
      <c r="D120" s="15" t="s">
        <v>588</v>
      </c>
      <c r="E120" s="72">
        <v>28.318083299195902</v>
      </c>
      <c r="F120" s="72">
        <v>-80.632786546717298</v>
      </c>
    </row>
    <row r="121" spans="1:6" ht="145.19999999999999" x14ac:dyDescent="0.3">
      <c r="A121" s="15">
        <v>2538</v>
      </c>
      <c r="B121" s="15" t="s">
        <v>74</v>
      </c>
      <c r="C121" s="15" t="s">
        <v>75</v>
      </c>
      <c r="D121" s="15" t="s">
        <v>699</v>
      </c>
      <c r="E121" s="81">
        <v>28.2105435697624</v>
      </c>
      <c r="F121" s="81">
        <v>-80.612703929475202</v>
      </c>
    </row>
    <row r="122" spans="1:6" ht="145.19999999999999" x14ac:dyDescent="0.3">
      <c r="A122" s="15">
        <v>2539</v>
      </c>
      <c r="B122" s="15" t="s">
        <v>72</v>
      </c>
      <c r="C122" s="15" t="s">
        <v>73</v>
      </c>
      <c r="D122" s="15" t="s">
        <v>699</v>
      </c>
      <c r="E122" s="81">
        <v>28.363523529814</v>
      </c>
      <c r="F122" s="81">
        <v>-80.697672384806197</v>
      </c>
    </row>
    <row r="123" spans="1:6" ht="171.6" x14ac:dyDescent="0.3">
      <c r="A123" s="15">
        <v>2541</v>
      </c>
      <c r="B123" s="15" t="s">
        <v>67</v>
      </c>
      <c r="C123" s="15" t="s">
        <v>68</v>
      </c>
      <c r="D123" s="15" t="s">
        <v>700</v>
      </c>
      <c r="E123" s="81">
        <v>28.1998550198891</v>
      </c>
      <c r="F123" s="81">
        <v>-80.601077781236697</v>
      </c>
    </row>
    <row r="124" spans="1:6" ht="158.4" x14ac:dyDescent="0.3">
      <c r="A124" s="15">
        <v>2542</v>
      </c>
      <c r="B124" s="15" t="s">
        <v>65</v>
      </c>
      <c r="C124" s="15" t="s">
        <v>66</v>
      </c>
      <c r="D124" s="15" t="s">
        <v>696</v>
      </c>
      <c r="E124" s="72">
        <v>28.390769458772301</v>
      </c>
      <c r="F124" s="72">
        <v>-80.703548893775704</v>
      </c>
    </row>
    <row r="125" spans="1:6" ht="145.19999999999999" x14ac:dyDescent="0.3">
      <c r="A125" s="15">
        <v>2543</v>
      </c>
      <c r="B125" s="15" t="s">
        <v>440</v>
      </c>
      <c r="C125" s="15" t="s">
        <v>91</v>
      </c>
      <c r="D125" s="15" t="s">
        <v>699</v>
      </c>
      <c r="E125" s="72">
        <v>28.365934409319902</v>
      </c>
      <c r="F125" s="72">
        <v>-80.667864040362105</v>
      </c>
    </row>
    <row r="126" spans="1:6" ht="145.19999999999999" x14ac:dyDescent="0.3">
      <c r="A126" s="15">
        <v>2544</v>
      </c>
      <c r="B126" s="15" t="s">
        <v>438</v>
      </c>
      <c r="C126" s="20" t="s">
        <v>90</v>
      </c>
      <c r="D126" s="15" t="s">
        <v>699</v>
      </c>
      <c r="E126" s="72">
        <v>28.366009810379399</v>
      </c>
      <c r="F126" s="72">
        <v>-80.6916260140936</v>
      </c>
    </row>
    <row r="127" spans="1:6" ht="145.19999999999999" x14ac:dyDescent="0.3">
      <c r="A127" s="15">
        <v>2545</v>
      </c>
      <c r="B127" s="15" t="s">
        <v>439</v>
      </c>
      <c r="C127" s="15" t="s">
        <v>89</v>
      </c>
      <c r="D127" s="15" t="s">
        <v>699</v>
      </c>
      <c r="E127" s="72">
        <v>28.367684981556501</v>
      </c>
      <c r="F127" s="72">
        <v>-80.691698221363197</v>
      </c>
    </row>
    <row r="128" spans="1:6" ht="158.4" x14ac:dyDescent="0.3">
      <c r="A128" s="15">
        <v>2546</v>
      </c>
      <c r="B128" s="15" t="s">
        <v>78</v>
      </c>
      <c r="C128" s="15" t="s">
        <v>381</v>
      </c>
      <c r="D128" s="15" t="s">
        <v>696</v>
      </c>
      <c r="E128" s="81">
        <v>28.351978549737499</v>
      </c>
      <c r="F128" s="81">
        <v>-80.693876960609799</v>
      </c>
    </row>
    <row r="129" spans="1:6" ht="211.2" x14ac:dyDescent="0.3">
      <c r="A129" s="15">
        <v>2547</v>
      </c>
      <c r="B129" s="15" t="s">
        <v>447</v>
      </c>
      <c r="C129" s="15" t="s">
        <v>3</v>
      </c>
      <c r="D129" s="15" t="s">
        <v>658</v>
      </c>
      <c r="E129" s="72">
        <v>28.4560197057992</v>
      </c>
      <c r="F129" s="72">
        <v>-80.676694310926194</v>
      </c>
    </row>
    <row r="130" spans="1:6" ht="396" x14ac:dyDescent="0.3">
      <c r="A130" s="15">
        <v>2548</v>
      </c>
      <c r="B130" s="15" t="s">
        <v>79</v>
      </c>
      <c r="C130" s="15" t="s">
        <v>80</v>
      </c>
      <c r="D130" s="15" t="s">
        <v>666</v>
      </c>
      <c r="E130" s="81">
        <v>28.171860793590199</v>
      </c>
      <c r="F130" s="81">
        <v>-80.597645739216105</v>
      </c>
    </row>
    <row r="131" spans="1:6" ht="66" x14ac:dyDescent="0.3">
      <c r="A131" s="15">
        <v>2549</v>
      </c>
      <c r="B131" s="15" t="s">
        <v>397</v>
      </c>
      <c r="C131" s="15" t="s">
        <v>136</v>
      </c>
      <c r="D131" s="15" t="s">
        <v>588</v>
      </c>
      <c r="E131" s="72">
        <v>28.3188546346354</v>
      </c>
      <c r="F131" s="72">
        <v>-80.610979538115103</v>
      </c>
    </row>
    <row r="132" spans="1:6" ht="52.8" x14ac:dyDescent="0.3">
      <c r="A132" s="15">
        <v>2550</v>
      </c>
      <c r="B132" s="15" t="s">
        <v>398</v>
      </c>
      <c r="C132" s="15" t="s">
        <v>610</v>
      </c>
      <c r="D132" s="15" t="s">
        <v>588</v>
      </c>
      <c r="E132" s="72">
        <v>28.3161962187935</v>
      </c>
      <c r="F132" s="72">
        <v>-80.611220296355299</v>
      </c>
    </row>
    <row r="133" spans="1:6" ht="66" x14ac:dyDescent="0.3">
      <c r="A133" s="15">
        <v>2551</v>
      </c>
      <c r="B133" s="15" t="s">
        <v>399</v>
      </c>
      <c r="C133" s="58" t="s">
        <v>137</v>
      </c>
      <c r="D133" s="15" t="s">
        <v>588</v>
      </c>
      <c r="E133" s="72">
        <v>28.320722696999098</v>
      </c>
      <c r="F133" s="72">
        <v>-80.622322519810197</v>
      </c>
    </row>
    <row r="134" spans="1:6" ht="66" x14ac:dyDescent="0.3">
      <c r="A134" s="15">
        <v>2552</v>
      </c>
      <c r="B134" s="15" t="s">
        <v>400</v>
      </c>
      <c r="C134" s="58" t="s">
        <v>467</v>
      </c>
      <c r="D134" s="15" t="s">
        <v>588</v>
      </c>
      <c r="E134" s="72">
        <v>28.320483021036701</v>
      </c>
      <c r="F134" s="72">
        <v>-80.618715339936301</v>
      </c>
    </row>
    <row r="135" spans="1:6" ht="39.6" x14ac:dyDescent="0.3">
      <c r="A135" s="15">
        <v>2553</v>
      </c>
      <c r="B135" s="15" t="s">
        <v>105</v>
      </c>
      <c r="C135" s="58" t="s">
        <v>472</v>
      </c>
      <c r="D135" s="15" t="s">
        <v>588</v>
      </c>
      <c r="E135" s="72">
        <v>28.325441260159799</v>
      </c>
      <c r="F135" s="72">
        <v>-80.608664783234204</v>
      </c>
    </row>
    <row r="136" spans="1:6" ht="39.6" x14ac:dyDescent="0.3">
      <c r="A136" s="15">
        <v>2554</v>
      </c>
      <c r="B136" s="15" t="s">
        <v>104</v>
      </c>
      <c r="C136" s="58" t="s">
        <v>471</v>
      </c>
      <c r="D136" s="15" t="s">
        <v>588</v>
      </c>
      <c r="E136" s="72">
        <v>28.325721280999399</v>
      </c>
      <c r="F136" s="72">
        <v>-80.608623487625295</v>
      </c>
    </row>
    <row r="137" spans="1:6" ht="39.6" x14ac:dyDescent="0.3">
      <c r="A137" s="15">
        <v>2555</v>
      </c>
      <c r="B137" s="15" t="s">
        <v>102</v>
      </c>
      <c r="C137" s="15" t="s">
        <v>103</v>
      </c>
      <c r="D137" s="15" t="s">
        <v>588</v>
      </c>
      <c r="E137" s="72">
        <v>28.3626019086296</v>
      </c>
      <c r="F137" s="72">
        <v>-80.605139482759995</v>
      </c>
    </row>
    <row r="138" spans="1:6" ht="39.6" x14ac:dyDescent="0.3">
      <c r="A138" s="15">
        <v>2556</v>
      </c>
      <c r="B138" s="15" t="s">
        <v>100</v>
      </c>
      <c r="C138" s="15" t="s">
        <v>101</v>
      </c>
      <c r="D138" s="15" t="s">
        <v>588</v>
      </c>
      <c r="E138" s="72">
        <v>28.367671294060202</v>
      </c>
      <c r="F138" s="72">
        <v>-80.603520249322202</v>
      </c>
    </row>
    <row r="139" spans="1:6" ht="66" x14ac:dyDescent="0.3">
      <c r="A139" s="15">
        <v>2557</v>
      </c>
      <c r="B139" s="15" t="s">
        <v>97</v>
      </c>
      <c r="C139" s="58" t="s">
        <v>469</v>
      </c>
      <c r="D139" s="15" t="s">
        <v>588</v>
      </c>
      <c r="E139" s="72">
        <v>28.302951327568099</v>
      </c>
      <c r="F139" s="72">
        <v>-80.611063699850604</v>
      </c>
    </row>
    <row r="140" spans="1:6" ht="52.8" x14ac:dyDescent="0.3">
      <c r="A140" s="15">
        <v>2558</v>
      </c>
      <c r="B140" s="15" t="s">
        <v>99</v>
      </c>
      <c r="C140" s="58" t="s">
        <v>470</v>
      </c>
      <c r="D140" s="15" t="s">
        <v>588</v>
      </c>
      <c r="E140" s="72">
        <v>28.3207117727599</v>
      </c>
      <c r="F140" s="72">
        <v>-80.612667185335994</v>
      </c>
    </row>
    <row r="141" spans="1:6" ht="171.6" x14ac:dyDescent="0.3">
      <c r="A141" s="15">
        <v>2559</v>
      </c>
      <c r="B141" s="15" t="s">
        <v>437</v>
      </c>
      <c r="C141" s="15" t="s">
        <v>88</v>
      </c>
      <c r="D141" s="15" t="s">
        <v>695</v>
      </c>
      <c r="E141" s="72">
        <v>28.390769458772301</v>
      </c>
      <c r="F141" s="72">
        <v>-80.703548893775704</v>
      </c>
    </row>
    <row r="142" spans="1:6" ht="66" x14ac:dyDescent="0.3">
      <c r="A142" s="15">
        <v>2560</v>
      </c>
      <c r="B142" s="15" t="s">
        <v>395</v>
      </c>
      <c r="C142" s="15" t="s">
        <v>883</v>
      </c>
      <c r="D142" s="15" t="s">
        <v>588</v>
      </c>
      <c r="E142" s="72">
        <v>28.321323890032001</v>
      </c>
      <c r="F142" s="72">
        <v>-80.609434349989002</v>
      </c>
    </row>
    <row r="143" spans="1:6" ht="66" x14ac:dyDescent="0.3">
      <c r="A143" s="15">
        <v>2561</v>
      </c>
      <c r="B143" s="15" t="s">
        <v>116</v>
      </c>
      <c r="C143" s="15" t="s">
        <v>613</v>
      </c>
      <c r="D143" s="15" t="s">
        <v>588</v>
      </c>
      <c r="E143" s="72">
        <v>28.321172841829402</v>
      </c>
      <c r="F143" s="72">
        <v>-80.634906064110993</v>
      </c>
    </row>
    <row r="144" spans="1:6" ht="39.6" x14ac:dyDescent="0.3">
      <c r="A144" s="15">
        <v>2562</v>
      </c>
      <c r="B144" s="15" t="s">
        <v>115</v>
      </c>
      <c r="C144" s="15" t="s">
        <v>114</v>
      </c>
      <c r="D144" s="15" t="s">
        <v>588</v>
      </c>
      <c r="E144" s="72">
        <v>28.3432126644195</v>
      </c>
      <c r="F144" s="72">
        <v>-80.613772527575193</v>
      </c>
    </row>
    <row r="145" spans="1:6" ht="39.6" x14ac:dyDescent="0.3">
      <c r="A145" s="15">
        <v>2563</v>
      </c>
      <c r="B145" s="15" t="s">
        <v>113</v>
      </c>
      <c r="C145" s="15" t="s">
        <v>114</v>
      </c>
      <c r="D145" s="15" t="s">
        <v>588</v>
      </c>
      <c r="E145" s="72">
        <v>28.3437479425384</v>
      </c>
      <c r="F145" s="72">
        <v>-80.613121389297504</v>
      </c>
    </row>
    <row r="146" spans="1:6" ht="52.8" x14ac:dyDescent="0.3">
      <c r="A146" s="15">
        <v>2564</v>
      </c>
      <c r="B146" s="15" t="s">
        <v>112</v>
      </c>
      <c r="C146" s="15" t="s">
        <v>111</v>
      </c>
      <c r="D146" s="15" t="s">
        <v>588</v>
      </c>
      <c r="E146" s="72">
        <v>28.353029033737499</v>
      </c>
      <c r="F146" s="72">
        <v>-80.611451033573204</v>
      </c>
    </row>
    <row r="147" spans="1:6" ht="52.8" x14ac:dyDescent="0.3">
      <c r="A147" s="15">
        <v>2565</v>
      </c>
      <c r="B147" s="15" t="s">
        <v>110</v>
      </c>
      <c r="C147" s="15" t="s">
        <v>111</v>
      </c>
      <c r="D147" s="15" t="s">
        <v>588</v>
      </c>
      <c r="E147" s="72">
        <v>28.353061848205598</v>
      </c>
      <c r="F147" s="72">
        <v>-80.610324495559695</v>
      </c>
    </row>
    <row r="148" spans="1:6" ht="52.8" x14ac:dyDescent="0.3">
      <c r="A148" s="15">
        <v>2566</v>
      </c>
      <c r="B148" s="15" t="s">
        <v>108</v>
      </c>
      <c r="C148" s="15" t="s">
        <v>109</v>
      </c>
      <c r="D148" s="15" t="s">
        <v>588</v>
      </c>
      <c r="E148" s="72">
        <v>28.334002493186699</v>
      </c>
      <c r="F148" s="72">
        <v>-80.611363613783297</v>
      </c>
    </row>
    <row r="149" spans="1:6" ht="52.8" x14ac:dyDescent="0.3">
      <c r="A149" s="15">
        <v>2567</v>
      </c>
      <c r="B149" s="15" t="s">
        <v>107</v>
      </c>
      <c r="C149" s="58" t="s">
        <v>612</v>
      </c>
      <c r="D149" s="15" t="s">
        <v>588</v>
      </c>
      <c r="E149" s="72">
        <v>28.312631039596599</v>
      </c>
      <c r="F149" s="72">
        <v>-80.609148548693796</v>
      </c>
    </row>
    <row r="150" spans="1:6" ht="52.8" x14ac:dyDescent="0.3">
      <c r="A150" s="15">
        <v>2568</v>
      </c>
      <c r="B150" s="15" t="s">
        <v>106</v>
      </c>
      <c r="C150" s="58" t="s">
        <v>611</v>
      </c>
      <c r="D150" s="15" t="s">
        <v>588</v>
      </c>
      <c r="E150" s="72">
        <v>28.313357982049201</v>
      </c>
      <c r="F150" s="72">
        <v>-80.608838898087399</v>
      </c>
    </row>
    <row r="151" spans="1:6" ht="184.8" x14ac:dyDescent="0.3">
      <c r="A151" s="15">
        <v>2569</v>
      </c>
      <c r="B151" s="15" t="s">
        <v>517</v>
      </c>
      <c r="C151" s="15" t="s">
        <v>518</v>
      </c>
      <c r="D151" s="15" t="s">
        <v>708</v>
      </c>
      <c r="E151" s="72">
        <v>28.488325</v>
      </c>
      <c r="F151" s="72">
        <v>-80.583517999999998</v>
      </c>
    </row>
    <row r="152" spans="1:6" ht="158.4" x14ac:dyDescent="0.3">
      <c r="A152" s="15">
        <v>2570</v>
      </c>
      <c r="B152" s="15" t="s">
        <v>76</v>
      </c>
      <c r="C152" s="15" t="s">
        <v>77</v>
      </c>
      <c r="D152" s="15" t="s">
        <v>696</v>
      </c>
      <c r="E152" s="72">
        <v>28.3530375866554</v>
      </c>
      <c r="F152" s="72">
        <v>-80.689290769991999</v>
      </c>
    </row>
    <row r="153" spans="1:6" ht="39.6" x14ac:dyDescent="0.3">
      <c r="A153" s="15">
        <v>2571</v>
      </c>
      <c r="B153" s="15" t="s">
        <v>394</v>
      </c>
      <c r="C153" s="58" t="s">
        <v>123</v>
      </c>
      <c r="D153" s="15" t="s">
        <v>588</v>
      </c>
      <c r="E153" s="72">
        <v>28.312193915784199</v>
      </c>
      <c r="F153" s="72">
        <v>-80.609508243263207</v>
      </c>
    </row>
    <row r="154" spans="1:6" ht="118.8" x14ac:dyDescent="0.3">
      <c r="A154" s="15">
        <v>2572</v>
      </c>
      <c r="B154" s="15" t="s">
        <v>325</v>
      </c>
      <c r="C154" s="15" t="s">
        <v>338</v>
      </c>
      <c r="D154" s="15" t="s">
        <v>514</v>
      </c>
      <c r="E154" s="72">
        <v>28.1515856892408</v>
      </c>
      <c r="F154" s="72">
        <v>-80.589279182824896</v>
      </c>
    </row>
    <row r="155" spans="1:6" ht="52.8" x14ac:dyDescent="0.3">
      <c r="A155" s="15">
        <v>2573</v>
      </c>
      <c r="B155" s="15" t="s">
        <v>396</v>
      </c>
      <c r="C155" s="15" t="s">
        <v>135</v>
      </c>
      <c r="D155" s="15" t="s">
        <v>588</v>
      </c>
      <c r="E155" s="72">
        <v>28.3574596385271</v>
      </c>
      <c r="F155" s="72">
        <v>-80.605024935945195</v>
      </c>
    </row>
    <row r="156" spans="1:6" ht="145.19999999999999" x14ac:dyDescent="0.3">
      <c r="A156" s="15">
        <v>2579</v>
      </c>
      <c r="B156" s="15" t="s">
        <v>86</v>
      </c>
      <c r="C156" s="15" t="s">
        <v>87</v>
      </c>
      <c r="D156" s="15" t="s">
        <v>699</v>
      </c>
      <c r="E156" s="81">
        <v>28.208583891913001</v>
      </c>
      <c r="F156" s="81">
        <v>-80.601566766489896</v>
      </c>
    </row>
    <row r="157" spans="1:6" ht="118.8" x14ac:dyDescent="0.3">
      <c r="A157" s="15">
        <v>2580</v>
      </c>
      <c r="B157" s="15" t="s">
        <v>84</v>
      </c>
      <c r="C157" s="15" t="s">
        <v>85</v>
      </c>
      <c r="D157" s="15" t="s">
        <v>698</v>
      </c>
      <c r="E157" s="81">
        <v>28.210616999999999</v>
      </c>
      <c r="F157" s="81">
        <v>-80.602919</v>
      </c>
    </row>
    <row r="158" spans="1:6" ht="39.6" x14ac:dyDescent="0.3">
      <c r="A158" s="15">
        <v>2581</v>
      </c>
      <c r="B158" s="15" t="s">
        <v>82</v>
      </c>
      <c r="C158" s="15" t="s">
        <v>83</v>
      </c>
      <c r="D158" s="15" t="s">
        <v>588</v>
      </c>
      <c r="E158" s="81">
        <v>28.3998214780521</v>
      </c>
      <c r="F158" s="81">
        <v>-80.666019296963398</v>
      </c>
    </row>
    <row r="159" spans="1:6" ht="105.6" x14ac:dyDescent="0.3">
      <c r="A159" s="15">
        <v>2582</v>
      </c>
      <c r="B159" s="15" t="s">
        <v>81</v>
      </c>
      <c r="C159" s="15" t="s">
        <v>875</v>
      </c>
      <c r="D159" s="58" t="s">
        <v>493</v>
      </c>
      <c r="E159" s="81">
        <v>28.210621854372999</v>
      </c>
      <c r="F159" s="81">
        <v>-80.602964770488796</v>
      </c>
    </row>
    <row r="160" spans="1:6" ht="145.19999999999999" x14ac:dyDescent="0.3">
      <c r="A160" s="15">
        <v>2583</v>
      </c>
      <c r="B160" s="15" t="s">
        <v>516</v>
      </c>
      <c r="C160" s="15" t="s">
        <v>558</v>
      </c>
      <c r="D160" s="15" t="s">
        <v>707</v>
      </c>
      <c r="E160" s="72">
        <v>28.488325</v>
      </c>
      <c r="F160" s="72">
        <v>-80.583517999999998</v>
      </c>
    </row>
    <row r="161" spans="1:6" ht="52.8" x14ac:dyDescent="0.3">
      <c r="A161" s="15">
        <v>2592</v>
      </c>
      <c r="B161" s="15" t="s">
        <v>98</v>
      </c>
      <c r="C161" s="58" t="s">
        <v>468</v>
      </c>
      <c r="D161" s="15" t="s">
        <v>588</v>
      </c>
      <c r="E161" s="72">
        <v>28.369868286648</v>
      </c>
      <c r="F161" s="72">
        <v>-80.611135053308402</v>
      </c>
    </row>
    <row r="162" spans="1:6" ht="92.4" x14ac:dyDescent="0.3">
      <c r="A162" s="15">
        <v>2606</v>
      </c>
      <c r="B162" s="15" t="s">
        <v>323</v>
      </c>
      <c r="C162" s="15" t="s">
        <v>336</v>
      </c>
      <c r="D162" s="15" t="s">
        <v>512</v>
      </c>
      <c r="E162" s="72">
        <v>28.1445806072838</v>
      </c>
      <c r="F162" s="72">
        <v>-80.585558931359699</v>
      </c>
    </row>
    <row r="163" spans="1:6" ht="39.6" x14ac:dyDescent="0.3">
      <c r="A163" s="15">
        <v>2609</v>
      </c>
      <c r="B163" s="15" t="s">
        <v>19</v>
      </c>
      <c r="C163" s="15" t="s">
        <v>20</v>
      </c>
      <c r="D163" s="15" t="s">
        <v>588</v>
      </c>
      <c r="E163" s="72">
        <v>28.558351636249199</v>
      </c>
      <c r="F163" s="72">
        <v>-80.633802213190705</v>
      </c>
    </row>
    <row r="164" spans="1:6" ht="79.2" x14ac:dyDescent="0.3">
      <c r="A164" s="15">
        <v>2610</v>
      </c>
      <c r="B164" s="15" t="s">
        <v>140</v>
      </c>
      <c r="C164" s="15" t="s">
        <v>459</v>
      </c>
      <c r="D164" s="15" t="s">
        <v>484</v>
      </c>
      <c r="E164" s="72">
        <v>28.394373180350701</v>
      </c>
      <c r="F164" s="72">
        <v>-80.618285013495495</v>
      </c>
    </row>
    <row r="165" spans="1:6" ht="39.6" x14ac:dyDescent="0.3">
      <c r="A165" s="58">
        <v>2611</v>
      </c>
      <c r="B165" s="15" t="s">
        <v>221</v>
      </c>
      <c r="C165" s="15" t="s">
        <v>222</v>
      </c>
      <c r="D165" s="15" t="s">
        <v>503</v>
      </c>
      <c r="E165" s="81">
        <v>28.1723319057974</v>
      </c>
      <c r="F165" s="81">
        <v>-80.602826979053006</v>
      </c>
    </row>
    <row r="166" spans="1:6" ht="39.6" x14ac:dyDescent="0.3">
      <c r="A166" s="58">
        <v>2612</v>
      </c>
      <c r="B166" s="15" t="s">
        <v>219</v>
      </c>
      <c r="C166" s="15" t="s">
        <v>220</v>
      </c>
      <c r="D166" s="15" t="s">
        <v>503</v>
      </c>
      <c r="E166" s="81">
        <v>28.172326743747401</v>
      </c>
      <c r="F166" s="81">
        <v>-80.603748513572697</v>
      </c>
    </row>
    <row r="167" spans="1:6" ht="39.6" x14ac:dyDescent="0.3">
      <c r="A167" s="58">
        <v>2613</v>
      </c>
      <c r="B167" s="15" t="s">
        <v>217</v>
      </c>
      <c r="C167" s="15" t="s">
        <v>218</v>
      </c>
      <c r="D167" s="15" t="s">
        <v>503</v>
      </c>
      <c r="E167" s="81">
        <v>28.172320612326999</v>
      </c>
      <c r="F167" s="81">
        <v>-80.604498942841701</v>
      </c>
    </row>
    <row r="168" spans="1:6" ht="39.6" x14ac:dyDescent="0.3">
      <c r="A168" s="58">
        <v>2614</v>
      </c>
      <c r="B168" s="15" t="s">
        <v>215</v>
      </c>
      <c r="C168" s="15" t="s">
        <v>216</v>
      </c>
      <c r="D168" s="15" t="s">
        <v>503</v>
      </c>
      <c r="E168" s="81">
        <v>28.1723111179091</v>
      </c>
      <c r="F168" s="81">
        <v>-80.605362371249399</v>
      </c>
    </row>
    <row r="169" spans="1:6" ht="39.6" x14ac:dyDescent="0.3">
      <c r="A169" s="58">
        <v>2634</v>
      </c>
      <c r="B169" s="15" t="s">
        <v>415</v>
      </c>
      <c r="C169" s="15" t="s">
        <v>255</v>
      </c>
      <c r="D169" s="22" t="s">
        <v>588</v>
      </c>
      <c r="E169" s="81">
        <v>28.166641424092099</v>
      </c>
      <c r="F169" s="81">
        <v>-80.590067684720907</v>
      </c>
    </row>
    <row r="170" spans="1:6" ht="39.6" x14ac:dyDescent="0.3">
      <c r="A170" s="58">
        <v>2635</v>
      </c>
      <c r="B170" s="15" t="s">
        <v>414</v>
      </c>
      <c r="C170" s="15" t="s">
        <v>194</v>
      </c>
      <c r="D170" s="22" t="s">
        <v>588</v>
      </c>
      <c r="E170" s="81">
        <v>28.182336371696898</v>
      </c>
      <c r="F170" s="81">
        <v>-80.594490299235304</v>
      </c>
    </row>
    <row r="171" spans="1:6" ht="105.6" x14ac:dyDescent="0.3">
      <c r="A171" s="58">
        <v>2636</v>
      </c>
      <c r="B171" s="15" t="s">
        <v>413</v>
      </c>
      <c r="C171" s="15" t="s">
        <v>252</v>
      </c>
      <c r="D171" s="22" t="s">
        <v>588</v>
      </c>
      <c r="E171" s="81">
        <v>28.183731336677202</v>
      </c>
      <c r="F171" s="81">
        <v>-80.601942296336702</v>
      </c>
    </row>
    <row r="172" spans="1:6" ht="39.6" x14ac:dyDescent="0.3">
      <c r="A172" s="58">
        <v>2637</v>
      </c>
      <c r="B172" s="15" t="s">
        <v>412</v>
      </c>
      <c r="C172" s="15" t="s">
        <v>194</v>
      </c>
      <c r="D172" s="22" t="s">
        <v>588</v>
      </c>
      <c r="E172" s="81">
        <v>28.183731336677202</v>
      </c>
      <c r="F172" s="81">
        <v>-80.601942296336702</v>
      </c>
    </row>
    <row r="173" spans="1:6" ht="39.6" x14ac:dyDescent="0.3">
      <c r="A173" s="58">
        <v>2642</v>
      </c>
      <c r="B173" s="15" t="s">
        <v>416</v>
      </c>
      <c r="C173" s="15" t="s">
        <v>198</v>
      </c>
      <c r="D173" s="22" t="s">
        <v>588</v>
      </c>
      <c r="E173" s="81">
        <v>28.165614245745399</v>
      </c>
      <c r="F173" s="81">
        <v>-80.598667484295703</v>
      </c>
    </row>
    <row r="174" spans="1:6" ht="39.6" x14ac:dyDescent="0.3">
      <c r="A174" s="58">
        <v>2644</v>
      </c>
      <c r="B174" s="15" t="s">
        <v>417</v>
      </c>
      <c r="C174" s="15" t="s">
        <v>623</v>
      </c>
      <c r="D174" s="22" t="s">
        <v>588</v>
      </c>
      <c r="E174" s="81">
        <v>28.165054379555698</v>
      </c>
      <c r="F174" s="81">
        <v>-80.594565843065695</v>
      </c>
    </row>
    <row r="175" spans="1:6" ht="39.6" x14ac:dyDescent="0.3">
      <c r="A175" s="58">
        <v>2651</v>
      </c>
      <c r="B175" s="15" t="s">
        <v>411</v>
      </c>
      <c r="C175" s="15" t="s">
        <v>194</v>
      </c>
      <c r="D175" s="22" t="s">
        <v>588</v>
      </c>
      <c r="E175" s="81">
        <v>28.182881608434801</v>
      </c>
      <c r="F175" s="81">
        <v>-80.595856068935106</v>
      </c>
    </row>
    <row r="176" spans="1:6" ht="39.6" x14ac:dyDescent="0.3">
      <c r="A176" s="58">
        <v>2652</v>
      </c>
      <c r="B176" s="15" t="s">
        <v>410</v>
      </c>
      <c r="C176" s="15" t="s">
        <v>194</v>
      </c>
      <c r="D176" s="22" t="s">
        <v>588</v>
      </c>
      <c r="E176" s="81">
        <v>28.183302298659999</v>
      </c>
      <c r="F176" s="81">
        <v>-80.598923265410903</v>
      </c>
    </row>
    <row r="177" spans="1:6" ht="39.6" x14ac:dyDescent="0.3">
      <c r="A177" s="58">
        <v>2666</v>
      </c>
      <c r="B177" s="15" t="s">
        <v>418</v>
      </c>
      <c r="C177" s="15" t="s">
        <v>198</v>
      </c>
      <c r="D177" s="22" t="s">
        <v>588</v>
      </c>
      <c r="E177" s="81">
        <v>28.165991396092799</v>
      </c>
      <c r="F177" s="81">
        <v>-80.594215572707796</v>
      </c>
    </row>
    <row r="178" spans="1:6" ht="66" x14ac:dyDescent="0.3">
      <c r="A178" s="58">
        <v>2670</v>
      </c>
      <c r="B178" s="15" t="s">
        <v>211</v>
      </c>
      <c r="C178" s="15" t="s">
        <v>212</v>
      </c>
      <c r="D178" s="22" t="s">
        <v>588</v>
      </c>
      <c r="E178" s="81">
        <v>28.185679133565699</v>
      </c>
      <c r="F178" s="81">
        <v>-80.599899061562994</v>
      </c>
    </row>
    <row r="179" spans="1:6" ht="39.6" x14ac:dyDescent="0.3">
      <c r="A179" s="58">
        <v>2671</v>
      </c>
      <c r="B179" s="15" t="s">
        <v>209</v>
      </c>
      <c r="C179" s="15" t="s">
        <v>210</v>
      </c>
      <c r="D179" s="16" t="s">
        <v>625</v>
      </c>
      <c r="E179" s="81">
        <v>28.170988223910602</v>
      </c>
      <c r="F179" s="81">
        <v>-80.591067138126903</v>
      </c>
    </row>
    <row r="180" spans="1:6" ht="39.6" x14ac:dyDescent="0.3">
      <c r="A180" s="58">
        <v>2672</v>
      </c>
      <c r="B180" s="15" t="s">
        <v>207</v>
      </c>
      <c r="C180" s="15" t="s">
        <v>208</v>
      </c>
      <c r="D180" s="16" t="s">
        <v>625</v>
      </c>
      <c r="E180" s="81">
        <v>28.170087560527701</v>
      </c>
      <c r="F180" s="81">
        <v>-80.595572321447193</v>
      </c>
    </row>
    <row r="181" spans="1:6" ht="39.6" x14ac:dyDescent="0.3">
      <c r="A181" s="58">
        <v>2673</v>
      </c>
      <c r="B181" s="15" t="s">
        <v>205</v>
      </c>
      <c r="C181" s="15" t="s">
        <v>206</v>
      </c>
      <c r="D181" s="16" t="s">
        <v>625</v>
      </c>
      <c r="E181" s="81">
        <v>28.171386597773399</v>
      </c>
      <c r="F181" s="81">
        <v>-80.594410005199194</v>
      </c>
    </row>
    <row r="182" spans="1:6" ht="39.6" x14ac:dyDescent="0.3">
      <c r="A182" s="58">
        <v>2674</v>
      </c>
      <c r="B182" s="15" t="s">
        <v>203</v>
      </c>
      <c r="C182" s="15" t="s">
        <v>204</v>
      </c>
      <c r="D182" s="22" t="s">
        <v>588</v>
      </c>
      <c r="E182" s="81">
        <v>28.1723555792078</v>
      </c>
      <c r="F182" s="81">
        <v>-80.592977070751303</v>
      </c>
    </row>
    <row r="183" spans="1:6" ht="39.6" x14ac:dyDescent="0.3">
      <c r="A183" s="58">
        <v>2675</v>
      </c>
      <c r="B183" s="15" t="s">
        <v>201</v>
      </c>
      <c r="C183" s="15" t="s">
        <v>202</v>
      </c>
      <c r="D183" s="22" t="s">
        <v>588</v>
      </c>
      <c r="E183" s="81">
        <v>28.170597246678302</v>
      </c>
      <c r="F183" s="81">
        <v>-80.595116282810693</v>
      </c>
    </row>
    <row r="184" spans="1:6" ht="39.6" x14ac:dyDescent="0.3">
      <c r="A184" s="58">
        <v>2676</v>
      </c>
      <c r="B184" s="15" t="s">
        <v>199</v>
      </c>
      <c r="C184" s="15" t="s">
        <v>200</v>
      </c>
      <c r="D184" s="22" t="s">
        <v>588</v>
      </c>
      <c r="E184" s="81">
        <v>28.167189750702398</v>
      </c>
      <c r="F184" s="81">
        <v>-80.600533295345897</v>
      </c>
    </row>
    <row r="185" spans="1:6" ht="39.6" x14ac:dyDescent="0.3">
      <c r="A185" s="58">
        <v>2677</v>
      </c>
      <c r="B185" s="15" t="s">
        <v>197</v>
      </c>
      <c r="C185" s="15" t="s">
        <v>198</v>
      </c>
      <c r="D185" s="22" t="s">
        <v>588</v>
      </c>
      <c r="E185" s="81">
        <v>28.164811499032499</v>
      </c>
      <c r="F185" s="81">
        <v>-80.599927117115897</v>
      </c>
    </row>
    <row r="186" spans="1:6" ht="39.6" x14ac:dyDescent="0.3">
      <c r="A186" s="58">
        <v>2678</v>
      </c>
      <c r="B186" s="15" t="s">
        <v>195</v>
      </c>
      <c r="C186" s="15" t="s">
        <v>196</v>
      </c>
      <c r="D186" s="22" t="s">
        <v>588</v>
      </c>
      <c r="E186" s="81">
        <v>28.165054379555698</v>
      </c>
      <c r="F186" s="81">
        <v>-80.594565843065695</v>
      </c>
    </row>
    <row r="187" spans="1:6" ht="92.4" x14ac:dyDescent="0.3">
      <c r="A187" s="15">
        <v>2728</v>
      </c>
      <c r="B187" s="15" t="s">
        <v>21</v>
      </c>
      <c r="C187" s="15" t="s">
        <v>22</v>
      </c>
      <c r="D187" s="15" t="s">
        <v>588</v>
      </c>
      <c r="E187" s="72">
        <v>28.566355294085799</v>
      </c>
      <c r="F187" s="72">
        <v>-80.611545582386796</v>
      </c>
    </row>
    <row r="188" spans="1:6" ht="145.19999999999999" x14ac:dyDescent="0.3">
      <c r="A188" s="15">
        <v>2789</v>
      </c>
      <c r="B188" s="15" t="s">
        <v>441</v>
      </c>
      <c r="C188" s="15" t="s">
        <v>92</v>
      </c>
      <c r="D188" s="15" t="s">
        <v>699</v>
      </c>
      <c r="E188" s="72">
        <v>28.381763061747399</v>
      </c>
      <c r="F188" s="72">
        <v>-80.671108408931602</v>
      </c>
    </row>
    <row r="189" spans="1:6" ht="52.8" x14ac:dyDescent="0.3">
      <c r="A189" s="15">
        <v>2874</v>
      </c>
      <c r="B189" s="15" t="s">
        <v>37</v>
      </c>
      <c r="C189" s="15" t="s">
        <v>38</v>
      </c>
      <c r="D189" s="15" t="s">
        <v>588</v>
      </c>
      <c r="E189" s="72">
        <v>28.514066549602099</v>
      </c>
      <c r="F189" s="72">
        <v>-80.641048757907598</v>
      </c>
    </row>
    <row r="190" spans="1:6" ht="39.6" x14ac:dyDescent="0.3">
      <c r="A190" s="58">
        <v>2876</v>
      </c>
      <c r="B190" s="15" t="s">
        <v>966</v>
      </c>
      <c r="C190" s="15" t="s">
        <v>967</v>
      </c>
      <c r="D190" s="15" t="s">
        <v>968</v>
      </c>
      <c r="E190" s="84">
        <v>28.236264108801699</v>
      </c>
      <c r="F190" s="84">
        <v>-80.602716039713201</v>
      </c>
    </row>
    <row r="191" spans="1:6" ht="52.8" x14ac:dyDescent="0.3">
      <c r="A191" s="58">
        <v>2877</v>
      </c>
      <c r="B191" s="15" t="s">
        <v>963</v>
      </c>
      <c r="C191" s="15" t="s">
        <v>964</v>
      </c>
      <c r="D191" s="15" t="s">
        <v>1009</v>
      </c>
      <c r="E191" s="72">
        <v>28.253268654955502</v>
      </c>
      <c r="F191" s="72">
        <v>-80.604160471762199</v>
      </c>
    </row>
    <row r="192" spans="1:6" ht="52.8" x14ac:dyDescent="0.3">
      <c r="A192" s="58">
        <v>2878</v>
      </c>
      <c r="B192" s="15" t="s">
        <v>961</v>
      </c>
      <c r="C192" s="15" t="s">
        <v>962</v>
      </c>
      <c r="D192" s="15" t="s">
        <v>1009</v>
      </c>
      <c r="E192" s="72">
        <v>28.192143118322299</v>
      </c>
      <c r="F192" s="72">
        <v>-80.600875037179193</v>
      </c>
    </row>
    <row r="193" spans="1:6" ht="39.6" x14ac:dyDescent="0.3">
      <c r="A193" s="15">
        <v>2879</v>
      </c>
      <c r="B193" s="15" t="s">
        <v>449</v>
      </c>
      <c r="C193" s="21" t="s">
        <v>450</v>
      </c>
      <c r="D193" s="15" t="s">
        <v>504</v>
      </c>
      <c r="E193" s="86">
        <v>28.413374999999998</v>
      </c>
      <c r="F193" s="86">
        <v>-80.644490000000005</v>
      </c>
    </row>
    <row r="194" spans="1:6" ht="52.8" x14ac:dyDescent="0.3">
      <c r="A194" s="15">
        <v>2880</v>
      </c>
      <c r="B194" s="15" t="s">
        <v>43</v>
      </c>
      <c r="C194" s="15" t="s">
        <v>44</v>
      </c>
      <c r="D194" s="15" t="s">
        <v>588</v>
      </c>
      <c r="E194" s="72">
        <v>28.563820520778499</v>
      </c>
      <c r="F194" s="72">
        <v>-80.635241314773793</v>
      </c>
    </row>
    <row r="195" spans="1:6" ht="409.6" x14ac:dyDescent="0.3">
      <c r="A195" s="58">
        <v>2881</v>
      </c>
      <c r="B195" s="15" t="s">
        <v>971</v>
      </c>
      <c r="C195" s="15" t="s">
        <v>1</v>
      </c>
      <c r="D195" s="71" t="s">
        <v>972</v>
      </c>
      <c r="E195" s="63">
        <v>28.513004915476898</v>
      </c>
      <c r="F195" s="63">
        <v>-80.640302833114902</v>
      </c>
    </row>
    <row r="196" spans="1:6" ht="52.8" x14ac:dyDescent="0.3">
      <c r="A196" s="15">
        <v>2882</v>
      </c>
      <c r="B196" s="15" t="s">
        <v>39</v>
      </c>
      <c r="C196" s="15" t="s">
        <v>40</v>
      </c>
      <c r="D196" s="15" t="s">
        <v>588</v>
      </c>
      <c r="E196" s="72">
        <v>28.513004915476898</v>
      </c>
      <c r="F196" s="72">
        <v>-80.640302833114902</v>
      </c>
    </row>
    <row r="197" spans="1:6" ht="92.4" x14ac:dyDescent="0.3">
      <c r="A197" s="58">
        <v>2883</v>
      </c>
      <c r="B197" s="15" t="s">
        <v>973</v>
      </c>
      <c r="C197" s="15" t="s">
        <v>974</v>
      </c>
      <c r="D197" s="15" t="s">
        <v>975</v>
      </c>
      <c r="E197" s="72">
        <v>28.216408107554098</v>
      </c>
      <c r="F197" s="72">
        <v>-80.605103263006896</v>
      </c>
    </row>
    <row r="198" spans="1:6" ht="52.8" x14ac:dyDescent="0.3">
      <c r="A198" s="15">
        <v>2884</v>
      </c>
      <c r="B198" s="15" t="s">
        <v>35</v>
      </c>
      <c r="C198" s="15" t="s">
        <v>36</v>
      </c>
      <c r="D198" s="15" t="s">
        <v>588</v>
      </c>
      <c r="E198" s="72">
        <v>28.514701776078599</v>
      </c>
      <c r="F198" s="72">
        <v>-80.641518936980404</v>
      </c>
    </row>
    <row r="199" spans="1:6" ht="52.8" x14ac:dyDescent="0.3">
      <c r="A199" s="15">
        <v>2885</v>
      </c>
      <c r="B199" s="15" t="s">
        <v>33</v>
      </c>
      <c r="C199" s="15" t="s">
        <v>34</v>
      </c>
      <c r="D199" s="15" t="s">
        <v>588</v>
      </c>
      <c r="E199" s="72">
        <v>28.5166004313526</v>
      </c>
      <c r="F199" s="72">
        <v>-80.640109777253201</v>
      </c>
    </row>
    <row r="200" spans="1:6" ht="79.2" x14ac:dyDescent="0.3">
      <c r="A200" s="15">
        <v>2888</v>
      </c>
      <c r="B200" s="15" t="s">
        <v>27</v>
      </c>
      <c r="C200" s="15" t="s">
        <v>28</v>
      </c>
      <c r="D200" s="15" t="s">
        <v>588</v>
      </c>
      <c r="E200" s="72">
        <v>28.485804415232</v>
      </c>
      <c r="F200" s="72">
        <v>-80.655904289003701</v>
      </c>
    </row>
    <row r="201" spans="1:6" ht="79.2" x14ac:dyDescent="0.3">
      <c r="A201" s="15">
        <v>2889</v>
      </c>
      <c r="B201" s="15" t="s">
        <v>25</v>
      </c>
      <c r="C201" s="15" t="s">
        <v>26</v>
      </c>
      <c r="D201" s="15" t="s">
        <v>588</v>
      </c>
      <c r="E201" s="72">
        <v>28.471483023471801</v>
      </c>
      <c r="F201" s="72">
        <v>-80.662119149981194</v>
      </c>
    </row>
    <row r="202" spans="1:6" ht="26.4" x14ac:dyDescent="0.3">
      <c r="A202" s="15">
        <v>2890</v>
      </c>
      <c r="B202" s="15" t="s">
        <v>23</v>
      </c>
      <c r="C202" s="15" t="s">
        <v>24</v>
      </c>
      <c r="D202" s="15" t="s">
        <v>588</v>
      </c>
      <c r="E202" s="72">
        <v>28.5674024350933</v>
      </c>
      <c r="F202" s="72">
        <v>-80.6182986186694</v>
      </c>
    </row>
    <row r="203" spans="1:6" ht="52.8" x14ac:dyDescent="0.3">
      <c r="A203" s="15">
        <v>2891</v>
      </c>
      <c r="B203" s="15" t="s">
        <v>41</v>
      </c>
      <c r="C203" s="15" t="s">
        <v>42</v>
      </c>
      <c r="D203" s="15" t="s">
        <v>588</v>
      </c>
      <c r="E203" s="72">
        <v>28.5157211989372</v>
      </c>
      <c r="F203" s="72">
        <v>-80.641071183709002</v>
      </c>
    </row>
    <row r="204" spans="1:6" ht="92.4" x14ac:dyDescent="0.3">
      <c r="A204" s="58">
        <v>2892</v>
      </c>
      <c r="B204" s="15" t="s">
        <v>994</v>
      </c>
      <c r="C204" s="15" t="s">
        <v>995</v>
      </c>
      <c r="D204" s="15" t="s">
        <v>996</v>
      </c>
      <c r="E204" s="84">
        <v>28.214739999999999</v>
      </c>
      <c r="F204" s="84">
        <v>-80.610129999999998</v>
      </c>
    </row>
    <row r="205" spans="1:6" ht="132" x14ac:dyDescent="0.3">
      <c r="A205" s="58">
        <v>2897</v>
      </c>
      <c r="B205" s="15" t="s">
        <v>1004</v>
      </c>
      <c r="C205" s="15" t="s">
        <v>1005</v>
      </c>
      <c r="D205" s="15" t="s">
        <v>1006</v>
      </c>
      <c r="E205" s="84">
        <v>28.21369</v>
      </c>
      <c r="F205" s="84">
        <v>-80.616780000000006</v>
      </c>
    </row>
    <row r="206" spans="1:6" ht="39.6" x14ac:dyDescent="0.3">
      <c r="A206" s="58">
        <v>2899</v>
      </c>
      <c r="B206" s="15" t="s">
        <v>969</v>
      </c>
      <c r="C206" s="15" t="s">
        <v>970</v>
      </c>
      <c r="D206" s="15" t="s">
        <v>968</v>
      </c>
      <c r="E206" s="84">
        <v>28.237257606547701</v>
      </c>
      <c r="F206" s="84">
        <v>-80.603637237860497</v>
      </c>
    </row>
    <row r="207" spans="1:6" ht="356.4" x14ac:dyDescent="0.3">
      <c r="A207" s="58">
        <v>2900</v>
      </c>
      <c r="B207" s="15" t="s">
        <v>997</v>
      </c>
      <c r="C207" s="15" t="s">
        <v>565</v>
      </c>
      <c r="D207" s="15" t="s">
        <v>998</v>
      </c>
      <c r="E207" s="72">
        <v>28.2328634256613</v>
      </c>
      <c r="F207" s="72">
        <v>-80.608028178654905</v>
      </c>
    </row>
    <row r="208" spans="1:6" ht="184.8" x14ac:dyDescent="0.3">
      <c r="A208" s="58">
        <v>2902</v>
      </c>
      <c r="B208" s="15" t="s">
        <v>993</v>
      </c>
      <c r="C208" s="15" t="s">
        <v>558</v>
      </c>
      <c r="D208" s="15" t="s">
        <v>1011</v>
      </c>
      <c r="E208" s="72">
        <v>28.234812999999999</v>
      </c>
      <c r="F208" s="72">
        <v>-80.607911000000001</v>
      </c>
    </row>
    <row r="209" spans="1:6" ht="132" x14ac:dyDescent="0.3">
      <c r="A209" s="58">
        <v>2903</v>
      </c>
      <c r="B209" s="15" t="s">
        <v>990</v>
      </c>
      <c r="C209" s="15" t="s">
        <v>991</v>
      </c>
      <c r="D209" s="15" t="s">
        <v>992</v>
      </c>
      <c r="E209" s="84">
        <v>28.253509999999999</v>
      </c>
      <c r="F209" s="84">
        <v>-80.604089999999999</v>
      </c>
    </row>
    <row r="210" spans="1:6" ht="224.4" x14ac:dyDescent="0.3">
      <c r="A210" s="58">
        <v>2904</v>
      </c>
      <c r="B210" s="15" t="s">
        <v>988</v>
      </c>
      <c r="C210" s="15" t="s">
        <v>989</v>
      </c>
      <c r="D210" s="58" t="s">
        <v>1010</v>
      </c>
      <c r="E210" s="72">
        <v>28.214739999999999</v>
      </c>
      <c r="F210" s="72">
        <v>-80.610129999999998</v>
      </c>
    </row>
    <row r="211" spans="1:6" ht="66" x14ac:dyDescent="0.3">
      <c r="A211" s="58">
        <v>2905</v>
      </c>
      <c r="B211" s="15" t="s">
        <v>986</v>
      </c>
      <c r="C211" s="15" t="s">
        <v>875</v>
      </c>
      <c r="D211" s="15" t="s">
        <v>987</v>
      </c>
      <c r="E211" s="72">
        <v>28.253509999999999</v>
      </c>
      <c r="F211" s="72">
        <v>-80.604089999999999</v>
      </c>
    </row>
    <row r="212" spans="1:6" ht="145.19999999999999" x14ac:dyDescent="0.3">
      <c r="A212" s="58">
        <v>2906</v>
      </c>
      <c r="B212" s="15" t="s">
        <v>983</v>
      </c>
      <c r="C212" s="15" t="s">
        <v>984</v>
      </c>
      <c r="D212" s="15" t="s">
        <v>985</v>
      </c>
      <c r="E212" s="72">
        <v>28.250592000000001</v>
      </c>
      <c r="F212" s="72">
        <v>-80.607031000000006</v>
      </c>
    </row>
    <row r="213" spans="1:6" ht="409.6" x14ac:dyDescent="0.3">
      <c r="A213" s="58">
        <v>2909</v>
      </c>
      <c r="B213" s="15" t="s">
        <v>1000</v>
      </c>
      <c r="C213" s="20" t="s">
        <v>1013</v>
      </c>
      <c r="D213" s="83" t="s">
        <v>1014</v>
      </c>
      <c r="E213" s="85">
        <v>28.256325</v>
      </c>
      <c r="F213" s="85">
        <v>-80.611908999999997</v>
      </c>
    </row>
    <row r="214" spans="1:6" ht="79.2" x14ac:dyDescent="0.3">
      <c r="A214" s="58">
        <v>4328</v>
      </c>
      <c r="B214" s="70" t="s">
        <v>671</v>
      </c>
      <c r="C214" s="15" t="s">
        <v>672</v>
      </c>
      <c r="D214" s="58" t="s">
        <v>691</v>
      </c>
      <c r="E214" s="81">
        <v>28.396129999999999</v>
      </c>
      <c r="F214" s="81">
        <v>-80.608059999999995</v>
      </c>
    </row>
    <row r="215" spans="1:6" ht="92.4" x14ac:dyDescent="0.3">
      <c r="A215" s="58">
        <v>4329</v>
      </c>
      <c r="B215" s="15" t="s">
        <v>673</v>
      </c>
      <c r="C215" s="15" t="s">
        <v>674</v>
      </c>
      <c r="D215" s="15" t="s">
        <v>692</v>
      </c>
      <c r="E215" s="81">
        <v>28.340029999999999</v>
      </c>
      <c r="F215" s="81">
        <v>-80.686019999999999</v>
      </c>
    </row>
    <row r="216" spans="1:6" ht="118.8" x14ac:dyDescent="0.3">
      <c r="A216" s="58">
        <v>4330</v>
      </c>
      <c r="B216" s="15" t="s">
        <v>676</v>
      </c>
      <c r="C216" s="15" t="s">
        <v>1</v>
      </c>
      <c r="D216" s="15" t="s">
        <v>693</v>
      </c>
      <c r="E216" s="81">
        <v>28.380980000000001</v>
      </c>
      <c r="F216" s="81">
        <v>-80.701480000000004</v>
      </c>
    </row>
    <row r="217" spans="1:6" ht="132" x14ac:dyDescent="0.3">
      <c r="A217" s="58">
        <v>4331</v>
      </c>
      <c r="B217" s="15" t="s">
        <v>677</v>
      </c>
      <c r="C217" s="15" t="s">
        <v>876</v>
      </c>
      <c r="D217" s="15" t="s">
        <v>702</v>
      </c>
      <c r="E217" s="81">
        <v>28.340029999999999</v>
      </c>
      <c r="F217" s="81">
        <v>-80.686019999999999</v>
      </c>
    </row>
    <row r="218" spans="1:6" ht="290.39999999999998" x14ac:dyDescent="0.3">
      <c r="A218" s="58">
        <v>4332</v>
      </c>
      <c r="B218" s="15" t="s">
        <v>678</v>
      </c>
      <c r="C218" s="15" t="s">
        <v>877</v>
      </c>
      <c r="D218" s="15" t="s">
        <v>683</v>
      </c>
      <c r="E218" s="81">
        <v>28.380980000000001</v>
      </c>
      <c r="F218" s="81">
        <v>-80.701480000000004</v>
      </c>
    </row>
    <row r="219" spans="1:6" ht="237.6" x14ac:dyDescent="0.3">
      <c r="A219" s="58">
        <v>4333</v>
      </c>
      <c r="B219" s="15" t="s">
        <v>682</v>
      </c>
      <c r="C219" s="69" t="s">
        <v>928</v>
      </c>
      <c r="D219" s="15" t="s">
        <v>679</v>
      </c>
      <c r="E219" s="81">
        <v>28.36543</v>
      </c>
      <c r="F219" s="81">
        <v>-80.665760000000006</v>
      </c>
    </row>
    <row r="220" spans="1:6" ht="237.6" x14ac:dyDescent="0.3">
      <c r="A220" s="58">
        <v>4334</v>
      </c>
      <c r="B220" s="15" t="s">
        <v>684</v>
      </c>
      <c r="C220" s="69" t="s">
        <v>929</v>
      </c>
      <c r="D220" s="15" t="s">
        <v>679</v>
      </c>
      <c r="E220" s="81">
        <v>28.363409999999998</v>
      </c>
      <c r="F220" s="81">
        <v>-80.664910000000006</v>
      </c>
    </row>
    <row r="221" spans="1:6" ht="237.6" x14ac:dyDescent="0.3">
      <c r="A221" s="58">
        <v>4335</v>
      </c>
      <c r="B221" s="15" t="s">
        <v>685</v>
      </c>
      <c r="C221" s="69" t="s">
        <v>930</v>
      </c>
      <c r="D221" s="15" t="s">
        <v>679</v>
      </c>
      <c r="E221" s="81">
        <v>28.364419999999999</v>
      </c>
      <c r="F221" s="81">
        <v>-80.665940000000006</v>
      </c>
    </row>
    <row r="222" spans="1:6" ht="237.6" x14ac:dyDescent="0.3">
      <c r="A222" s="58">
        <v>4336</v>
      </c>
      <c r="B222" s="15" t="s">
        <v>686</v>
      </c>
      <c r="C222" s="15" t="s">
        <v>878</v>
      </c>
      <c r="D222" s="15" t="s">
        <v>679</v>
      </c>
      <c r="E222" s="81">
        <v>28.364899999999999</v>
      </c>
      <c r="F222" s="81">
        <v>-80.695530000000005</v>
      </c>
    </row>
    <row r="223" spans="1:6" ht="211.2" x14ac:dyDescent="0.3">
      <c r="A223" s="58">
        <v>4337</v>
      </c>
      <c r="B223" s="15" t="s">
        <v>687</v>
      </c>
      <c r="C223" s="15" t="s">
        <v>879</v>
      </c>
      <c r="D223" s="15" t="s">
        <v>689</v>
      </c>
      <c r="E223" s="81">
        <v>28.172429999999999</v>
      </c>
      <c r="F223" s="81">
        <v>-80.608559999999997</v>
      </c>
    </row>
    <row r="224" spans="1:6" ht="145.19999999999999" x14ac:dyDescent="0.3">
      <c r="A224" s="58">
        <v>4338</v>
      </c>
      <c r="B224" s="69" t="s">
        <v>688</v>
      </c>
      <c r="C224" s="69" t="s">
        <v>931</v>
      </c>
      <c r="D224" s="69" t="s">
        <v>932</v>
      </c>
      <c r="E224" s="81">
        <v>28.203620000000001</v>
      </c>
      <c r="F224" s="81">
        <v>-80.603870000000001</v>
      </c>
    </row>
    <row r="225" spans="1:6" ht="105.6" x14ac:dyDescent="0.3">
      <c r="A225" s="58">
        <v>4339</v>
      </c>
      <c r="B225" s="15" t="s">
        <v>645</v>
      </c>
      <c r="C225" s="58" t="s">
        <v>646</v>
      </c>
      <c r="D225" s="68" t="s">
        <v>870</v>
      </c>
      <c r="E225" s="72">
        <v>28.320284999999998</v>
      </c>
      <c r="F225" s="72">
        <v>-80.611547000000002</v>
      </c>
    </row>
    <row r="226" spans="1:6" ht="66" x14ac:dyDescent="0.3">
      <c r="A226" s="58">
        <v>4340</v>
      </c>
      <c r="B226" s="15" t="s">
        <v>766</v>
      </c>
      <c r="C226" s="15" t="s">
        <v>774</v>
      </c>
      <c r="D226" s="15" t="s">
        <v>775</v>
      </c>
      <c r="E226" s="72">
        <v>28.381668000000001</v>
      </c>
      <c r="F226" s="72">
        <v>-80.607943000000006</v>
      </c>
    </row>
    <row r="227" spans="1:6" ht="66" x14ac:dyDescent="0.3">
      <c r="A227" s="58">
        <v>4341</v>
      </c>
      <c r="B227" s="15" t="s">
        <v>767</v>
      </c>
      <c r="C227" s="15" t="s">
        <v>776</v>
      </c>
      <c r="D227" s="15" t="s">
        <v>777</v>
      </c>
      <c r="E227" s="84">
        <v>28.392517999999999</v>
      </c>
      <c r="F227" s="84">
        <v>-80.618622000000002</v>
      </c>
    </row>
    <row r="228" spans="1:6" ht="66" x14ac:dyDescent="0.3">
      <c r="A228" s="58">
        <v>4343</v>
      </c>
      <c r="B228" s="15" t="s">
        <v>769</v>
      </c>
      <c r="C228" s="15" t="s">
        <v>780</v>
      </c>
      <c r="D228" s="15" t="s">
        <v>781</v>
      </c>
      <c r="E228" s="72">
        <v>28.381668000000001</v>
      </c>
      <c r="F228" s="72">
        <v>-80.607943000000006</v>
      </c>
    </row>
    <row r="229" spans="1:6" ht="66" x14ac:dyDescent="0.3">
      <c r="A229" s="58">
        <v>4344</v>
      </c>
      <c r="B229" s="15" t="s">
        <v>770</v>
      </c>
      <c r="C229" s="15" t="s">
        <v>782</v>
      </c>
      <c r="D229" s="15" t="s">
        <v>783</v>
      </c>
      <c r="E229" s="72">
        <v>28.396446999999998</v>
      </c>
      <c r="F229" s="72">
        <v>-80.608036999999996</v>
      </c>
    </row>
    <row r="230" spans="1:6" ht="118.8" x14ac:dyDescent="0.3">
      <c r="A230" s="58">
        <v>4345</v>
      </c>
      <c r="B230" s="15" t="s">
        <v>771</v>
      </c>
      <c r="C230" s="15" t="s">
        <v>784</v>
      </c>
      <c r="D230" s="69" t="s">
        <v>957</v>
      </c>
      <c r="E230" s="72">
        <v>28.387537999999999</v>
      </c>
      <c r="F230" s="72">
        <v>-80.601541999999995</v>
      </c>
    </row>
    <row r="231" spans="1:6" ht="79.2" x14ac:dyDescent="0.3">
      <c r="A231" s="58">
        <v>4346</v>
      </c>
      <c r="B231" s="15" t="s">
        <v>772</v>
      </c>
      <c r="C231" s="15" t="s">
        <v>786</v>
      </c>
      <c r="D231" s="15" t="s">
        <v>787</v>
      </c>
      <c r="E231" s="72">
        <v>28.389980999999999</v>
      </c>
      <c r="F231" s="72">
        <v>-80.611395999999999</v>
      </c>
    </row>
    <row r="232" spans="1:6" ht="66" x14ac:dyDescent="0.3">
      <c r="A232" s="58">
        <v>4347</v>
      </c>
      <c r="B232" s="15" t="s">
        <v>773</v>
      </c>
      <c r="C232" s="15" t="s">
        <v>788</v>
      </c>
      <c r="D232" s="15" t="s">
        <v>789</v>
      </c>
      <c r="E232" s="84">
        <v>28.39453</v>
      </c>
      <c r="F232" s="84">
        <v>-80.619078000000002</v>
      </c>
    </row>
    <row r="233" spans="1:6" ht="184.8" x14ac:dyDescent="0.3">
      <c r="A233" s="58">
        <v>4349</v>
      </c>
      <c r="B233" s="15" t="s">
        <v>713</v>
      </c>
      <c r="C233" s="15" t="s">
        <v>579</v>
      </c>
      <c r="D233" s="58" t="s">
        <v>714</v>
      </c>
      <c r="E233" s="72">
        <v>28.514361999999998</v>
      </c>
      <c r="F233" s="72">
        <v>-80.591837999999996</v>
      </c>
    </row>
    <row r="234" spans="1:6" ht="66" x14ac:dyDescent="0.3">
      <c r="A234" s="58">
        <v>4350</v>
      </c>
      <c r="B234" s="15" t="s">
        <v>716</v>
      </c>
      <c r="C234" s="15" t="s">
        <v>731</v>
      </c>
      <c r="D234" s="22" t="s">
        <v>732</v>
      </c>
      <c r="E234" s="81" t="s">
        <v>1061</v>
      </c>
      <c r="F234" s="81">
        <v>-80.598506971456601</v>
      </c>
    </row>
    <row r="235" spans="1:6" ht="66" x14ac:dyDescent="0.3">
      <c r="A235" s="58">
        <v>4351</v>
      </c>
      <c r="B235" s="15" t="s">
        <v>717</v>
      </c>
      <c r="C235" s="15" t="s">
        <v>734</v>
      </c>
      <c r="D235" s="22" t="s">
        <v>735</v>
      </c>
      <c r="E235" s="81">
        <v>28.175957610509101</v>
      </c>
      <c r="F235" s="81">
        <v>-80.606124458942404</v>
      </c>
    </row>
    <row r="236" spans="1:6" ht="118.8" x14ac:dyDescent="0.3">
      <c r="A236" s="58">
        <v>4352</v>
      </c>
      <c r="B236" s="15" t="s">
        <v>718</v>
      </c>
      <c r="C236" s="15" t="s">
        <v>736</v>
      </c>
      <c r="D236" s="22" t="s">
        <v>737</v>
      </c>
      <c r="E236" s="81">
        <v>28.175758677116701</v>
      </c>
      <c r="F236" s="81">
        <v>-80.5950208243828</v>
      </c>
    </row>
    <row r="237" spans="1:6" ht="52.8" x14ac:dyDescent="0.3">
      <c r="A237" s="58">
        <v>4353</v>
      </c>
      <c r="B237" s="15" t="s">
        <v>719</v>
      </c>
      <c r="C237" s="15" t="s">
        <v>738</v>
      </c>
      <c r="D237" s="22" t="s">
        <v>739</v>
      </c>
      <c r="E237" s="81">
        <v>28.183968264968499</v>
      </c>
      <c r="F237" s="81">
        <v>-80.606885586360207</v>
      </c>
    </row>
    <row r="238" spans="1:6" ht="66" x14ac:dyDescent="0.3">
      <c r="A238" s="58">
        <v>4354</v>
      </c>
      <c r="B238" s="15" t="s">
        <v>720</v>
      </c>
      <c r="C238" s="15" t="s">
        <v>740</v>
      </c>
      <c r="D238" s="22" t="s">
        <v>741</v>
      </c>
      <c r="E238" s="81">
        <v>28.1839683276724</v>
      </c>
      <c r="F238" s="81">
        <v>-80.605286984553501</v>
      </c>
    </row>
    <row r="239" spans="1:6" ht="79.2" x14ac:dyDescent="0.3">
      <c r="A239" s="58">
        <v>4355</v>
      </c>
      <c r="B239" s="15" t="s">
        <v>721</v>
      </c>
      <c r="C239" s="15" t="s">
        <v>742</v>
      </c>
      <c r="D239" s="22" t="s">
        <v>743</v>
      </c>
      <c r="E239" s="81">
        <v>28.160671931349398</v>
      </c>
      <c r="F239" s="81">
        <v>-80.5951551156938</v>
      </c>
    </row>
    <row r="240" spans="1:6" ht="79.2" x14ac:dyDescent="0.3">
      <c r="A240" s="58">
        <v>4356</v>
      </c>
      <c r="B240" s="15" t="s">
        <v>722</v>
      </c>
      <c r="C240" s="15" t="s">
        <v>744</v>
      </c>
      <c r="D240" s="22" t="s">
        <v>745</v>
      </c>
      <c r="E240" s="81">
        <v>28.158832097395599</v>
      </c>
      <c r="F240" s="81">
        <v>-80.595198002577305</v>
      </c>
    </row>
    <row r="241" spans="1:6" ht="79.2" x14ac:dyDescent="0.3">
      <c r="A241" s="58">
        <v>4357</v>
      </c>
      <c r="B241" s="15" t="s">
        <v>723</v>
      </c>
      <c r="C241" s="15" t="s">
        <v>746</v>
      </c>
      <c r="D241" s="22" t="s">
        <v>747</v>
      </c>
      <c r="E241" s="81">
        <v>28.179543083654</v>
      </c>
      <c r="F241" s="81">
        <v>-80.605100579343897</v>
      </c>
    </row>
    <row r="242" spans="1:6" ht="79.2" x14ac:dyDescent="0.3">
      <c r="A242" s="58">
        <v>4358</v>
      </c>
      <c r="B242" s="15" t="s">
        <v>724</v>
      </c>
      <c r="C242" s="15" t="s">
        <v>748</v>
      </c>
      <c r="D242" s="22" t="s">
        <v>749</v>
      </c>
      <c r="E242" s="81">
        <v>28.157599866383499</v>
      </c>
      <c r="F242" s="81">
        <v>-80.588449788868203</v>
      </c>
    </row>
    <row r="243" spans="1:6" ht="39.6" x14ac:dyDescent="0.3">
      <c r="A243" s="58">
        <v>4359</v>
      </c>
      <c r="B243" s="15" t="s">
        <v>725</v>
      </c>
      <c r="C243" s="15" t="s">
        <v>750</v>
      </c>
      <c r="D243" s="22" t="s">
        <v>751</v>
      </c>
      <c r="E243" s="81">
        <v>28.1574953693341</v>
      </c>
      <c r="F243" s="81">
        <v>-80.597266980723901</v>
      </c>
    </row>
    <row r="244" spans="1:6" ht="52.8" x14ac:dyDescent="0.3">
      <c r="A244" s="58">
        <v>4360</v>
      </c>
      <c r="B244" s="15" t="s">
        <v>726</v>
      </c>
      <c r="C244" s="15" t="s">
        <v>752</v>
      </c>
      <c r="D244" s="22" t="s">
        <v>753</v>
      </c>
      <c r="E244" s="81">
        <v>28.175259831173801</v>
      </c>
      <c r="F244" s="81">
        <v>-80.592750390715494</v>
      </c>
    </row>
    <row r="245" spans="1:6" ht="79.2" x14ac:dyDescent="0.3">
      <c r="A245" s="58">
        <v>4361</v>
      </c>
      <c r="B245" s="15" t="s">
        <v>727</v>
      </c>
      <c r="C245" s="15" t="s">
        <v>754</v>
      </c>
      <c r="D245" s="22" t="s">
        <v>755</v>
      </c>
      <c r="E245" s="81">
        <v>28.185527040131699</v>
      </c>
      <c r="F245" s="81">
        <v>-80.607468887035196</v>
      </c>
    </row>
    <row r="246" spans="1:6" ht="92.4" x14ac:dyDescent="0.3">
      <c r="A246" s="58">
        <v>4363</v>
      </c>
      <c r="B246" s="15" t="s">
        <v>729</v>
      </c>
      <c r="C246" s="15" t="s">
        <v>759</v>
      </c>
      <c r="D246" s="22" t="s">
        <v>760</v>
      </c>
      <c r="E246" s="81">
        <v>28.172158598500602</v>
      </c>
      <c r="F246" s="81">
        <v>-80.604497872740097</v>
      </c>
    </row>
    <row r="247" spans="1:6" ht="79.2" x14ac:dyDescent="0.3">
      <c r="A247" s="58">
        <v>4364</v>
      </c>
      <c r="B247" s="15" t="s">
        <v>730</v>
      </c>
      <c r="C247" s="15" t="s">
        <v>761</v>
      </c>
      <c r="D247" s="22" t="s">
        <v>762</v>
      </c>
      <c r="E247" s="81">
        <v>28.1601183592607</v>
      </c>
      <c r="F247" s="81">
        <v>-80.597833553310807</v>
      </c>
    </row>
    <row r="248" spans="1:6" ht="118.8" x14ac:dyDescent="0.3">
      <c r="A248" s="74">
        <v>5145</v>
      </c>
      <c r="B248" s="68" t="s">
        <v>871</v>
      </c>
      <c r="C248" s="68" t="s">
        <v>872</v>
      </c>
      <c r="D248" s="68" t="s">
        <v>873</v>
      </c>
      <c r="E248" s="72">
        <v>28.141981999999999</v>
      </c>
      <c r="F248" s="72">
        <v>-80.591262</v>
      </c>
    </row>
    <row r="249" spans="1:6" ht="79.2" x14ac:dyDescent="0.3">
      <c r="A249" s="74">
        <v>5146</v>
      </c>
      <c r="B249" s="69" t="s">
        <v>933</v>
      </c>
      <c r="C249" s="69" t="s">
        <v>934</v>
      </c>
      <c r="D249" s="69" t="s">
        <v>935</v>
      </c>
      <c r="E249" s="72">
        <v>28.3109</v>
      </c>
      <c r="F249" s="72">
        <v>-80.638990000000007</v>
      </c>
    </row>
    <row r="250" spans="1:6" ht="79.2" x14ac:dyDescent="0.3">
      <c r="A250" s="74">
        <v>5147</v>
      </c>
      <c r="B250" s="69" t="s">
        <v>936</v>
      </c>
      <c r="C250" s="69" t="s">
        <v>937</v>
      </c>
      <c r="D250" s="69" t="s">
        <v>1042</v>
      </c>
      <c r="E250" s="72">
        <v>28.332249999999998</v>
      </c>
      <c r="F250" s="72">
        <v>-80.614999999999995</v>
      </c>
    </row>
    <row r="251" spans="1:6" ht="66" x14ac:dyDescent="0.3">
      <c r="A251" s="74">
        <v>5148</v>
      </c>
      <c r="B251" s="69" t="s">
        <v>938</v>
      </c>
      <c r="C251" s="69" t="s">
        <v>939</v>
      </c>
      <c r="D251" s="69" t="s">
        <v>1041</v>
      </c>
      <c r="E251" s="72">
        <v>28.172429999999999</v>
      </c>
      <c r="F251" s="72">
        <v>-80.608559999999997</v>
      </c>
    </row>
    <row r="252" spans="1:6" ht="79.2" x14ac:dyDescent="0.3">
      <c r="A252" s="74">
        <v>5149</v>
      </c>
      <c r="B252" s="69" t="s">
        <v>940</v>
      </c>
      <c r="C252" s="69" t="s">
        <v>941</v>
      </c>
      <c r="D252" s="69" t="s">
        <v>1040</v>
      </c>
      <c r="E252" s="72">
        <v>28.152550000000002</v>
      </c>
      <c r="F252" s="72">
        <v>-80.606459999999998</v>
      </c>
    </row>
    <row r="253" spans="1:6" ht="145.19999999999999" x14ac:dyDescent="0.3">
      <c r="A253" s="74">
        <v>5150</v>
      </c>
      <c r="B253" s="69" t="s">
        <v>942</v>
      </c>
      <c r="C253" s="69" t="s">
        <v>943</v>
      </c>
      <c r="D253" s="69" t="s">
        <v>1039</v>
      </c>
      <c r="E253" s="72">
        <v>28.3109</v>
      </c>
      <c r="F253" s="72">
        <v>-80.638990000000007</v>
      </c>
    </row>
    <row r="254" spans="1:6" ht="237.6" x14ac:dyDescent="0.3">
      <c r="A254" s="74">
        <v>5154</v>
      </c>
      <c r="B254" s="69" t="s">
        <v>947</v>
      </c>
      <c r="C254" s="69" t="s">
        <v>948</v>
      </c>
      <c r="D254" s="69" t="s">
        <v>679</v>
      </c>
      <c r="E254" s="72">
        <v>28.391249999999999</v>
      </c>
      <c r="F254" s="72">
        <v>-80.713359999999994</v>
      </c>
    </row>
    <row r="255" spans="1:6" ht="79.2" x14ac:dyDescent="0.3">
      <c r="A255" s="82">
        <v>5159</v>
      </c>
      <c r="B255" s="69" t="s">
        <v>958</v>
      </c>
      <c r="C255" s="69" t="s">
        <v>959</v>
      </c>
      <c r="D255" s="69" t="s">
        <v>1035</v>
      </c>
      <c r="E255" s="72">
        <v>28.392531999999999</v>
      </c>
      <c r="F255" s="72">
        <v>-80.617655999999997</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4A302-C057-4522-A7E6-789DB4DF25FF}">
  <sheetPr codeName="Sheet3"/>
  <dimension ref="A1:P307"/>
  <sheetViews>
    <sheetView topLeftCell="E1" workbookViewId="0">
      <selection activeCell="P5" sqref="P5"/>
    </sheetView>
  </sheetViews>
  <sheetFormatPr defaultRowHeight="14.4" x14ac:dyDescent="0.3"/>
  <cols>
    <col min="1" max="1" width="18.6640625" style="12" customWidth="1"/>
    <col min="2" max="2" width="22.44140625" bestFit="1" customWidth="1"/>
    <col min="6" max="6" width="51.44140625" customWidth="1"/>
    <col min="7" max="7" width="21.6640625" customWidth="1"/>
    <col min="13" max="13" width="13.109375" bestFit="1" customWidth="1"/>
    <col min="16" max="16" width="14.5546875" bestFit="1" customWidth="1"/>
  </cols>
  <sheetData>
    <row r="1" spans="1:16" ht="58.2" thickBot="1" x14ac:dyDescent="0.35">
      <c r="A1" s="62" t="s">
        <v>852</v>
      </c>
      <c r="B1" s="60" t="s">
        <v>799</v>
      </c>
      <c r="F1" s="60" t="s">
        <v>257</v>
      </c>
      <c r="G1" s="60" t="s">
        <v>799</v>
      </c>
      <c r="J1" s="75" t="s">
        <v>1049</v>
      </c>
      <c r="M1" t="s">
        <v>1051</v>
      </c>
      <c r="P1" t="s">
        <v>1050</v>
      </c>
    </row>
    <row r="2" spans="1:16" ht="53.4" thickBot="1" x14ac:dyDescent="0.35">
      <c r="A2" s="15" t="s">
        <v>670</v>
      </c>
      <c r="B2" t="str">
        <f>VLOOKUP(A2,$F$2:$G$87,2,FALSE)</f>
        <v>Structural</v>
      </c>
      <c r="F2" s="61" t="s">
        <v>353</v>
      </c>
      <c r="G2" s="61" t="s">
        <v>264</v>
      </c>
      <c r="J2">
        <f>MIN('BRL All Projects'!A2:A309)</f>
        <v>2389</v>
      </c>
      <c r="M2" s="67">
        <v>892396</v>
      </c>
      <c r="P2" s="67">
        <v>308</v>
      </c>
    </row>
    <row r="3" spans="1:16" ht="15" thickBot="1" x14ac:dyDescent="0.35">
      <c r="A3" s="15" t="s">
        <v>71</v>
      </c>
      <c r="B3" t="str">
        <f t="shared" ref="B3:B47" si="0">VLOOKUP(A3,$F$2:$G$87,2,FALSE)</f>
        <v>Non-structural</v>
      </c>
      <c r="F3" s="61" t="s">
        <v>800</v>
      </c>
      <c r="G3" s="61" t="s">
        <v>801</v>
      </c>
      <c r="J3">
        <f>MAX('BRL All Projects'!A2:A309)</f>
        <v>5159</v>
      </c>
    </row>
    <row r="4" spans="1:16" ht="40.200000000000003" thickBot="1" x14ac:dyDescent="0.35">
      <c r="A4" s="63" t="s">
        <v>791</v>
      </c>
      <c r="B4" t="str">
        <f t="shared" si="0"/>
        <v>Structural</v>
      </c>
      <c r="F4" s="61" t="s">
        <v>802</v>
      </c>
      <c r="G4" s="61" t="s">
        <v>264</v>
      </c>
    </row>
    <row r="5" spans="1:16" ht="27" thickBot="1" x14ac:dyDescent="0.35">
      <c r="A5" s="15" t="s">
        <v>703</v>
      </c>
      <c r="B5" t="str">
        <f t="shared" si="0"/>
        <v>Structural</v>
      </c>
      <c r="F5" s="61" t="s">
        <v>803</v>
      </c>
      <c r="G5" s="61" t="s">
        <v>265</v>
      </c>
    </row>
    <row r="6" spans="1:16" ht="27" thickBot="1" x14ac:dyDescent="0.35">
      <c r="A6" s="15" t="s">
        <v>669</v>
      </c>
      <c r="B6" t="str">
        <f t="shared" si="0"/>
        <v>Structural</v>
      </c>
      <c r="F6" s="61" t="s">
        <v>670</v>
      </c>
      <c r="G6" s="61" t="s">
        <v>264</v>
      </c>
    </row>
    <row r="7" spans="1:16" ht="15" thickBot="1" x14ac:dyDescent="0.35">
      <c r="A7" s="15" t="s">
        <v>349</v>
      </c>
      <c r="B7" t="str">
        <f t="shared" si="0"/>
        <v>Structural</v>
      </c>
      <c r="F7" s="61" t="s">
        <v>669</v>
      </c>
      <c r="G7" s="61" t="s">
        <v>264</v>
      </c>
    </row>
    <row r="8" spans="1:16" ht="15" thickBot="1" x14ac:dyDescent="0.35">
      <c r="A8" s="15" t="s">
        <v>350</v>
      </c>
      <c r="B8" t="str">
        <f t="shared" si="0"/>
        <v>Non-structural</v>
      </c>
      <c r="F8" s="61" t="s">
        <v>764</v>
      </c>
      <c r="G8" s="61" t="s">
        <v>804</v>
      </c>
    </row>
    <row r="9" spans="1:16" ht="40.200000000000003" thickBot="1" x14ac:dyDescent="0.35">
      <c r="A9" s="15" t="s">
        <v>580</v>
      </c>
      <c r="B9" t="str">
        <f t="shared" si="0"/>
        <v>Non-structural</v>
      </c>
      <c r="F9" s="61" t="s">
        <v>805</v>
      </c>
      <c r="G9" s="61" t="s">
        <v>264</v>
      </c>
    </row>
    <row r="10" spans="1:16" ht="15" thickBot="1" x14ac:dyDescent="0.35">
      <c r="A10" s="15" t="s">
        <v>1</v>
      </c>
      <c r="B10" t="str">
        <f t="shared" si="0"/>
        <v>Non-structural</v>
      </c>
      <c r="F10" s="61" t="s">
        <v>694</v>
      </c>
      <c r="G10" s="61" t="s">
        <v>264</v>
      </c>
    </row>
    <row r="11" spans="1:16" ht="15" thickBot="1" x14ac:dyDescent="0.35">
      <c r="A11" s="15" t="s">
        <v>351</v>
      </c>
      <c r="B11" t="str">
        <f t="shared" si="0"/>
        <v>Structural</v>
      </c>
      <c r="F11" s="61" t="s">
        <v>806</v>
      </c>
      <c r="G11" s="61" t="s">
        <v>264</v>
      </c>
    </row>
    <row r="12" spans="1:16" ht="27" thickBot="1" x14ac:dyDescent="0.35">
      <c r="A12" s="15" t="s">
        <v>694</v>
      </c>
      <c r="B12" t="str">
        <f t="shared" si="0"/>
        <v>Structural</v>
      </c>
      <c r="F12" s="61" t="s">
        <v>71</v>
      </c>
      <c r="G12" s="61" t="s">
        <v>265</v>
      </c>
    </row>
    <row r="13" spans="1:16" ht="15" thickBot="1" x14ac:dyDescent="0.35">
      <c r="A13" s="69" t="s">
        <v>490</v>
      </c>
      <c r="B13" t="str">
        <f t="shared" si="0"/>
        <v>Structural</v>
      </c>
      <c r="F13" s="61" t="s">
        <v>490</v>
      </c>
      <c r="G13" s="61" t="s">
        <v>264</v>
      </c>
    </row>
    <row r="14" spans="1:16" ht="15" thickBot="1" x14ac:dyDescent="0.35">
      <c r="A14" s="15" t="s">
        <v>345</v>
      </c>
      <c r="B14" t="str">
        <f t="shared" si="0"/>
        <v>Structural</v>
      </c>
      <c r="F14" s="61" t="s">
        <v>758</v>
      </c>
      <c r="G14" s="61" t="s">
        <v>265</v>
      </c>
    </row>
    <row r="15" spans="1:16" ht="27" thickBot="1" x14ac:dyDescent="0.35">
      <c r="A15" s="15" t="s">
        <v>566</v>
      </c>
      <c r="B15" t="str">
        <f t="shared" si="0"/>
        <v>Non-structural</v>
      </c>
      <c r="F15" s="61" t="s">
        <v>807</v>
      </c>
      <c r="G15" s="61" t="s">
        <v>265</v>
      </c>
    </row>
    <row r="16" spans="1:16" ht="15" thickBot="1" x14ac:dyDescent="0.35">
      <c r="A16" s="15" t="s">
        <v>568</v>
      </c>
      <c r="B16" t="str">
        <f t="shared" si="0"/>
        <v>Non-structural</v>
      </c>
      <c r="F16" s="61" t="s">
        <v>808</v>
      </c>
      <c r="G16" s="61" t="s">
        <v>264</v>
      </c>
    </row>
    <row r="17" spans="1:7" ht="27" thickBot="1" x14ac:dyDescent="0.35">
      <c r="A17" s="15" t="s">
        <v>570</v>
      </c>
      <c r="B17" t="str">
        <f t="shared" si="0"/>
        <v>Non-structural</v>
      </c>
      <c r="F17" s="61" t="s">
        <v>809</v>
      </c>
      <c r="G17" s="61" t="s">
        <v>264</v>
      </c>
    </row>
    <row r="18" spans="1:7" ht="27" thickBot="1" x14ac:dyDescent="0.35">
      <c r="A18" s="15" t="s">
        <v>573</v>
      </c>
      <c r="B18" t="str">
        <f t="shared" si="0"/>
        <v>Non-structural</v>
      </c>
      <c r="F18" s="61" t="s">
        <v>810</v>
      </c>
      <c r="G18" s="61" t="s">
        <v>264</v>
      </c>
    </row>
    <row r="19" spans="1:7" ht="27" thickBot="1" x14ac:dyDescent="0.35">
      <c r="A19" s="15" t="s">
        <v>574</v>
      </c>
      <c r="B19" t="str">
        <f t="shared" si="0"/>
        <v>Non-structural</v>
      </c>
      <c r="F19" s="61" t="s">
        <v>811</v>
      </c>
      <c r="G19" s="61" t="s">
        <v>812</v>
      </c>
    </row>
    <row r="20" spans="1:7" ht="15" thickBot="1" x14ac:dyDescent="0.35">
      <c r="A20" s="15" t="s">
        <v>488</v>
      </c>
      <c r="B20" t="str">
        <f t="shared" si="0"/>
        <v>Structural</v>
      </c>
      <c r="F20" s="61" t="s">
        <v>813</v>
      </c>
      <c r="G20" s="61" t="s">
        <v>264</v>
      </c>
    </row>
    <row r="21" spans="1:7" ht="15" thickBot="1" x14ac:dyDescent="0.35">
      <c r="A21" s="63" t="s">
        <v>579</v>
      </c>
      <c r="B21" t="str">
        <f t="shared" si="0"/>
        <v>Structural</v>
      </c>
      <c r="F21" s="61" t="s">
        <v>814</v>
      </c>
      <c r="G21" s="61" t="s">
        <v>265</v>
      </c>
    </row>
    <row r="22" spans="1:7" ht="27" thickBot="1" x14ac:dyDescent="0.35">
      <c r="A22" s="58" t="s">
        <v>353</v>
      </c>
      <c r="B22" t="str">
        <f t="shared" si="0"/>
        <v>Structural</v>
      </c>
      <c r="F22" s="61" t="s">
        <v>815</v>
      </c>
      <c r="G22" s="61" t="s">
        <v>264</v>
      </c>
    </row>
    <row r="23" spans="1:7" ht="40.200000000000003" thickBot="1" x14ac:dyDescent="0.35">
      <c r="A23" s="15" t="s">
        <v>522</v>
      </c>
      <c r="B23" t="str">
        <f t="shared" si="0"/>
        <v>Structural</v>
      </c>
      <c r="F23" s="61" t="s">
        <v>816</v>
      </c>
      <c r="G23" s="61" t="s">
        <v>264</v>
      </c>
    </row>
    <row r="24" spans="1:7" ht="15" thickBot="1" x14ac:dyDescent="0.35">
      <c r="A24" s="15" t="s">
        <v>523</v>
      </c>
      <c r="B24" t="str">
        <f t="shared" si="0"/>
        <v>Structural</v>
      </c>
      <c r="F24" s="61" t="s">
        <v>817</v>
      </c>
      <c r="G24" s="61" t="s">
        <v>264</v>
      </c>
    </row>
    <row r="25" spans="1:7" ht="15" thickBot="1" x14ac:dyDescent="0.35">
      <c r="A25" s="15" t="s">
        <v>785</v>
      </c>
      <c r="B25" t="str">
        <f t="shared" si="0"/>
        <v>Structural</v>
      </c>
      <c r="F25" s="61" t="s">
        <v>345</v>
      </c>
      <c r="G25" s="61" t="s">
        <v>264</v>
      </c>
    </row>
    <row r="26" spans="1:7" ht="27" thickBot="1" x14ac:dyDescent="0.35">
      <c r="A26" s="63" t="s">
        <v>809</v>
      </c>
      <c r="B26" t="str">
        <f t="shared" si="0"/>
        <v>Structural</v>
      </c>
      <c r="F26" s="61" t="s">
        <v>1</v>
      </c>
      <c r="G26" s="61" t="s">
        <v>265</v>
      </c>
    </row>
    <row r="27" spans="1:7" ht="15" thickBot="1" x14ac:dyDescent="0.35">
      <c r="A27" s="15" t="s">
        <v>497</v>
      </c>
      <c r="B27" t="str">
        <f t="shared" si="0"/>
        <v>Structural</v>
      </c>
      <c r="F27" s="61" t="s">
        <v>573</v>
      </c>
      <c r="G27" s="61" t="s">
        <v>265</v>
      </c>
    </row>
    <row r="28" spans="1:7" ht="40.200000000000003" thickBot="1" x14ac:dyDescent="0.35">
      <c r="A28" s="63" t="s">
        <v>822</v>
      </c>
      <c r="B28" t="str">
        <f t="shared" si="0"/>
        <v>Structural</v>
      </c>
      <c r="F28" s="61" t="s">
        <v>523</v>
      </c>
      <c r="G28" s="61" t="s">
        <v>264</v>
      </c>
    </row>
    <row r="29" spans="1:7" ht="15" thickBot="1" x14ac:dyDescent="0.35">
      <c r="A29" s="15" t="s">
        <v>348</v>
      </c>
      <c r="B29" t="str">
        <f t="shared" si="0"/>
        <v>Structural</v>
      </c>
      <c r="F29" s="61" t="s">
        <v>570</v>
      </c>
      <c r="G29" s="61" t="s">
        <v>265</v>
      </c>
    </row>
    <row r="30" spans="1:7" ht="27" thickBot="1" x14ac:dyDescent="0.35">
      <c r="A30" s="63" t="s">
        <v>705</v>
      </c>
      <c r="B30" t="str">
        <f t="shared" si="0"/>
        <v>Structural</v>
      </c>
      <c r="F30" s="61" t="s">
        <v>6</v>
      </c>
      <c r="G30" s="61" t="s">
        <v>265</v>
      </c>
    </row>
    <row r="31" spans="1:7" ht="27" thickBot="1" x14ac:dyDescent="0.35">
      <c r="A31" s="15" t="s">
        <v>704</v>
      </c>
      <c r="B31" t="str">
        <f t="shared" si="0"/>
        <v>Structural</v>
      </c>
      <c r="F31" s="61" t="s">
        <v>346</v>
      </c>
      <c r="G31" s="61" t="s">
        <v>265</v>
      </c>
    </row>
    <row r="32" spans="1:7" ht="27" thickBot="1" x14ac:dyDescent="0.35">
      <c r="A32" s="15" t="s">
        <v>733</v>
      </c>
      <c r="B32" t="str">
        <f t="shared" si="0"/>
        <v>Structural</v>
      </c>
      <c r="F32" s="61" t="s">
        <v>818</v>
      </c>
      <c r="G32" s="61" t="s">
        <v>264</v>
      </c>
    </row>
    <row r="33" spans="1:7" ht="15" thickBot="1" x14ac:dyDescent="0.35">
      <c r="A33" s="15" t="s">
        <v>763</v>
      </c>
      <c r="B33" t="str">
        <f t="shared" si="0"/>
        <v>Structural</v>
      </c>
      <c r="F33" s="61" t="s">
        <v>819</v>
      </c>
      <c r="G33" s="61" t="s">
        <v>265</v>
      </c>
    </row>
    <row r="34" spans="1:7" ht="27" thickBot="1" x14ac:dyDescent="0.35">
      <c r="A34" s="15" t="s">
        <v>764</v>
      </c>
      <c r="B34" t="str">
        <f t="shared" si="0"/>
        <v>Structural   </v>
      </c>
      <c r="F34" s="61" t="s">
        <v>791</v>
      </c>
      <c r="G34" s="61" t="s">
        <v>264</v>
      </c>
    </row>
    <row r="35" spans="1:7" ht="40.200000000000003" thickBot="1" x14ac:dyDescent="0.35">
      <c r="A35" s="15" t="s">
        <v>758</v>
      </c>
      <c r="B35" t="str">
        <f t="shared" si="0"/>
        <v>Non-structural</v>
      </c>
      <c r="F35" s="61" t="s">
        <v>820</v>
      </c>
      <c r="G35" s="61" t="s">
        <v>264</v>
      </c>
    </row>
    <row r="36" spans="1:7" ht="15" thickBot="1" x14ac:dyDescent="0.35">
      <c r="A36" s="15" t="s">
        <v>6</v>
      </c>
      <c r="B36" t="str">
        <f t="shared" si="0"/>
        <v>Non-structural</v>
      </c>
      <c r="F36" s="61" t="s">
        <v>821</v>
      </c>
      <c r="G36" s="61" t="s">
        <v>265</v>
      </c>
    </row>
    <row r="37" spans="1:7" ht="15" thickBot="1" x14ac:dyDescent="0.35">
      <c r="A37" s="15" t="s">
        <v>346</v>
      </c>
      <c r="B37" t="str">
        <f t="shared" si="0"/>
        <v>Non-structural</v>
      </c>
      <c r="F37" s="61" t="s">
        <v>822</v>
      </c>
      <c r="G37" s="61" t="s">
        <v>264</v>
      </c>
    </row>
    <row r="38" spans="1:7" ht="15" thickBot="1" x14ac:dyDescent="0.35">
      <c r="A38" s="15" t="s">
        <v>347</v>
      </c>
      <c r="B38" t="str">
        <f t="shared" si="0"/>
        <v>Non-structural</v>
      </c>
      <c r="F38" s="61" t="s">
        <v>823</v>
      </c>
      <c r="G38" s="61" t="s">
        <v>264</v>
      </c>
    </row>
    <row r="39" spans="1:7" ht="15" thickBot="1" x14ac:dyDescent="0.35">
      <c r="A39" s="15" t="s">
        <v>352</v>
      </c>
      <c r="B39" t="str">
        <f t="shared" si="0"/>
        <v>Structural</v>
      </c>
      <c r="F39" s="61" t="s">
        <v>824</v>
      </c>
      <c r="G39" s="61" t="s">
        <v>264</v>
      </c>
    </row>
    <row r="40" spans="1:7" ht="27" thickBot="1" x14ac:dyDescent="0.35">
      <c r="A40" s="15" t="s">
        <v>660</v>
      </c>
      <c r="B40" t="str">
        <f t="shared" si="0"/>
        <v>Structural</v>
      </c>
      <c r="F40" s="61" t="s">
        <v>705</v>
      </c>
      <c r="G40" s="61" t="s">
        <v>264</v>
      </c>
    </row>
    <row r="41" spans="1:7" ht="15" thickBot="1" x14ac:dyDescent="0.35">
      <c r="A41" s="69" t="s">
        <v>835</v>
      </c>
      <c r="B41" t="str">
        <f t="shared" si="0"/>
        <v>Structural</v>
      </c>
      <c r="F41" s="61" t="s">
        <v>825</v>
      </c>
      <c r="G41" s="61" t="s">
        <v>264</v>
      </c>
    </row>
    <row r="42" spans="1:7" ht="27" thickBot="1" x14ac:dyDescent="0.35">
      <c r="A42" s="69" t="s">
        <v>810</v>
      </c>
      <c r="B42" t="str">
        <f t="shared" si="0"/>
        <v>Structural</v>
      </c>
      <c r="F42" s="61" t="s">
        <v>576</v>
      </c>
      <c r="G42" s="61" t="s">
        <v>264</v>
      </c>
    </row>
    <row r="43" spans="1:7" ht="15" thickBot="1" x14ac:dyDescent="0.35">
      <c r="A43" s="15" t="s">
        <v>576</v>
      </c>
      <c r="B43" t="str">
        <f t="shared" si="0"/>
        <v>Structural</v>
      </c>
      <c r="F43" s="61" t="s">
        <v>826</v>
      </c>
      <c r="G43" s="61" t="s">
        <v>264</v>
      </c>
    </row>
    <row r="44" spans="1:7" ht="15" thickBot="1" x14ac:dyDescent="0.35">
      <c r="A44"/>
      <c r="B44" t="e">
        <f t="shared" si="0"/>
        <v>#N/A</v>
      </c>
      <c r="F44" s="61" t="s">
        <v>827</v>
      </c>
      <c r="G44" s="61" t="s">
        <v>265</v>
      </c>
    </row>
    <row r="45" spans="1:7" ht="15" thickBot="1" x14ac:dyDescent="0.35">
      <c r="A45"/>
      <c r="B45" t="e">
        <f t="shared" si="0"/>
        <v>#N/A</v>
      </c>
      <c r="F45" s="61" t="s">
        <v>828</v>
      </c>
      <c r="G45" s="61" t="s">
        <v>265</v>
      </c>
    </row>
    <row r="46" spans="1:7" ht="15" thickBot="1" x14ac:dyDescent="0.35">
      <c r="A46"/>
      <c r="B46" t="e">
        <f t="shared" si="0"/>
        <v>#N/A</v>
      </c>
      <c r="F46" s="61" t="s">
        <v>347</v>
      </c>
      <c r="G46" s="61" t="s">
        <v>265</v>
      </c>
    </row>
    <row r="47" spans="1:7" ht="15" thickBot="1" x14ac:dyDescent="0.35">
      <c r="A47"/>
      <c r="B47" t="e">
        <f t="shared" si="0"/>
        <v>#N/A</v>
      </c>
      <c r="F47" s="61" t="s">
        <v>829</v>
      </c>
      <c r="G47" s="61" t="s">
        <v>264</v>
      </c>
    </row>
    <row r="48" spans="1:7" ht="15" thickBot="1" x14ac:dyDescent="0.35">
      <c r="A48"/>
      <c r="F48" s="61" t="s">
        <v>830</v>
      </c>
      <c r="G48" s="61" t="s">
        <v>264</v>
      </c>
    </row>
    <row r="49" spans="1:7" ht="15" thickBot="1" x14ac:dyDescent="0.35">
      <c r="A49"/>
      <c r="F49" s="61" t="s">
        <v>763</v>
      </c>
      <c r="G49" s="61" t="s">
        <v>264</v>
      </c>
    </row>
    <row r="50" spans="1:7" ht="15" thickBot="1" x14ac:dyDescent="0.35">
      <c r="A50"/>
      <c r="F50" s="61" t="s">
        <v>831</v>
      </c>
      <c r="G50" s="61" t="s">
        <v>264</v>
      </c>
    </row>
    <row r="51" spans="1:7" ht="15" thickBot="1" x14ac:dyDescent="0.35">
      <c r="A51"/>
      <c r="F51" s="61" t="s">
        <v>832</v>
      </c>
      <c r="G51" s="61" t="s">
        <v>265</v>
      </c>
    </row>
    <row r="52" spans="1:7" ht="15" thickBot="1" x14ac:dyDescent="0.35">
      <c r="A52"/>
      <c r="F52" s="61" t="s">
        <v>566</v>
      </c>
      <c r="G52" s="61" t="s">
        <v>265</v>
      </c>
    </row>
    <row r="53" spans="1:7" ht="15" thickBot="1" x14ac:dyDescent="0.35">
      <c r="A53"/>
      <c r="F53" s="61" t="s">
        <v>580</v>
      </c>
      <c r="G53" s="61" t="s">
        <v>265</v>
      </c>
    </row>
    <row r="54" spans="1:7" ht="15" thickBot="1" x14ac:dyDescent="0.35">
      <c r="A54"/>
      <c r="F54" s="61" t="s">
        <v>574</v>
      </c>
      <c r="G54" s="61" t="s">
        <v>265</v>
      </c>
    </row>
    <row r="55" spans="1:7" ht="15" thickBot="1" x14ac:dyDescent="0.35">
      <c r="A55"/>
      <c r="F55" s="61" t="s">
        <v>833</v>
      </c>
      <c r="G55" s="61" t="s">
        <v>265</v>
      </c>
    </row>
    <row r="56" spans="1:7" ht="15" thickBot="1" x14ac:dyDescent="0.35">
      <c r="A56"/>
      <c r="F56" s="61" t="s">
        <v>704</v>
      </c>
      <c r="G56" s="61" t="s">
        <v>264</v>
      </c>
    </row>
    <row r="57" spans="1:7" ht="15" thickBot="1" x14ac:dyDescent="0.35">
      <c r="A57"/>
      <c r="F57" s="61" t="s">
        <v>703</v>
      </c>
      <c r="G57" s="61" t="s">
        <v>264</v>
      </c>
    </row>
    <row r="58" spans="1:7" ht="15" thickBot="1" x14ac:dyDescent="0.35">
      <c r="A58"/>
      <c r="F58" s="61" t="s">
        <v>834</v>
      </c>
      <c r="G58" s="61" t="s">
        <v>264</v>
      </c>
    </row>
    <row r="59" spans="1:7" ht="15" thickBot="1" x14ac:dyDescent="0.35">
      <c r="A59"/>
      <c r="F59" s="61" t="s">
        <v>835</v>
      </c>
      <c r="G59" s="61" t="s">
        <v>264</v>
      </c>
    </row>
    <row r="60" spans="1:7" ht="15" thickBot="1" x14ac:dyDescent="0.35">
      <c r="A60"/>
      <c r="F60" s="61" t="s">
        <v>348</v>
      </c>
      <c r="G60" s="61" t="s">
        <v>264</v>
      </c>
    </row>
    <row r="61" spans="1:7" ht="15" thickBot="1" x14ac:dyDescent="0.35">
      <c r="A61"/>
      <c r="F61" s="61" t="s">
        <v>836</v>
      </c>
      <c r="G61" s="61" t="s">
        <v>264</v>
      </c>
    </row>
    <row r="62" spans="1:7" ht="15" thickBot="1" x14ac:dyDescent="0.35">
      <c r="A62"/>
      <c r="F62" s="61" t="s">
        <v>837</v>
      </c>
      <c r="G62" s="61" t="s">
        <v>264</v>
      </c>
    </row>
    <row r="63" spans="1:7" ht="15" thickBot="1" x14ac:dyDescent="0.35">
      <c r="A63"/>
      <c r="F63" s="61" t="s">
        <v>497</v>
      </c>
      <c r="G63" s="61" t="s">
        <v>264</v>
      </c>
    </row>
    <row r="64" spans="1:7" ht="15" thickBot="1" x14ac:dyDescent="0.35">
      <c r="A64"/>
      <c r="F64" s="61" t="s">
        <v>660</v>
      </c>
      <c r="G64" s="61" t="s">
        <v>264</v>
      </c>
    </row>
    <row r="65" spans="1:7" ht="15" thickBot="1" x14ac:dyDescent="0.35">
      <c r="A65"/>
      <c r="F65" s="61" t="s">
        <v>838</v>
      </c>
      <c r="G65" s="61" t="s">
        <v>265</v>
      </c>
    </row>
    <row r="66" spans="1:7" ht="15" thickBot="1" x14ac:dyDescent="0.35">
      <c r="A66"/>
      <c r="F66" s="61" t="s">
        <v>839</v>
      </c>
      <c r="G66" s="61" t="s">
        <v>264</v>
      </c>
    </row>
    <row r="67" spans="1:7" ht="15" thickBot="1" x14ac:dyDescent="0.35">
      <c r="A67"/>
      <c r="F67" s="61" t="s">
        <v>840</v>
      </c>
      <c r="G67" s="61" t="s">
        <v>264</v>
      </c>
    </row>
    <row r="68" spans="1:7" ht="15" thickBot="1" x14ac:dyDescent="0.35">
      <c r="A68"/>
      <c r="F68" s="61" t="s">
        <v>841</v>
      </c>
      <c r="G68" s="61" t="s">
        <v>264</v>
      </c>
    </row>
    <row r="69" spans="1:7" ht="15" thickBot="1" x14ac:dyDescent="0.35">
      <c r="A69"/>
      <c r="F69" s="61" t="s">
        <v>842</v>
      </c>
      <c r="G69" s="61" t="s">
        <v>265</v>
      </c>
    </row>
    <row r="70" spans="1:7" ht="15" thickBot="1" x14ac:dyDescent="0.35">
      <c r="A70"/>
      <c r="F70" s="61" t="s">
        <v>843</v>
      </c>
      <c r="G70" s="61" t="s">
        <v>264</v>
      </c>
    </row>
    <row r="71" spans="1:7" ht="15" thickBot="1" x14ac:dyDescent="0.35">
      <c r="A71"/>
      <c r="F71" s="61" t="s">
        <v>579</v>
      </c>
      <c r="G71" s="61" t="s">
        <v>264</v>
      </c>
    </row>
    <row r="72" spans="1:7" ht="15" thickBot="1" x14ac:dyDescent="0.35">
      <c r="A72"/>
      <c r="F72" s="61" t="s">
        <v>844</v>
      </c>
      <c r="G72" s="61" t="s">
        <v>264</v>
      </c>
    </row>
    <row r="73" spans="1:7" ht="15" thickBot="1" x14ac:dyDescent="0.35">
      <c r="A73"/>
      <c r="F73" s="61" t="s">
        <v>349</v>
      </c>
      <c r="G73" s="61" t="s">
        <v>264</v>
      </c>
    </row>
    <row r="74" spans="1:7" ht="15" thickBot="1" x14ac:dyDescent="0.35">
      <c r="A74"/>
      <c r="F74" s="61" t="s">
        <v>733</v>
      </c>
      <c r="G74" s="61" t="s">
        <v>264</v>
      </c>
    </row>
    <row r="75" spans="1:7" ht="15" thickBot="1" x14ac:dyDescent="0.35">
      <c r="A75"/>
      <c r="F75" s="61" t="s">
        <v>845</v>
      </c>
      <c r="G75" s="61" t="s">
        <v>264</v>
      </c>
    </row>
    <row r="76" spans="1:7" ht="15" thickBot="1" x14ac:dyDescent="0.35">
      <c r="A76"/>
      <c r="F76" s="61" t="s">
        <v>350</v>
      </c>
      <c r="G76" s="61" t="s">
        <v>265</v>
      </c>
    </row>
    <row r="77" spans="1:7" ht="15" thickBot="1" x14ac:dyDescent="0.35">
      <c r="A77"/>
      <c r="F77" s="61" t="s">
        <v>568</v>
      </c>
      <c r="G77" s="61" t="s">
        <v>265</v>
      </c>
    </row>
    <row r="78" spans="1:7" ht="15" thickBot="1" x14ac:dyDescent="0.35">
      <c r="A78"/>
      <c r="F78" s="61" t="s">
        <v>846</v>
      </c>
      <c r="G78" s="61" t="s">
        <v>265</v>
      </c>
    </row>
    <row r="79" spans="1:7" ht="15" thickBot="1" x14ac:dyDescent="0.35">
      <c r="A79"/>
      <c r="F79" s="61" t="s">
        <v>847</v>
      </c>
      <c r="G79" s="61" t="s">
        <v>265</v>
      </c>
    </row>
    <row r="80" spans="1:7" ht="15" thickBot="1" x14ac:dyDescent="0.35">
      <c r="A80"/>
      <c r="F80" s="61" t="s">
        <v>848</v>
      </c>
      <c r="G80" s="61" t="s">
        <v>264</v>
      </c>
    </row>
    <row r="81" spans="1:7" ht="15" thickBot="1" x14ac:dyDescent="0.35">
      <c r="A81"/>
      <c r="F81" s="61" t="s">
        <v>351</v>
      </c>
      <c r="G81" s="61" t="s">
        <v>264</v>
      </c>
    </row>
    <row r="82" spans="1:7" ht="15" thickBot="1" x14ac:dyDescent="0.35">
      <c r="A82"/>
      <c r="F82" s="61" t="s">
        <v>849</v>
      </c>
      <c r="G82" s="61" t="s">
        <v>264</v>
      </c>
    </row>
    <row r="83" spans="1:7" ht="15" thickBot="1" x14ac:dyDescent="0.35">
      <c r="A83"/>
      <c r="F83" s="61" t="s">
        <v>352</v>
      </c>
      <c r="G83" s="61" t="s">
        <v>264</v>
      </c>
    </row>
    <row r="84" spans="1:7" ht="15" thickBot="1" x14ac:dyDescent="0.35">
      <c r="A84"/>
      <c r="F84" s="61" t="s">
        <v>785</v>
      </c>
      <c r="G84" s="61" t="s">
        <v>264</v>
      </c>
    </row>
    <row r="85" spans="1:7" ht="15" thickBot="1" x14ac:dyDescent="0.35">
      <c r="A85"/>
      <c r="F85" s="61" t="s">
        <v>850</v>
      </c>
      <c r="G85" s="61" t="s">
        <v>264</v>
      </c>
    </row>
    <row r="86" spans="1:7" ht="15" thickBot="1" x14ac:dyDescent="0.35">
      <c r="A86"/>
      <c r="F86" s="61" t="s">
        <v>851</v>
      </c>
      <c r="G86" s="61" t="s">
        <v>264</v>
      </c>
    </row>
    <row r="87" spans="1:7" ht="15" thickBot="1" x14ac:dyDescent="0.35">
      <c r="A87"/>
      <c r="F87" s="61" t="s">
        <v>488</v>
      </c>
      <c r="G87" s="61" t="s">
        <v>264</v>
      </c>
    </row>
    <row r="88" spans="1:7" x14ac:dyDescent="0.3">
      <c r="A88"/>
    </row>
    <row r="89" spans="1:7" x14ac:dyDescent="0.3">
      <c r="A89"/>
    </row>
    <row r="90" spans="1:7" x14ac:dyDescent="0.3">
      <c r="A90"/>
    </row>
    <row r="91" spans="1:7" x14ac:dyDescent="0.3">
      <c r="A91"/>
    </row>
    <row r="92" spans="1:7" x14ac:dyDescent="0.3">
      <c r="A92"/>
    </row>
    <row r="93" spans="1:7" x14ac:dyDescent="0.3">
      <c r="A93"/>
    </row>
    <row r="94" spans="1:7" x14ac:dyDescent="0.3">
      <c r="A94"/>
    </row>
    <row r="95" spans="1:7" x14ac:dyDescent="0.3">
      <c r="A95"/>
    </row>
    <row r="96" spans="1:7"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row r="139" spans="1:1" x14ac:dyDescent="0.3">
      <c r="A139"/>
    </row>
    <row r="140" spans="1:1" x14ac:dyDescent="0.3">
      <c r="A140"/>
    </row>
    <row r="141" spans="1:1" x14ac:dyDescent="0.3">
      <c r="A141"/>
    </row>
    <row r="142" spans="1:1" x14ac:dyDescent="0.3">
      <c r="A142"/>
    </row>
    <row r="143" spans="1:1" x14ac:dyDescent="0.3">
      <c r="A143"/>
    </row>
    <row r="144" spans="1:1" x14ac:dyDescent="0.3">
      <c r="A144"/>
    </row>
    <row r="145" spans="1:1" x14ac:dyDescent="0.3">
      <c r="A145"/>
    </row>
    <row r="146" spans="1:1" x14ac:dyDescent="0.3">
      <c r="A146"/>
    </row>
    <row r="147" spans="1:1" x14ac:dyDescent="0.3">
      <c r="A147"/>
    </row>
    <row r="148" spans="1:1" x14ac:dyDescent="0.3">
      <c r="A148"/>
    </row>
    <row r="149" spans="1:1" x14ac:dyDescent="0.3">
      <c r="A149"/>
    </row>
    <row r="150" spans="1:1" x14ac:dyDescent="0.3">
      <c r="A150"/>
    </row>
    <row r="151" spans="1:1" x14ac:dyDescent="0.3">
      <c r="A151"/>
    </row>
    <row r="152" spans="1:1" x14ac:dyDescent="0.3">
      <c r="A152"/>
    </row>
    <row r="153" spans="1:1" x14ac:dyDescent="0.3">
      <c r="A153"/>
    </row>
    <row r="154" spans="1:1" x14ac:dyDescent="0.3">
      <c r="A154"/>
    </row>
    <row r="155" spans="1:1" x14ac:dyDescent="0.3">
      <c r="A155"/>
    </row>
    <row r="156" spans="1:1" x14ac:dyDescent="0.3">
      <c r="A156"/>
    </row>
    <row r="157" spans="1:1" x14ac:dyDescent="0.3">
      <c r="A157"/>
    </row>
    <row r="158" spans="1:1" x14ac:dyDescent="0.3">
      <c r="A158"/>
    </row>
    <row r="159" spans="1:1" x14ac:dyDescent="0.3">
      <c r="A159"/>
    </row>
    <row r="160" spans="1:1" x14ac:dyDescent="0.3">
      <c r="A160"/>
    </row>
    <row r="161" spans="1:1" x14ac:dyDescent="0.3">
      <c r="A161"/>
    </row>
    <row r="162" spans="1:1" x14ac:dyDescent="0.3">
      <c r="A162"/>
    </row>
    <row r="163" spans="1:1" x14ac:dyDescent="0.3">
      <c r="A163"/>
    </row>
    <row r="164" spans="1:1" x14ac:dyDescent="0.3">
      <c r="A164"/>
    </row>
    <row r="165" spans="1:1" x14ac:dyDescent="0.3">
      <c r="A165"/>
    </row>
    <row r="166" spans="1:1" x14ac:dyDescent="0.3">
      <c r="A166"/>
    </row>
    <row r="167" spans="1:1" x14ac:dyDescent="0.3">
      <c r="A167"/>
    </row>
    <row r="168" spans="1:1" x14ac:dyDescent="0.3">
      <c r="A168"/>
    </row>
    <row r="169" spans="1:1" x14ac:dyDescent="0.3">
      <c r="A169"/>
    </row>
    <row r="170" spans="1:1" x14ac:dyDescent="0.3">
      <c r="A170"/>
    </row>
    <row r="171" spans="1:1" x14ac:dyDescent="0.3">
      <c r="A171"/>
    </row>
    <row r="172" spans="1:1" x14ac:dyDescent="0.3">
      <c r="A172"/>
    </row>
    <row r="173" spans="1:1" x14ac:dyDescent="0.3">
      <c r="A173"/>
    </row>
    <row r="174" spans="1:1" x14ac:dyDescent="0.3">
      <c r="A174"/>
    </row>
    <row r="175" spans="1:1" x14ac:dyDescent="0.3">
      <c r="A175"/>
    </row>
    <row r="176" spans="1:1" x14ac:dyDescent="0.3">
      <c r="A176"/>
    </row>
    <row r="177" spans="1:1" x14ac:dyDescent="0.3">
      <c r="A177"/>
    </row>
    <row r="178" spans="1:1" x14ac:dyDescent="0.3">
      <c r="A178"/>
    </row>
    <row r="179" spans="1:1" x14ac:dyDescent="0.3">
      <c r="A179"/>
    </row>
    <row r="180" spans="1:1" x14ac:dyDescent="0.3">
      <c r="A180"/>
    </row>
    <row r="181" spans="1:1" x14ac:dyDescent="0.3">
      <c r="A181"/>
    </row>
    <row r="182" spans="1:1" x14ac:dyDescent="0.3">
      <c r="A182"/>
    </row>
    <row r="183" spans="1:1" x14ac:dyDescent="0.3">
      <c r="A183"/>
    </row>
    <row r="184" spans="1:1" x14ac:dyDescent="0.3">
      <c r="A184"/>
    </row>
    <row r="185" spans="1:1" x14ac:dyDescent="0.3">
      <c r="A185"/>
    </row>
    <row r="186" spans="1:1" x14ac:dyDescent="0.3">
      <c r="A186"/>
    </row>
    <row r="187" spans="1:1" x14ac:dyDescent="0.3">
      <c r="A187"/>
    </row>
    <row r="188" spans="1:1" x14ac:dyDescent="0.3">
      <c r="A188"/>
    </row>
    <row r="189" spans="1:1" x14ac:dyDescent="0.3">
      <c r="A189"/>
    </row>
    <row r="190" spans="1:1" x14ac:dyDescent="0.3">
      <c r="A190"/>
    </row>
    <row r="191" spans="1:1" x14ac:dyDescent="0.3">
      <c r="A191"/>
    </row>
    <row r="192" spans="1:1" x14ac:dyDescent="0.3">
      <c r="A192"/>
    </row>
    <row r="193" spans="1:1" x14ac:dyDescent="0.3">
      <c r="A193"/>
    </row>
    <row r="194" spans="1:1" x14ac:dyDescent="0.3">
      <c r="A194"/>
    </row>
    <row r="195" spans="1:1" x14ac:dyDescent="0.3">
      <c r="A195"/>
    </row>
    <row r="196" spans="1:1" x14ac:dyDescent="0.3">
      <c r="A196"/>
    </row>
    <row r="197" spans="1:1" x14ac:dyDescent="0.3">
      <c r="A197"/>
    </row>
    <row r="198" spans="1:1" x14ac:dyDescent="0.3">
      <c r="A198"/>
    </row>
    <row r="199" spans="1:1" x14ac:dyDescent="0.3">
      <c r="A199"/>
    </row>
    <row r="200" spans="1:1" x14ac:dyDescent="0.3">
      <c r="A200"/>
    </row>
    <row r="201" spans="1:1" x14ac:dyDescent="0.3">
      <c r="A201"/>
    </row>
    <row r="202" spans="1:1" x14ac:dyDescent="0.3">
      <c r="A202"/>
    </row>
    <row r="203" spans="1:1" x14ac:dyDescent="0.3">
      <c r="A203"/>
    </row>
    <row r="204" spans="1:1" x14ac:dyDescent="0.3">
      <c r="A204"/>
    </row>
    <row r="205" spans="1:1" x14ac:dyDescent="0.3">
      <c r="A205"/>
    </row>
    <row r="206" spans="1:1" x14ac:dyDescent="0.3">
      <c r="A206"/>
    </row>
    <row r="207" spans="1:1" x14ac:dyDescent="0.3">
      <c r="A207"/>
    </row>
    <row r="208" spans="1:1" x14ac:dyDescent="0.3">
      <c r="A208"/>
    </row>
    <row r="209" spans="1:1" x14ac:dyDescent="0.3">
      <c r="A209"/>
    </row>
    <row r="210" spans="1:1" x14ac:dyDescent="0.3">
      <c r="A210"/>
    </row>
    <row r="211" spans="1:1" x14ac:dyDescent="0.3">
      <c r="A211"/>
    </row>
    <row r="212" spans="1:1" x14ac:dyDescent="0.3">
      <c r="A212"/>
    </row>
    <row r="213" spans="1:1" x14ac:dyDescent="0.3">
      <c r="A213"/>
    </row>
    <row r="214" spans="1:1" x14ac:dyDescent="0.3">
      <c r="A214"/>
    </row>
    <row r="215" spans="1:1" x14ac:dyDescent="0.3">
      <c r="A215"/>
    </row>
    <row r="216" spans="1:1" x14ac:dyDescent="0.3">
      <c r="A216"/>
    </row>
    <row r="217" spans="1:1" x14ac:dyDescent="0.3">
      <c r="A217"/>
    </row>
    <row r="218" spans="1:1" x14ac:dyDescent="0.3">
      <c r="A218"/>
    </row>
    <row r="219" spans="1:1" x14ac:dyDescent="0.3">
      <c r="A219"/>
    </row>
    <row r="220" spans="1:1" x14ac:dyDescent="0.3">
      <c r="A220"/>
    </row>
    <row r="221" spans="1:1" x14ac:dyDescent="0.3">
      <c r="A221"/>
    </row>
    <row r="222" spans="1:1" x14ac:dyDescent="0.3">
      <c r="A222"/>
    </row>
    <row r="223" spans="1:1" x14ac:dyDescent="0.3">
      <c r="A223"/>
    </row>
    <row r="224" spans="1:1" x14ac:dyDescent="0.3">
      <c r="A224"/>
    </row>
    <row r="225" spans="1:1" x14ac:dyDescent="0.3">
      <c r="A225"/>
    </row>
    <row r="226" spans="1:1" x14ac:dyDescent="0.3">
      <c r="A226"/>
    </row>
    <row r="227" spans="1:1" x14ac:dyDescent="0.3">
      <c r="A227"/>
    </row>
    <row r="228" spans="1:1" x14ac:dyDescent="0.3">
      <c r="A228"/>
    </row>
    <row r="229" spans="1:1" x14ac:dyDescent="0.3">
      <c r="A229"/>
    </row>
    <row r="230" spans="1:1" x14ac:dyDescent="0.3">
      <c r="A230"/>
    </row>
    <row r="231" spans="1:1" x14ac:dyDescent="0.3">
      <c r="A231"/>
    </row>
    <row r="232" spans="1:1" x14ac:dyDescent="0.3">
      <c r="A232"/>
    </row>
    <row r="233" spans="1:1" x14ac:dyDescent="0.3">
      <c r="A233"/>
    </row>
    <row r="234" spans="1:1" x14ac:dyDescent="0.3">
      <c r="A234"/>
    </row>
    <row r="235" spans="1:1" x14ac:dyDescent="0.3">
      <c r="A235"/>
    </row>
    <row r="236" spans="1:1" x14ac:dyDescent="0.3">
      <c r="A236"/>
    </row>
    <row r="237" spans="1:1" x14ac:dyDescent="0.3">
      <c r="A237"/>
    </row>
    <row r="238" spans="1:1" x14ac:dyDescent="0.3">
      <c r="A238"/>
    </row>
    <row r="239" spans="1:1" x14ac:dyDescent="0.3">
      <c r="A239"/>
    </row>
    <row r="240" spans="1:1" x14ac:dyDescent="0.3">
      <c r="A240"/>
    </row>
    <row r="241" spans="1:1" x14ac:dyDescent="0.3">
      <c r="A241"/>
    </row>
    <row r="242" spans="1:1" x14ac:dyDescent="0.3">
      <c r="A242"/>
    </row>
    <row r="243" spans="1:1" x14ac:dyDescent="0.3">
      <c r="A243"/>
    </row>
    <row r="244" spans="1:1" x14ac:dyDescent="0.3">
      <c r="A244"/>
    </row>
    <row r="245" spans="1:1" x14ac:dyDescent="0.3">
      <c r="A245"/>
    </row>
    <row r="246" spans="1:1" x14ac:dyDescent="0.3">
      <c r="A246"/>
    </row>
    <row r="247" spans="1:1" x14ac:dyDescent="0.3">
      <c r="A247"/>
    </row>
    <row r="248" spans="1:1" x14ac:dyDescent="0.3">
      <c r="A248"/>
    </row>
    <row r="249" spans="1:1" x14ac:dyDescent="0.3">
      <c r="A249"/>
    </row>
    <row r="250" spans="1:1" x14ac:dyDescent="0.3">
      <c r="A250"/>
    </row>
    <row r="251" spans="1:1" x14ac:dyDescent="0.3">
      <c r="A251"/>
    </row>
    <row r="252" spans="1:1" x14ac:dyDescent="0.3">
      <c r="A252"/>
    </row>
    <row r="253" spans="1:1" x14ac:dyDescent="0.3">
      <c r="A253"/>
    </row>
    <row r="254" spans="1:1" x14ac:dyDescent="0.3">
      <c r="A254"/>
    </row>
    <row r="255" spans="1:1" x14ac:dyDescent="0.3">
      <c r="A255"/>
    </row>
    <row r="256" spans="1:1" x14ac:dyDescent="0.3">
      <c r="A256"/>
    </row>
    <row r="257" spans="1:1" x14ac:dyDescent="0.3">
      <c r="A257"/>
    </row>
    <row r="258" spans="1:1" x14ac:dyDescent="0.3">
      <c r="A258"/>
    </row>
    <row r="259" spans="1:1" x14ac:dyDescent="0.3">
      <c r="A259"/>
    </row>
    <row r="260" spans="1:1" x14ac:dyDescent="0.3">
      <c r="A260"/>
    </row>
    <row r="261" spans="1:1" x14ac:dyDescent="0.3">
      <c r="A261"/>
    </row>
    <row r="262" spans="1:1" x14ac:dyDescent="0.3">
      <c r="A262"/>
    </row>
    <row r="263" spans="1:1" x14ac:dyDescent="0.3">
      <c r="A263"/>
    </row>
    <row r="264" spans="1:1" x14ac:dyDescent="0.3">
      <c r="A264"/>
    </row>
    <row r="265" spans="1:1" x14ac:dyDescent="0.3">
      <c r="A265"/>
    </row>
    <row r="266" spans="1:1" x14ac:dyDescent="0.3">
      <c r="A266"/>
    </row>
    <row r="267" spans="1:1" x14ac:dyDescent="0.3">
      <c r="A267"/>
    </row>
    <row r="268" spans="1:1" x14ac:dyDescent="0.3">
      <c r="A268"/>
    </row>
    <row r="269" spans="1:1" x14ac:dyDescent="0.3">
      <c r="A269"/>
    </row>
    <row r="270" spans="1:1" x14ac:dyDescent="0.3">
      <c r="A270"/>
    </row>
    <row r="271" spans="1:1" x14ac:dyDescent="0.3">
      <c r="A271"/>
    </row>
    <row r="272" spans="1:1" x14ac:dyDescent="0.3">
      <c r="A272"/>
    </row>
    <row r="273" spans="1:1" x14ac:dyDescent="0.3">
      <c r="A273"/>
    </row>
    <row r="274" spans="1:1" x14ac:dyDescent="0.3">
      <c r="A274"/>
    </row>
    <row r="275" spans="1:1" x14ac:dyDescent="0.3">
      <c r="A275"/>
    </row>
    <row r="276" spans="1:1" x14ac:dyDescent="0.3">
      <c r="A276"/>
    </row>
    <row r="277" spans="1:1" x14ac:dyDescent="0.3">
      <c r="A277"/>
    </row>
    <row r="278" spans="1:1" x14ac:dyDescent="0.3">
      <c r="A278"/>
    </row>
    <row r="279" spans="1:1" x14ac:dyDescent="0.3">
      <c r="A279"/>
    </row>
    <row r="280" spans="1:1" x14ac:dyDescent="0.3">
      <c r="A280"/>
    </row>
    <row r="281" spans="1:1" x14ac:dyDescent="0.3">
      <c r="A281"/>
    </row>
    <row r="282" spans="1:1" x14ac:dyDescent="0.3">
      <c r="A282"/>
    </row>
    <row r="283" spans="1:1" x14ac:dyDescent="0.3">
      <c r="A283"/>
    </row>
    <row r="284" spans="1:1" x14ac:dyDescent="0.3">
      <c r="A284"/>
    </row>
    <row r="285" spans="1:1" x14ac:dyDescent="0.3">
      <c r="A285"/>
    </row>
    <row r="286" spans="1:1" x14ac:dyDescent="0.3">
      <c r="A286"/>
    </row>
    <row r="287" spans="1:1" x14ac:dyDescent="0.3">
      <c r="A287"/>
    </row>
    <row r="288" spans="1:1" x14ac:dyDescent="0.3">
      <c r="A288"/>
    </row>
    <row r="289" spans="1:1" x14ac:dyDescent="0.3">
      <c r="A289"/>
    </row>
    <row r="290" spans="1:1" x14ac:dyDescent="0.3">
      <c r="A290"/>
    </row>
    <row r="291" spans="1:1" x14ac:dyDescent="0.3">
      <c r="A291"/>
    </row>
    <row r="292" spans="1:1" x14ac:dyDescent="0.3">
      <c r="A292"/>
    </row>
    <row r="293" spans="1:1" x14ac:dyDescent="0.3">
      <c r="A293"/>
    </row>
    <row r="294" spans="1:1" x14ac:dyDescent="0.3">
      <c r="A294"/>
    </row>
    <row r="295" spans="1:1" x14ac:dyDescent="0.3">
      <c r="A295"/>
    </row>
    <row r="296" spans="1:1" x14ac:dyDescent="0.3">
      <c r="A296"/>
    </row>
    <row r="297" spans="1:1" x14ac:dyDescent="0.3">
      <c r="A297"/>
    </row>
    <row r="298" spans="1:1" x14ac:dyDescent="0.3">
      <c r="A298"/>
    </row>
    <row r="299" spans="1:1" x14ac:dyDescent="0.3">
      <c r="A299"/>
    </row>
    <row r="300" spans="1:1" x14ac:dyDescent="0.3">
      <c r="A300"/>
    </row>
    <row r="301" spans="1:1" x14ac:dyDescent="0.3">
      <c r="A301"/>
    </row>
    <row r="302" spans="1:1" x14ac:dyDescent="0.3">
      <c r="A302"/>
    </row>
    <row r="303" spans="1:1" x14ac:dyDescent="0.3">
      <c r="A303"/>
    </row>
    <row r="304" spans="1:1" x14ac:dyDescent="0.3">
      <c r="A304"/>
    </row>
    <row r="305" spans="1:1" x14ac:dyDescent="0.3">
      <c r="A305"/>
    </row>
    <row r="306" spans="1:1" x14ac:dyDescent="0.3">
      <c r="A306"/>
    </row>
    <row r="307" spans="1:1" x14ac:dyDescent="0.3">
      <c r="A307"/>
    </row>
  </sheetData>
  <pageMargins left="0.7" right="0.7" top="0.75" bottom="0.75" header="0.3" footer="0.3"/>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O56"/>
  <sheetViews>
    <sheetView topLeftCell="A4" workbookViewId="0">
      <selection activeCell="A5" sqref="A5"/>
    </sheetView>
  </sheetViews>
  <sheetFormatPr defaultColWidth="9.109375" defaultRowHeight="13.8" x14ac:dyDescent="0.25"/>
  <cols>
    <col min="1" max="1" width="28.6640625" style="1" bestFit="1" customWidth="1"/>
    <col min="2" max="2" width="23.33203125" style="1" bestFit="1" customWidth="1"/>
    <col min="3" max="3" width="23.109375" style="1" bestFit="1" customWidth="1"/>
    <col min="4" max="4" width="10.88671875" style="1" customWidth="1"/>
    <col min="5" max="5" width="10.44140625" style="1" customWidth="1"/>
    <col min="6" max="6" width="10.33203125" style="1" customWidth="1"/>
    <col min="7" max="7" width="24" style="1" bestFit="1" customWidth="1"/>
    <col min="8" max="8" width="14.5546875" style="1" bestFit="1" customWidth="1"/>
    <col min="9" max="9" width="10.88671875" style="1" customWidth="1"/>
    <col min="10" max="10" width="11" style="1" customWidth="1"/>
    <col min="11" max="11" width="9.88671875" style="1" customWidth="1"/>
    <col min="12" max="12" width="9.6640625" style="1" customWidth="1"/>
    <col min="13" max="14" width="10.33203125" style="1" customWidth="1"/>
    <col min="15" max="15" width="10.109375" style="1" customWidth="1"/>
    <col min="16" max="19" width="9.109375" style="4"/>
    <col min="20" max="20" width="27" style="4" customWidth="1"/>
    <col min="21" max="16384" width="9.109375" style="4"/>
  </cols>
  <sheetData>
    <row r="1" spans="1:15" x14ac:dyDescent="0.25">
      <c r="A1" s="52" t="s">
        <v>642</v>
      </c>
      <c r="B1" s="28"/>
      <c r="C1" s="28"/>
      <c r="D1" s="28"/>
      <c r="E1" s="28"/>
      <c r="F1" s="28"/>
      <c r="G1" s="28"/>
      <c r="H1" s="28"/>
      <c r="I1" s="28"/>
      <c r="J1" s="28"/>
      <c r="K1" s="28"/>
      <c r="L1" s="28"/>
    </row>
    <row r="2" spans="1:15" x14ac:dyDescent="0.25">
      <c r="A2" s="29" t="s">
        <v>641</v>
      </c>
    </row>
    <row r="3" spans="1:15" x14ac:dyDescent="0.25">
      <c r="A3" s="30" t="s">
        <v>857</v>
      </c>
      <c r="B3" s="73" t="s">
        <v>4</v>
      </c>
      <c r="C3" s="2"/>
      <c r="D3" s="2"/>
      <c r="E3" s="2"/>
      <c r="F3" s="2"/>
      <c r="G3" s="2"/>
      <c r="H3" s="2"/>
      <c r="I3" s="31"/>
    </row>
    <row r="4" spans="1:15" x14ac:dyDescent="0.25">
      <c r="B4" s="2"/>
      <c r="C4" s="2"/>
      <c r="D4" s="2"/>
      <c r="E4" s="2"/>
      <c r="F4" s="2"/>
      <c r="G4" s="2"/>
      <c r="H4" s="2"/>
      <c r="I4" s="31"/>
    </row>
    <row r="5" spans="1:15" ht="66" x14ac:dyDescent="0.25">
      <c r="A5" s="32" t="s">
        <v>258</v>
      </c>
      <c r="B5" s="73" t="s">
        <v>1032</v>
      </c>
      <c r="C5" s="73" t="s">
        <v>1033</v>
      </c>
      <c r="D5" s="47" t="s">
        <v>635</v>
      </c>
      <c r="E5" s="47" t="s">
        <v>636</v>
      </c>
      <c r="F5" s="47" t="s">
        <v>637</v>
      </c>
      <c r="G5" s="33" t="s">
        <v>630</v>
      </c>
      <c r="H5" s="33" t="s">
        <v>631</v>
      </c>
      <c r="I5" s="34" t="s">
        <v>628</v>
      </c>
      <c r="J5" s="45" t="s">
        <v>638</v>
      </c>
      <c r="K5" s="45" t="s">
        <v>639</v>
      </c>
      <c r="L5" s="46" t="s">
        <v>640</v>
      </c>
      <c r="M5" s="45" t="s">
        <v>632</v>
      </c>
      <c r="N5" s="45" t="s">
        <v>633</v>
      </c>
      <c r="O5" s="46" t="s">
        <v>629</v>
      </c>
    </row>
    <row r="6" spans="1:15" x14ac:dyDescent="0.25">
      <c r="A6" s="35" t="s">
        <v>586</v>
      </c>
      <c r="B6" s="36">
        <v>20057</v>
      </c>
      <c r="C6" s="36">
        <v>3537.7</v>
      </c>
      <c r="D6" s="37" t="s">
        <v>520</v>
      </c>
      <c r="E6" s="37" t="s">
        <v>520</v>
      </c>
      <c r="F6" s="37" t="s">
        <v>520</v>
      </c>
      <c r="G6" s="37" t="s">
        <v>520</v>
      </c>
      <c r="H6" s="37" t="s">
        <v>520</v>
      </c>
      <c r="I6" s="37" t="s">
        <v>520</v>
      </c>
      <c r="J6" s="37" t="s">
        <v>520</v>
      </c>
      <c r="K6" s="37" t="s">
        <v>520</v>
      </c>
      <c r="L6" s="37" t="s">
        <v>520</v>
      </c>
      <c r="M6" s="37" t="s">
        <v>520</v>
      </c>
      <c r="N6" s="37" t="s">
        <v>520</v>
      </c>
      <c r="O6" s="37" t="s">
        <v>520</v>
      </c>
    </row>
    <row r="7" spans="1:15" x14ac:dyDescent="0.25">
      <c r="A7" s="73" t="s">
        <v>0</v>
      </c>
      <c r="B7" s="27">
        <v>764</v>
      </c>
      <c r="C7" s="27">
        <v>452</v>
      </c>
      <c r="D7" s="27" t="s">
        <v>520</v>
      </c>
      <c r="E7" s="27" t="s">
        <v>520</v>
      </c>
      <c r="F7" s="27" t="s">
        <v>520</v>
      </c>
      <c r="G7" s="27" t="s">
        <v>520</v>
      </c>
      <c r="H7" s="27" t="s">
        <v>520</v>
      </c>
      <c r="I7" s="27" t="s">
        <v>520</v>
      </c>
      <c r="J7" s="27" t="s">
        <v>520</v>
      </c>
      <c r="K7" s="27" t="s">
        <v>520</v>
      </c>
      <c r="L7" s="27" t="s">
        <v>520</v>
      </c>
      <c r="M7" s="27" t="s">
        <v>520</v>
      </c>
      <c r="N7" s="27" t="s">
        <v>520</v>
      </c>
      <c r="O7" s="27" t="s">
        <v>520</v>
      </c>
    </row>
    <row r="8" spans="1:15" ht="16.5" customHeight="1" x14ac:dyDescent="0.25">
      <c r="A8" s="73" t="s">
        <v>379</v>
      </c>
      <c r="B8" s="27">
        <v>793</v>
      </c>
      <c r="C8" s="27">
        <v>253.9</v>
      </c>
      <c r="D8" s="27" t="s">
        <v>520</v>
      </c>
      <c r="E8" s="27" t="s">
        <v>520</v>
      </c>
      <c r="F8" s="27" t="s">
        <v>520</v>
      </c>
      <c r="G8" s="27" t="s">
        <v>520</v>
      </c>
      <c r="H8" s="27" t="s">
        <v>520</v>
      </c>
      <c r="I8" s="27" t="s">
        <v>520</v>
      </c>
      <c r="J8" s="27" t="s">
        <v>520</v>
      </c>
      <c r="K8" s="27" t="s">
        <v>520</v>
      </c>
      <c r="L8" s="27" t="s">
        <v>520</v>
      </c>
      <c r="M8" s="27" t="s">
        <v>520</v>
      </c>
      <c r="N8" s="27" t="s">
        <v>520</v>
      </c>
      <c r="O8" s="27" t="s">
        <v>520</v>
      </c>
    </row>
    <row r="9" spans="1:15" x14ac:dyDescent="0.25">
      <c r="A9" s="73" t="s">
        <v>375</v>
      </c>
      <c r="B9" s="27">
        <v>152</v>
      </c>
      <c r="C9" s="27">
        <v>31.7</v>
      </c>
      <c r="D9" s="27" t="s">
        <v>520</v>
      </c>
      <c r="E9" s="27" t="s">
        <v>520</v>
      </c>
      <c r="F9" s="27" t="s">
        <v>520</v>
      </c>
      <c r="G9" s="27" t="s">
        <v>520</v>
      </c>
      <c r="H9" s="27" t="s">
        <v>520</v>
      </c>
      <c r="I9" s="27" t="s">
        <v>520</v>
      </c>
      <c r="J9" s="27" t="s">
        <v>520</v>
      </c>
      <c r="K9" s="27" t="s">
        <v>520</v>
      </c>
      <c r="L9" s="27" t="s">
        <v>520</v>
      </c>
      <c r="M9" s="27" t="s">
        <v>520</v>
      </c>
      <c r="N9" s="27" t="s">
        <v>520</v>
      </c>
      <c r="O9" s="27" t="s">
        <v>520</v>
      </c>
    </row>
    <row r="10" spans="1:15" x14ac:dyDescent="0.25">
      <c r="A10" s="73" t="s">
        <v>7</v>
      </c>
      <c r="B10" s="27">
        <v>18348</v>
      </c>
      <c r="C10" s="27">
        <v>2800.1</v>
      </c>
      <c r="D10" s="27" t="s">
        <v>520</v>
      </c>
      <c r="E10" s="27" t="s">
        <v>520</v>
      </c>
      <c r="F10" s="27" t="s">
        <v>520</v>
      </c>
      <c r="G10" s="27" t="s">
        <v>520</v>
      </c>
      <c r="H10" s="27" t="s">
        <v>520</v>
      </c>
      <c r="I10" s="27" t="s">
        <v>520</v>
      </c>
      <c r="J10" s="27" t="s">
        <v>520</v>
      </c>
      <c r="K10" s="27" t="s">
        <v>520</v>
      </c>
      <c r="L10" s="27" t="s">
        <v>520</v>
      </c>
      <c r="M10" s="27" t="s">
        <v>520</v>
      </c>
      <c r="N10" s="27" t="s">
        <v>520</v>
      </c>
      <c r="O10" s="27" t="s">
        <v>520</v>
      </c>
    </row>
    <row r="11" spans="1:15" x14ac:dyDescent="0.25">
      <c r="A11" s="48" t="s">
        <v>587</v>
      </c>
      <c r="B11" s="36">
        <v>26232.135000000002</v>
      </c>
      <c r="C11" s="36">
        <v>5876.6790000000001</v>
      </c>
      <c r="D11" s="37">
        <f>SUM(D12:D18)</f>
        <v>14608.35</v>
      </c>
      <c r="E11" s="37">
        <f>SUM(E12:E18)</f>
        <v>-11623.785000000002</v>
      </c>
      <c r="F11" s="39">
        <f>GETPIVOTDATA("Sum of TNReduction(lbs/yr)",$A$5,"Location","B Total")/D11</f>
        <v>1.7956945856308208</v>
      </c>
      <c r="G11" s="37">
        <f>SUM(G12:G18)</f>
        <v>97389</v>
      </c>
      <c r="H11" s="37">
        <f>SUM(H12:H18)</f>
        <v>71156.865000000005</v>
      </c>
      <c r="I11" s="39">
        <f>GETPIVOTDATA("Sum of TNReduction(lbs/yr)",$A$5,"Location","B Total")/G11</f>
        <v>0.26935418784462312</v>
      </c>
      <c r="J11" s="37">
        <f>SUM(J12:J18)</f>
        <v>3353.3100000000004</v>
      </c>
      <c r="K11" s="37">
        <f>SUM(K12:K18)</f>
        <v>-2523.3690000000006</v>
      </c>
      <c r="L11" s="39">
        <f>GETPIVOTDATA("Sum of TPReduction(lbs/yr)",$A$5,"Location","B Total")/J11</f>
        <v>1.7525009617363141</v>
      </c>
      <c r="M11" s="37">
        <f>SUM(M12:M18)</f>
        <v>22355.4</v>
      </c>
      <c r="N11" s="37">
        <f>SUM(N12:N18)</f>
        <v>16478.720999999998</v>
      </c>
      <c r="O11" s="39">
        <f>GETPIVOTDATA("Sum of TPReduction(lbs/yr)",$A$5,"Location","B Total")/M11</f>
        <v>0.26287514426044711</v>
      </c>
    </row>
    <row r="12" spans="1:15" x14ac:dyDescent="0.25">
      <c r="A12" s="73" t="s">
        <v>0</v>
      </c>
      <c r="B12" s="27">
        <v>7212.1</v>
      </c>
      <c r="C12" s="27">
        <v>1796.7000000000005</v>
      </c>
      <c r="D12" s="27">
        <f>G12*0.15</f>
        <v>6343.05</v>
      </c>
      <c r="E12" s="27">
        <f>D12-GETPIVOTDATA("Sum of TNReduction(lbs/yr)",$A$5,"LeadEntity","Brevard County","Location","B Total")</f>
        <v>-869.05000000000018</v>
      </c>
      <c r="F12" s="40">
        <f>(D12-E12)/D12</f>
        <v>1.137008221596866</v>
      </c>
      <c r="G12" s="27">
        <v>42287</v>
      </c>
      <c r="H12" s="27">
        <f>G12-GETPIVOTDATA("Sum of TNReduction(lbs/yr)",$A$5,"LeadEntity","Brevard County","Location","B Total")</f>
        <v>35074.9</v>
      </c>
      <c r="I12" s="40">
        <f>(G12-H12)/G12</f>
        <v>0.17055123323952984</v>
      </c>
      <c r="J12" s="27">
        <f>M12*0.15</f>
        <v>1378.5</v>
      </c>
      <c r="K12" s="27">
        <f>J12-GETPIVOTDATA("Sum of TPReduction(lbs/yr)",$A$5,"LeadEntity","Brevard County","Location","B Total")</f>
        <v>-418.2000000000005</v>
      </c>
      <c r="L12" s="40">
        <f>(J12-K12)/J12</f>
        <v>1.3033732317736675</v>
      </c>
      <c r="M12" s="27">
        <v>9190</v>
      </c>
      <c r="N12" s="27">
        <f>M12-GETPIVOTDATA("Sum of TPReduction(lbs/yr)",$A$5,"LeadEntity","Brevard County","Location","B Total")</f>
        <v>7393.2999999999993</v>
      </c>
      <c r="O12" s="40">
        <f>(M12-N12)/M12</f>
        <v>0.19550598476605013</v>
      </c>
    </row>
    <row r="13" spans="1:15" x14ac:dyDescent="0.25">
      <c r="A13" s="73" t="s">
        <v>138</v>
      </c>
      <c r="B13" s="27">
        <v>4388.21</v>
      </c>
      <c r="C13" s="27">
        <v>628.93000000000006</v>
      </c>
      <c r="D13" s="27">
        <f t="shared" ref="D13:D18" si="0">G13*0.15</f>
        <v>886.35</v>
      </c>
      <c r="E13" s="27">
        <f>D13-GETPIVOTDATA("Sum of TNReduction(lbs/yr)",$A$5,"LeadEntity","City of Cape Canaveral","Location","B Total")</f>
        <v>-3501.86</v>
      </c>
      <c r="F13" s="40">
        <f t="shared" ref="F13:F18" si="1">(D13-E13)/D13</f>
        <v>4.950877192982456</v>
      </c>
      <c r="G13" s="27">
        <v>5909</v>
      </c>
      <c r="H13" s="27">
        <f>G13-GETPIVOTDATA("Sum of TNReduction(lbs/yr)",$A$5,"LeadEntity","City of Cape Canaveral","Location","B Total")</f>
        <v>1520.79</v>
      </c>
      <c r="I13" s="40">
        <f t="shared" ref="I13:I18" si="2">(G13-H13)/G13</f>
        <v>0.74263157894736842</v>
      </c>
      <c r="J13" s="27">
        <f t="shared" ref="J13:J18" si="3">M13*0.15</f>
        <v>220.26000000000002</v>
      </c>
      <c r="K13" s="27">
        <f>J13-GETPIVOTDATA("Sum of TPReduction(lbs/yr)",$A$5,"LeadEntity","City of Cape Canaveral","Location","B Total")</f>
        <v>-408.67000000000007</v>
      </c>
      <c r="L13" s="40">
        <f t="shared" ref="L13:L18" si="4">(J13-K13)/J13</f>
        <v>2.8553981658040497</v>
      </c>
      <c r="M13" s="27">
        <v>1468.4</v>
      </c>
      <c r="N13" s="27">
        <f>M13-GETPIVOTDATA("Sum of TPReduction(lbs/yr)",$A$5,"LeadEntity","City of Cape Canaveral","Location","B Total")</f>
        <v>839.47</v>
      </c>
      <c r="O13" s="40">
        <f t="shared" ref="O13:O18" si="5">(M13-N13)/M13</f>
        <v>0.42830972487060748</v>
      </c>
    </row>
    <row r="14" spans="1:15" x14ac:dyDescent="0.25">
      <c r="A14" s="73" t="s">
        <v>95</v>
      </c>
      <c r="B14" s="27">
        <v>2480.5299999999997</v>
      </c>
      <c r="C14" s="27">
        <v>716.28</v>
      </c>
      <c r="D14" s="27">
        <f t="shared" si="0"/>
        <v>1701.8999999999999</v>
      </c>
      <c r="E14" s="27">
        <f>D14-GETPIVOTDATA("Sum of TNReduction(lbs/yr)",$A$5,"LeadEntity","City of Cocoa Beach","Location","B Total")</f>
        <v>-778.62999999999988</v>
      </c>
      <c r="F14" s="40">
        <f t="shared" si="1"/>
        <v>1.4575063164698279</v>
      </c>
      <c r="G14" s="27">
        <v>11346</v>
      </c>
      <c r="H14" s="27">
        <f>G14-GETPIVOTDATA("Sum of TNReduction(lbs/yr)",$A$5,"LeadEntity","City of Cocoa Beach","Location","B Total")</f>
        <v>8865.4700000000012</v>
      </c>
      <c r="I14" s="40">
        <f t="shared" si="2"/>
        <v>0.21862594747047406</v>
      </c>
      <c r="J14" s="27">
        <f t="shared" si="3"/>
        <v>353.92500000000001</v>
      </c>
      <c r="K14" s="27">
        <f>J14-GETPIVOTDATA("Sum of TPReduction(lbs/yr)",$A$5,"LeadEntity","City of Cocoa Beach","Location","B Total")</f>
        <v>-362.35499999999996</v>
      </c>
      <c r="L14" s="40">
        <f t="shared" si="4"/>
        <v>2.0238186056367873</v>
      </c>
      <c r="M14" s="27">
        <v>2359.5</v>
      </c>
      <c r="N14" s="27">
        <f>M14-GETPIVOTDATA("Sum of TPReduction(lbs/yr)",$A$5,"LeadEntity","City of Cocoa Beach","Location","B Total")</f>
        <v>1643.22</v>
      </c>
      <c r="O14" s="40">
        <f t="shared" si="5"/>
        <v>0.30357279084551808</v>
      </c>
    </row>
    <row r="15" spans="1:15" x14ac:dyDescent="0.25">
      <c r="A15" s="73" t="s">
        <v>173</v>
      </c>
      <c r="B15" s="27">
        <v>1537.2950000000001</v>
      </c>
      <c r="C15" s="27">
        <v>401.42900000000009</v>
      </c>
      <c r="D15" s="27">
        <f t="shared" si="0"/>
        <v>1017.5999999999999</v>
      </c>
      <c r="E15" s="27">
        <f>D15-GETPIVOTDATA("Sum of TNReduction(lbs/yr)",$A$5,"LeadEntity","City of Indian Harbour Beach","Location","B Total")</f>
        <v>-519.69500000000016</v>
      </c>
      <c r="F15" s="40">
        <f t="shared" si="1"/>
        <v>1.510706564465409</v>
      </c>
      <c r="G15" s="27">
        <v>6784</v>
      </c>
      <c r="H15" s="27">
        <f>G15-GETPIVOTDATA("Sum of TNReduction(lbs/yr)",$A$5,"LeadEntity","City of Indian Harbour Beach","Location","B Total")</f>
        <v>5246.7049999999999</v>
      </c>
      <c r="I15" s="40">
        <f t="shared" si="2"/>
        <v>0.22660598466981133</v>
      </c>
      <c r="J15" s="27">
        <f t="shared" si="3"/>
        <v>174.78</v>
      </c>
      <c r="K15" s="27">
        <f>J15-GETPIVOTDATA("Sum of TPReduction(lbs/yr)",$A$5,"LeadEntity","City of Indian Harbour Beach","Location","B Total")</f>
        <v>-226.64900000000009</v>
      </c>
      <c r="L15" s="40">
        <f t="shared" si="4"/>
        <v>2.2967673646870357</v>
      </c>
      <c r="M15" s="27">
        <v>1165.2</v>
      </c>
      <c r="N15" s="27">
        <f>M15-GETPIVOTDATA("Sum of TPReduction(lbs/yr)",$A$5,"LeadEntity","City of Indian Harbour Beach","Location","B Total")</f>
        <v>763.77099999999996</v>
      </c>
      <c r="O15" s="40">
        <f t="shared" si="5"/>
        <v>0.34451510470305535</v>
      </c>
    </row>
    <row r="16" spans="1:15" x14ac:dyDescent="0.25">
      <c r="A16" s="73" t="s">
        <v>193</v>
      </c>
      <c r="B16" s="27">
        <v>3289</v>
      </c>
      <c r="C16" s="27">
        <v>690.09999999999991</v>
      </c>
      <c r="D16" s="27">
        <f t="shared" si="0"/>
        <v>1572.8999999999999</v>
      </c>
      <c r="E16" s="27">
        <f>D16-GETPIVOTDATA("Sum of TNReduction(lbs/yr)",$A$5,"LeadEntity","City of Satellite Beach","Location","B Total")</f>
        <v>-1716.1000000000001</v>
      </c>
      <c r="F16" s="40">
        <f t="shared" si="1"/>
        <v>2.0910420242863501</v>
      </c>
      <c r="G16" s="27">
        <v>10486</v>
      </c>
      <c r="H16" s="27">
        <f>G16-GETPIVOTDATA("Sum of TNReduction(lbs/yr)",$A$5,"LeadEntity","City of Satellite Beach","Location","B Total")</f>
        <v>7197</v>
      </c>
      <c r="I16" s="40">
        <f t="shared" si="2"/>
        <v>0.31365630364295249</v>
      </c>
      <c r="J16" s="27">
        <f t="shared" si="3"/>
        <v>298.185</v>
      </c>
      <c r="K16" s="27">
        <f>J16-GETPIVOTDATA("Sum of TPReduction(lbs/yr)",$A$5,"LeadEntity","City of Satellite Beach","Location","B Total")</f>
        <v>-391.91499999999991</v>
      </c>
      <c r="L16" s="40">
        <f t="shared" si="4"/>
        <v>2.3143350604490496</v>
      </c>
      <c r="M16" s="27">
        <v>1987.9</v>
      </c>
      <c r="N16" s="27">
        <f>M16-GETPIVOTDATA("Sum of TPReduction(lbs/yr)",$A$5,"LeadEntity","City of Satellite Beach","Location","B Total")</f>
        <v>1297.8000000000002</v>
      </c>
      <c r="O16" s="40">
        <f t="shared" si="5"/>
        <v>0.34715025906735747</v>
      </c>
    </row>
    <row r="17" spans="1:15" x14ac:dyDescent="0.25">
      <c r="A17" s="73" t="s">
        <v>375</v>
      </c>
      <c r="B17" s="27">
        <v>2139</v>
      </c>
      <c r="C17" s="27">
        <v>330.5</v>
      </c>
      <c r="D17" s="27">
        <f t="shared" si="0"/>
        <v>471.9</v>
      </c>
      <c r="E17" s="27">
        <f>D17-GETPIVOTDATA("Sum of TNReduction(lbs/yr)",$A$5,"LeadEntity","FDOT District 5","Location","B Total")</f>
        <v>-1667.1</v>
      </c>
      <c r="F17" s="40">
        <f t="shared" si="1"/>
        <v>4.5327399872854421</v>
      </c>
      <c r="G17" s="27">
        <v>3146</v>
      </c>
      <c r="H17" s="27">
        <f>G17-GETPIVOTDATA("Sum of TNReduction(lbs/yr)",$A$5,"LeadEntity","FDOT District 5","Location","B Total")</f>
        <v>1007</v>
      </c>
      <c r="I17" s="40">
        <f t="shared" si="2"/>
        <v>0.6799109980928163</v>
      </c>
      <c r="J17" s="27">
        <f t="shared" si="3"/>
        <v>179.29499999999999</v>
      </c>
      <c r="K17" s="27">
        <f>J17-GETPIVOTDATA("Sum of TPReduction(lbs/yr)",$A$5,"LeadEntity","FDOT District 5","Location","B Total")</f>
        <v>-151.20500000000001</v>
      </c>
      <c r="L17" s="40">
        <f t="shared" si="4"/>
        <v>1.8433308235031653</v>
      </c>
      <c r="M17" s="27">
        <v>1195.3</v>
      </c>
      <c r="N17" s="27">
        <f>M17-GETPIVOTDATA("Sum of TPReduction(lbs/yr)",$A$5,"LeadEntity","FDOT District 5","Location","B Total")</f>
        <v>864.8</v>
      </c>
      <c r="O17" s="40">
        <f t="shared" si="5"/>
        <v>0.2764996235254748</v>
      </c>
    </row>
    <row r="18" spans="1:15" x14ac:dyDescent="0.25">
      <c r="A18" s="73" t="s">
        <v>192</v>
      </c>
      <c r="B18" s="27">
        <v>5186</v>
      </c>
      <c r="C18" s="27">
        <v>1312.74</v>
      </c>
      <c r="D18" s="27">
        <f t="shared" si="0"/>
        <v>2614.65</v>
      </c>
      <c r="E18" s="27">
        <f>D18-GETPIVOTDATA("Sum of TNReduction(lbs/yr)",$A$5,"LeadEntity","Patrick Air Force Base","Location","B Total")</f>
        <v>-2571.35</v>
      </c>
      <c r="F18" s="40">
        <f t="shared" si="1"/>
        <v>1.9834394660853267</v>
      </c>
      <c r="G18" s="27">
        <v>17431</v>
      </c>
      <c r="H18" s="27">
        <f>G18-GETPIVOTDATA("Sum of TNReduction(lbs/yr)",$A$5,"LeadEntity","Patrick Air Force Base","Location","B Total")</f>
        <v>12245</v>
      </c>
      <c r="I18" s="40">
        <f t="shared" si="2"/>
        <v>0.29751591991279902</v>
      </c>
      <c r="J18" s="27">
        <f t="shared" si="3"/>
        <v>748.36500000000001</v>
      </c>
      <c r="K18" s="27">
        <f>J18-GETPIVOTDATA("Sum of TPReduction(lbs/yr)",$A$5,"LeadEntity","Patrick Air Force Base","Location","B Total")</f>
        <v>-564.375</v>
      </c>
      <c r="L18" s="40">
        <f t="shared" si="4"/>
        <v>1.7541440339941072</v>
      </c>
      <c r="M18" s="27">
        <v>4989.1000000000004</v>
      </c>
      <c r="N18" s="27">
        <f>M18-GETPIVOTDATA("Sum of TPReduction(lbs/yr)",$A$5,"LeadEntity","Patrick Air Force Base","Location","B Total")</f>
        <v>3676.3600000000006</v>
      </c>
      <c r="O18" s="40">
        <f t="shared" si="5"/>
        <v>0.26312160509911603</v>
      </c>
    </row>
    <row r="19" spans="1:15" x14ac:dyDescent="0.25">
      <c r="A19" s="38" t="s">
        <v>259</v>
      </c>
      <c r="B19" s="27">
        <v>46289.134999999995</v>
      </c>
      <c r="C19" s="27">
        <v>9414.3790000000008</v>
      </c>
      <c r="D19" s="44">
        <f>SUM(D12:D18)</f>
        <v>14608.35</v>
      </c>
      <c r="E19" s="44">
        <f>E11</f>
        <v>-11623.785000000002</v>
      </c>
      <c r="F19" s="49">
        <f>GETPIVOTDATA("Sum of TNReduction(lbs/yr)",$A$5)/D19</f>
        <v>3.1686764761249555</v>
      </c>
      <c r="G19" s="50">
        <f>G11</f>
        <v>97389</v>
      </c>
      <c r="H19" s="41">
        <f>G19-GETPIVOTDATA("Sum of TNReduction(lbs/yr)",$A$5)</f>
        <v>51099.865000000005</v>
      </c>
      <c r="I19" s="42">
        <f>GETPIVOTDATA("Sum of TNReduction(lbs/yr)",$A$5)/G19</f>
        <v>0.47530147141874335</v>
      </c>
      <c r="J19" s="50">
        <f>J11</f>
        <v>3353.3100000000004</v>
      </c>
      <c r="K19" s="50">
        <f>K11</f>
        <v>-2523.3690000000006</v>
      </c>
      <c r="L19" s="51">
        <f>GETPIVOTDATA("Sum of TPReduction(lbs/yr)",$A$5)/J19</f>
        <v>2.8074884218876273</v>
      </c>
      <c r="M19" s="50">
        <f>M11</f>
        <v>22355.4</v>
      </c>
      <c r="N19" s="41">
        <f>N11</f>
        <v>16478.720999999998</v>
      </c>
      <c r="O19" s="42">
        <f>GETPIVOTDATA("Sum of TPReduction(lbs/yr)",$A$5)/M19</f>
        <v>0.42112326328314414</v>
      </c>
    </row>
    <row r="20" spans="1:15" ht="14.4" x14ac:dyDescent="0.3">
      <c r="A20"/>
      <c r="B20"/>
      <c r="C20"/>
      <c r="D20" s="2"/>
      <c r="E20" s="2"/>
      <c r="F20" s="2"/>
      <c r="G20" s="2"/>
      <c r="H20" s="2"/>
      <c r="I20" s="31"/>
    </row>
    <row r="21" spans="1:15" ht="14.4" x14ac:dyDescent="0.3">
      <c r="A21"/>
      <c r="B21"/>
      <c r="C21"/>
    </row>
    <row r="22" spans="1:15" s="28" customFormat="1" ht="14.4" x14ac:dyDescent="0.3">
      <c r="A22"/>
      <c r="B22"/>
      <c r="C22"/>
      <c r="D22" s="1"/>
      <c r="E22" s="1"/>
      <c r="F22" s="1"/>
      <c r="G22" s="1"/>
      <c r="H22" s="1"/>
      <c r="I22" s="1"/>
      <c r="J22" s="1"/>
      <c r="K22" s="1"/>
      <c r="L22" s="1"/>
      <c r="M22" s="1"/>
      <c r="N22" s="1"/>
      <c r="O22" s="1"/>
    </row>
    <row r="23" spans="1:15" s="1" customFormat="1" ht="14.4" x14ac:dyDescent="0.3">
      <c r="A23"/>
      <c r="B23"/>
      <c r="C23"/>
    </row>
    <row r="24" spans="1:15" s="1" customFormat="1" ht="14.4" x14ac:dyDescent="0.3">
      <c r="A24"/>
      <c r="B24"/>
      <c r="C24"/>
      <c r="D24" s="43"/>
      <c r="E24" s="43"/>
      <c r="F24" s="43"/>
      <c r="G24" s="43"/>
      <c r="H24" s="43"/>
      <c r="I24" s="43"/>
      <c r="J24" s="43"/>
    </row>
    <row r="25" spans="1:15" s="1" customFormat="1" ht="14.4" x14ac:dyDescent="0.3">
      <c r="A25"/>
      <c r="B25"/>
      <c r="C25"/>
    </row>
    <row r="26" spans="1:15" s="1" customFormat="1" ht="14.4" x14ac:dyDescent="0.3">
      <c r="A26"/>
      <c r="B26"/>
      <c r="C26"/>
    </row>
    <row r="27" spans="1:15" s="1" customFormat="1" ht="14.4" x14ac:dyDescent="0.3">
      <c r="A27"/>
      <c r="B27"/>
      <c r="C27"/>
    </row>
    <row r="28" spans="1:15" s="1" customFormat="1" ht="14.4" x14ac:dyDescent="0.3">
      <c r="A28"/>
      <c r="B28"/>
      <c r="C28"/>
    </row>
    <row r="29" spans="1:15" s="1" customFormat="1" ht="14.4" x14ac:dyDescent="0.3">
      <c r="A29"/>
      <c r="B29"/>
      <c r="C29"/>
    </row>
    <row r="30" spans="1:15" s="1" customFormat="1" ht="14.4" x14ac:dyDescent="0.3">
      <c r="A30"/>
      <c r="B30"/>
      <c r="C30"/>
    </row>
    <row r="31" spans="1:15" s="1" customFormat="1" ht="14.4" x14ac:dyDescent="0.3">
      <c r="A31"/>
      <c r="B31"/>
      <c r="C31"/>
    </row>
    <row r="32" spans="1:15" s="1" customFormat="1" ht="14.4" x14ac:dyDescent="0.3">
      <c r="A32"/>
      <c r="B32"/>
      <c r="C32"/>
    </row>
    <row r="33" spans="1:8" s="1" customFormat="1" ht="14.4" x14ac:dyDescent="0.3">
      <c r="A33"/>
      <c r="B33"/>
      <c r="C33"/>
    </row>
    <row r="34" spans="1:8" s="1" customFormat="1" ht="14.4" x14ac:dyDescent="0.3">
      <c r="A34"/>
      <c r="B34"/>
      <c r="C34"/>
    </row>
    <row r="35" spans="1:8" s="1" customFormat="1" ht="14.4" x14ac:dyDescent="0.3">
      <c r="A35"/>
      <c r="B35"/>
      <c r="C35"/>
    </row>
    <row r="36" spans="1:8" s="1" customFormat="1" ht="14.4" x14ac:dyDescent="0.3">
      <c r="A36"/>
      <c r="B36"/>
      <c r="C36"/>
    </row>
    <row r="37" spans="1:8" s="1" customFormat="1" ht="14.4" x14ac:dyDescent="0.3">
      <c r="A37"/>
      <c r="B37"/>
      <c r="C37"/>
    </row>
    <row r="38" spans="1:8" s="1" customFormat="1" ht="14.4" x14ac:dyDescent="0.3">
      <c r="A38"/>
      <c r="B38"/>
      <c r="C38"/>
    </row>
    <row r="39" spans="1:8" s="1" customFormat="1" ht="14.4" x14ac:dyDescent="0.3">
      <c r="A39"/>
      <c r="B39"/>
      <c r="C39"/>
    </row>
    <row r="40" spans="1:8" s="1" customFormat="1" ht="14.4" x14ac:dyDescent="0.3">
      <c r="A40"/>
      <c r="B40"/>
      <c r="C40"/>
    </row>
    <row r="41" spans="1:8" s="1" customFormat="1" ht="14.4" x14ac:dyDescent="0.3">
      <c r="A41"/>
      <c r="B41"/>
      <c r="C41"/>
    </row>
    <row r="42" spans="1:8" s="1" customFormat="1" ht="52.8" x14ac:dyDescent="0.25">
      <c r="A42" s="10" t="s">
        <v>365</v>
      </c>
      <c r="B42" s="10" t="s">
        <v>366</v>
      </c>
      <c r="C42" s="10" t="s">
        <v>367</v>
      </c>
      <c r="D42" s="10" t="s">
        <v>368</v>
      </c>
      <c r="E42" s="10" t="s">
        <v>369</v>
      </c>
      <c r="F42" s="10" t="s">
        <v>370</v>
      </c>
      <c r="G42" s="10" t="s">
        <v>371</v>
      </c>
      <c r="H42" s="10" t="s">
        <v>372</v>
      </c>
    </row>
    <row r="43" spans="1:8" s="1" customFormat="1" ht="13.2" x14ac:dyDescent="0.25">
      <c r="A43" s="8" t="s">
        <v>373</v>
      </c>
      <c r="B43" s="6" t="s">
        <v>0</v>
      </c>
      <c r="C43" s="6">
        <v>1327</v>
      </c>
      <c r="D43" s="6">
        <v>203.62</v>
      </c>
      <c r="E43" s="6" t="s">
        <v>263</v>
      </c>
      <c r="F43" s="6" t="s">
        <v>263</v>
      </c>
      <c r="G43" s="7" t="e">
        <f>GETPIVOTDATA("Sum of TN Reduction (lbs/yr)",$A$3,"Lead Entity","Brevard County","Location","A")</f>
        <v>#REF!</v>
      </c>
      <c r="H43" s="7" t="e">
        <f>GETPIVOTDATA("Sum of TP Reduction (lbs/yr)",$A$3,"Lead Entity","Brevard County","Location","A")</f>
        <v>#REF!</v>
      </c>
    </row>
    <row r="44" spans="1:8" s="1" customFormat="1" ht="26.4" x14ac:dyDescent="0.25">
      <c r="A44" s="8" t="s">
        <v>373</v>
      </c>
      <c r="B44" s="8" t="s">
        <v>379</v>
      </c>
      <c r="C44" s="6">
        <v>35328</v>
      </c>
      <c r="D44" s="6">
        <v>9203.5</v>
      </c>
      <c r="E44" s="6" t="s">
        <v>263</v>
      </c>
      <c r="F44" s="6" t="s">
        <v>263</v>
      </c>
      <c r="G44" s="7" t="e">
        <f>GETPIVOTDATA("Sum of TN Reduction (lbs/yr)",$A$3,"Lead Entity","Cape Canaveral Air Force Station","Location","A")</f>
        <v>#REF!</v>
      </c>
      <c r="H44" s="7" t="e">
        <f>GETPIVOTDATA("Sum of TP Reduction (lbs/yr)",$A$3,"Lead Entity","Cape Canaveral Air Force Station","Location","A")</f>
        <v>#REF!</v>
      </c>
    </row>
    <row r="45" spans="1:8" s="1" customFormat="1" ht="13.2" x14ac:dyDescent="0.25">
      <c r="A45" s="8" t="s">
        <v>373</v>
      </c>
      <c r="B45" s="6" t="s">
        <v>375</v>
      </c>
      <c r="C45" s="6">
        <v>285.8</v>
      </c>
      <c r="D45" s="6">
        <v>100.5</v>
      </c>
      <c r="E45" s="6" t="s">
        <v>263</v>
      </c>
      <c r="F45" s="6" t="s">
        <v>263</v>
      </c>
      <c r="G45" s="7" t="e">
        <f>GETPIVOTDATA("Sum of TN Reduction (lbs/yr)",$A$3,"Lead Entity","FDOT District 5","Location","A")</f>
        <v>#REF!</v>
      </c>
      <c r="H45" s="7" t="e">
        <f>GETPIVOTDATA("Sum of TP Reduction (lbs/yr)",$A$3,"Lead Entity","FDOT District 5","Location","A")</f>
        <v>#REF!</v>
      </c>
    </row>
    <row r="46" spans="1:8" s="1" customFormat="1" ht="13.2" x14ac:dyDescent="0.25">
      <c r="A46" s="8" t="s">
        <v>373</v>
      </c>
      <c r="B46" s="6" t="s">
        <v>374</v>
      </c>
      <c r="C46" s="6">
        <v>22597.200000000001</v>
      </c>
      <c r="D46" s="6">
        <v>5690.4</v>
      </c>
      <c r="E46" s="6" t="s">
        <v>263</v>
      </c>
      <c r="F46" s="6" t="s">
        <v>263</v>
      </c>
      <c r="G46" s="7" t="e">
        <f>GETPIVOTDATA("Sum of TN Reduction (lbs/yr)",$A$3,"Lead Entity","Kennedy Space Center","Location","A")</f>
        <v>#REF!</v>
      </c>
      <c r="H46" s="7" t="e">
        <f>GETPIVOTDATA("Sum of TP Reduction (lbs/yr)",$A$3,"Lead Entity","Kennedy Space Center","Location","A")</f>
        <v>#REF!</v>
      </c>
    </row>
    <row r="47" spans="1:8" s="1" customFormat="1" ht="13.2" x14ac:dyDescent="0.25">
      <c r="A47" s="8" t="s">
        <v>376</v>
      </c>
      <c r="B47" s="6" t="s">
        <v>0</v>
      </c>
      <c r="C47" s="6">
        <v>21949</v>
      </c>
      <c r="D47" s="6">
        <v>4584</v>
      </c>
      <c r="E47" s="6">
        <v>6343.05</v>
      </c>
      <c r="F47" s="6">
        <v>1378.5</v>
      </c>
      <c r="G47" s="7" t="e">
        <f>GETPIVOTDATA("Sum of TN Reduction (lbs/yr)",$A$3,"Lead Entity","Brevard County","Location","B")</f>
        <v>#REF!</v>
      </c>
      <c r="H47" s="7" t="e">
        <f>GETPIVOTDATA("Sum of TP Reduction (lbs/yr)",$A$3,"Lead Entity","Brevard County","Location","B")</f>
        <v>#REF!</v>
      </c>
    </row>
    <row r="48" spans="1:8" s="1" customFormat="1" ht="13.2" x14ac:dyDescent="0.25">
      <c r="A48" s="8" t="s">
        <v>376</v>
      </c>
      <c r="B48" s="8" t="s">
        <v>138</v>
      </c>
      <c r="C48" s="6">
        <v>2484</v>
      </c>
      <c r="D48" s="6">
        <v>519</v>
      </c>
      <c r="E48" s="6">
        <v>886.35</v>
      </c>
      <c r="F48" s="6">
        <v>220.26000000000002</v>
      </c>
      <c r="G48" s="7" t="e">
        <f>GETPIVOTDATA("Sum of TN Reduction (lbs/yr)",$A$3,"Lead Entity","City of Cape Canaveral","Location","B")</f>
        <v>#REF!</v>
      </c>
      <c r="H48" s="7" t="e">
        <f>GETPIVOTDATA("Sum of TP Reduction (lbs/yr)",$A$3,"Lead Entity","City of Cape Canaveral","Location","B")</f>
        <v>#REF!</v>
      </c>
    </row>
    <row r="49" spans="1:8" s="1" customFormat="1" ht="13.2" x14ac:dyDescent="0.25">
      <c r="A49" s="8" t="s">
        <v>376</v>
      </c>
      <c r="B49" s="8" t="s">
        <v>95</v>
      </c>
      <c r="C49" s="6">
        <v>6954</v>
      </c>
      <c r="D49" s="6">
        <v>1452</v>
      </c>
      <c r="E49" s="6">
        <v>1701.8999999999999</v>
      </c>
      <c r="F49" s="6">
        <v>353.92500000000001</v>
      </c>
      <c r="G49" s="7" t="e">
        <f>GETPIVOTDATA("Sum of TN Reduction (lbs/yr)",$A$3,"Lead Entity","City of Cocoa Beach","Location","B")</f>
        <v>#REF!</v>
      </c>
      <c r="H49" s="7" t="e">
        <f>GETPIVOTDATA("Sum of TP Reduction (lbs/yr)",$A$3,"Lead Entity","City of Cocoa Beach","Location","B")</f>
        <v>#REF!</v>
      </c>
    </row>
    <row r="50" spans="1:8" s="1" customFormat="1" ht="26.4" x14ac:dyDescent="0.25">
      <c r="A50" s="8" t="s">
        <v>376</v>
      </c>
      <c r="B50" s="8" t="s">
        <v>173</v>
      </c>
      <c r="C50" s="6">
        <v>4482</v>
      </c>
      <c r="D50" s="6">
        <v>936</v>
      </c>
      <c r="E50" s="6">
        <v>1017.5999999999999</v>
      </c>
      <c r="F50" s="6">
        <v>174.77999999999997</v>
      </c>
      <c r="G50" s="7" t="e">
        <f>GETPIVOTDATA("Sum of TN Reduction (lbs/yr)",$A$3,"Lead Entity","City of Indian Harbour Beach","Location","B")</f>
        <v>#REF!</v>
      </c>
      <c r="H50" s="7" t="e">
        <f>GETPIVOTDATA("Sum of TP Reduction (lbs/yr)",$A$3,"Lead Entity","City of Indian Harbour Beach","Location","B")</f>
        <v>#REF!</v>
      </c>
    </row>
    <row r="51" spans="1:8" s="1" customFormat="1" ht="13.2" x14ac:dyDescent="0.25">
      <c r="A51" s="8" t="s">
        <v>376</v>
      </c>
      <c r="B51" s="8" t="s">
        <v>193</v>
      </c>
      <c r="C51" s="6">
        <v>6206</v>
      </c>
      <c r="D51" s="6">
        <v>1296</v>
      </c>
      <c r="E51" s="6">
        <v>1572.8999999999999</v>
      </c>
      <c r="F51" s="6">
        <v>298.185</v>
      </c>
      <c r="G51" s="7" t="e">
        <f>GETPIVOTDATA("Sum of TN Reduction (lbs/yr)",$A$3,"Lead Entity","City of Satellite Beach","Location","B")</f>
        <v>#REF!</v>
      </c>
      <c r="H51" s="7" t="e">
        <f>GETPIVOTDATA("Sum of TP Reduction (lbs/yr)",$A$3,"Lead Entity","City of Satellite Beach","Location","B")</f>
        <v>#REF!</v>
      </c>
    </row>
    <row r="52" spans="1:8" x14ac:dyDescent="0.25">
      <c r="A52" s="8" t="s">
        <v>376</v>
      </c>
      <c r="B52" s="6" t="s">
        <v>375</v>
      </c>
      <c r="C52" s="6">
        <v>1930</v>
      </c>
      <c r="D52" s="6">
        <v>403</v>
      </c>
      <c r="E52" s="6">
        <v>471.9</v>
      </c>
      <c r="F52" s="6">
        <v>179.29499999999999</v>
      </c>
      <c r="G52" s="7" t="e">
        <f>GETPIVOTDATA("Sum of TN Reduction (lbs/yr)",$A$3,"Lead Entity","FDOT District 5","Location","B")</f>
        <v>#REF!</v>
      </c>
      <c r="H52" s="7" t="e">
        <f>GETPIVOTDATA("Sum of TP Reduction (lbs/yr)",$A$3,"Lead Entity","FDOT District 5","Location","B")</f>
        <v>#REF!</v>
      </c>
    </row>
    <row r="53" spans="1:8" x14ac:dyDescent="0.25">
      <c r="A53" s="8" t="s">
        <v>376</v>
      </c>
      <c r="B53" s="8" t="s">
        <v>377</v>
      </c>
      <c r="C53" s="6">
        <v>0</v>
      </c>
      <c r="D53" s="6">
        <v>0</v>
      </c>
      <c r="E53" s="6">
        <v>0</v>
      </c>
      <c r="F53" s="6">
        <v>0</v>
      </c>
      <c r="G53" s="7">
        <v>0</v>
      </c>
      <c r="H53" s="7">
        <v>0</v>
      </c>
    </row>
    <row r="54" spans="1:8" x14ac:dyDescent="0.25">
      <c r="A54" s="9" t="s">
        <v>376</v>
      </c>
      <c r="B54" s="9" t="s">
        <v>192</v>
      </c>
      <c r="C54" s="7">
        <v>7037</v>
      </c>
      <c r="D54" s="7">
        <v>1470</v>
      </c>
      <c r="E54" s="7">
        <v>2614.65</v>
      </c>
      <c r="F54" s="7">
        <v>748.36500000000001</v>
      </c>
      <c r="G54" s="7" t="e">
        <f>GETPIVOTDATA("Sum of TN Reduction (lbs/yr)",$A$3,"Lead Entity","Patrick Air Force Base","Location","B")</f>
        <v>#REF!</v>
      </c>
      <c r="H54" s="7" t="e">
        <f>GETPIVOTDATA("Sum of TP Reduction (lbs/yr)",$A$3,"Lead Entity","Patrick Air Force Base","Location","B")</f>
        <v>#REF!</v>
      </c>
    </row>
    <row r="55" spans="1:8" x14ac:dyDescent="0.25">
      <c r="A55" s="9" t="s">
        <v>376</v>
      </c>
      <c r="B55" s="8" t="s">
        <v>378</v>
      </c>
      <c r="C55" s="7">
        <v>0</v>
      </c>
      <c r="D55" s="7">
        <v>0</v>
      </c>
      <c r="E55" s="7">
        <v>0</v>
      </c>
      <c r="F55" s="7">
        <v>0</v>
      </c>
      <c r="G55" s="7">
        <v>0</v>
      </c>
      <c r="H55" s="7">
        <v>0</v>
      </c>
    </row>
    <row r="56" spans="1:8" x14ac:dyDescent="0.25">
      <c r="D56" s="3"/>
      <c r="E56" s="3"/>
      <c r="F56" s="3"/>
      <c r="G56" s="11" t="e">
        <f>SUM(G43:G55)</f>
        <v>#REF!</v>
      </c>
      <c r="H56" s="11" t="e">
        <f>SUM(H43:H55)</f>
        <v>#REF!</v>
      </c>
    </row>
  </sheetData>
  <conditionalFormatting sqref="O12:O18 I12:I18 F12:F18 L12:L18">
    <cfRule type="cellIs" dxfId="53" priority="4" operator="lessThan">
      <formula>1</formula>
    </cfRule>
  </conditionalFormatting>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BF934-3798-4FAE-BC35-94BF5282605F}">
  <sheetPr codeName="Sheet7"/>
  <dimension ref="A1:I31"/>
  <sheetViews>
    <sheetView topLeftCell="A25" workbookViewId="0">
      <selection activeCell="H35" sqref="H35"/>
    </sheetView>
  </sheetViews>
  <sheetFormatPr defaultRowHeight="14.4" x14ac:dyDescent="0.3"/>
  <cols>
    <col min="1" max="1" width="15.88671875" bestFit="1" customWidth="1"/>
    <col min="2" max="2" width="26.109375" style="26" bestFit="1" customWidth="1"/>
    <col min="6" max="6" width="13.44140625" customWidth="1"/>
    <col min="7" max="7" width="12.44140625" customWidth="1"/>
    <col min="8" max="8" width="12.109375" customWidth="1"/>
    <col min="9" max="9" width="13.6640625" customWidth="1"/>
  </cols>
  <sheetData>
    <row r="1" spans="1:9" x14ac:dyDescent="0.3">
      <c r="A1" s="17" t="s">
        <v>857</v>
      </c>
      <c r="B1" t="s">
        <v>4</v>
      </c>
    </row>
    <row r="2" spans="1:9" x14ac:dyDescent="0.3">
      <c r="F2" s="55" t="s">
        <v>650</v>
      </c>
      <c r="G2" s="55" t="s">
        <v>651</v>
      </c>
      <c r="H2" s="55" t="s">
        <v>652</v>
      </c>
    </row>
    <row r="3" spans="1:9" ht="60" customHeight="1" x14ac:dyDescent="0.3">
      <c r="A3" s="17" t="s">
        <v>258</v>
      </c>
      <c r="B3" s="26" t="s">
        <v>1032</v>
      </c>
      <c r="E3" s="54" t="s">
        <v>648</v>
      </c>
      <c r="F3" s="162" t="s">
        <v>653</v>
      </c>
      <c r="G3" s="163"/>
      <c r="H3" s="54" t="s">
        <v>647</v>
      </c>
      <c r="I3" s="65" t="s">
        <v>1057</v>
      </c>
    </row>
    <row r="4" spans="1:9" x14ac:dyDescent="0.3">
      <c r="A4" s="18" t="s">
        <v>373</v>
      </c>
      <c r="B4" s="26">
        <v>20057</v>
      </c>
      <c r="E4" s="53">
        <v>2013</v>
      </c>
      <c r="F4" s="56">
        <f>SUM(B5,B11)</f>
        <v>3421</v>
      </c>
      <c r="G4" s="56">
        <f>SUM(B13:B18)+(B27)+(B28)</f>
        <v>19286.555</v>
      </c>
      <c r="H4" s="56"/>
      <c r="I4" s="66">
        <v>97389</v>
      </c>
    </row>
    <row r="5" spans="1:9" x14ac:dyDescent="0.3">
      <c r="A5" s="19">
        <v>2005</v>
      </c>
      <c r="B5" s="26">
        <v>102</v>
      </c>
      <c r="E5" s="53">
        <v>2014</v>
      </c>
      <c r="F5" s="56">
        <f>F4+GETPIVOTDATA("TNReduction(lbs/yr)",$A$3,"EstimatedCompletionDate",2014,"Location","A")</f>
        <v>19864</v>
      </c>
      <c r="G5" s="56">
        <f>G4+GETPIVOTDATA("TNReduction(lbs/yr)",$A$3,"EstimatedCompletionDate",2014,"Location","B")</f>
        <v>19344.305</v>
      </c>
      <c r="H5" s="56"/>
      <c r="I5" s="66">
        <v>97389</v>
      </c>
    </row>
    <row r="6" spans="1:9" x14ac:dyDescent="0.3">
      <c r="A6" s="19">
        <v>2014</v>
      </c>
      <c r="B6" s="26">
        <v>16443</v>
      </c>
      <c r="E6" s="53">
        <v>2015</v>
      </c>
      <c r="F6" s="56">
        <f>F5+GETPIVOTDATA("TNReduction(lbs/yr)",$A$3,"EstimatedCompletionDate",2015,"Location","A")</f>
        <v>20057</v>
      </c>
      <c r="G6" s="56">
        <f>G5+GETPIVOTDATA("TNReduction(lbs/yr)",$A$3,"EstimatedCompletionDate",2015,"Location","B")</f>
        <v>20447.305</v>
      </c>
      <c r="H6" s="56"/>
      <c r="I6" s="66">
        <v>97389</v>
      </c>
    </row>
    <row r="7" spans="1:9" x14ac:dyDescent="0.3">
      <c r="A7" s="19">
        <v>2015</v>
      </c>
      <c r="B7" s="26">
        <v>193</v>
      </c>
      <c r="E7" s="53">
        <v>2016</v>
      </c>
      <c r="F7" s="56">
        <f>F6</f>
        <v>20057</v>
      </c>
      <c r="G7" s="56">
        <f>G6+GETPIVOTDATA("TNReduction(lbs/yr)",$A$3,"EstimatedCompletionDate",2016,"Location","B")</f>
        <v>23551.365000000002</v>
      </c>
      <c r="H7" s="56"/>
      <c r="I7" s="66">
        <v>97389</v>
      </c>
    </row>
    <row r="8" spans="1:9" x14ac:dyDescent="0.3">
      <c r="A8" s="19">
        <v>2017</v>
      </c>
      <c r="B8" s="26">
        <v>0</v>
      </c>
      <c r="E8" s="53">
        <v>2017</v>
      </c>
      <c r="F8" s="56">
        <f>F7+GETPIVOTDATA("TNReduction(lbs/yr)",$A$3,"EstimatedCompletionDate",2017,"Location","A")</f>
        <v>20057</v>
      </c>
      <c r="G8" s="56">
        <f>G7+GETPIVOTDATA("TNReduction(lbs/yr)",$A$3,"EstimatedCompletionDate",2017,"Location","B")</f>
        <v>25771.135000000002</v>
      </c>
      <c r="H8" s="56"/>
      <c r="I8" s="66">
        <v>97389</v>
      </c>
    </row>
    <row r="9" spans="1:9" x14ac:dyDescent="0.3">
      <c r="A9" s="19">
        <v>2018</v>
      </c>
      <c r="B9" s="26">
        <v>0</v>
      </c>
      <c r="E9" s="53">
        <v>2018</v>
      </c>
      <c r="F9" s="56">
        <f>F8+GETPIVOTDATA("TNReduction(lbs/yr)",$A$3,"EstimatedCompletionDate",2018,"Location","A")</f>
        <v>20057</v>
      </c>
      <c r="G9" s="56">
        <f>G8+GETPIVOTDATA("TNReduction(lbs/yr)",$A$3,"EstimatedCompletionDate",2018,"Location","B")</f>
        <v>26232.135000000002</v>
      </c>
      <c r="H9" s="57">
        <v>14608.4</v>
      </c>
      <c r="I9" s="66">
        <v>97389</v>
      </c>
    </row>
    <row r="10" spans="1:9" x14ac:dyDescent="0.3">
      <c r="A10" s="19">
        <v>2019</v>
      </c>
      <c r="B10" s="26">
        <v>0</v>
      </c>
      <c r="E10" s="53">
        <v>2019</v>
      </c>
      <c r="F10" s="56">
        <f>F9+GETPIVOTDATA("TNReduction(lbs/yr)",$A$3,"EstimatedCompletionDate",2019,"Location","A")</f>
        <v>20057</v>
      </c>
      <c r="G10" s="56">
        <f>G9+GETPIVOTDATA("TNReduction(lbs/yr)",$A$3,"EstimatedCompletionDate",2019,"Location","B")</f>
        <v>26232.135000000002</v>
      </c>
      <c r="H10" s="56"/>
      <c r="I10" s="66">
        <v>97389</v>
      </c>
    </row>
    <row r="11" spans="1:9" x14ac:dyDescent="0.3">
      <c r="A11" s="19" t="s">
        <v>520</v>
      </c>
      <c r="B11" s="26">
        <v>3319</v>
      </c>
      <c r="E11" s="53">
        <v>2020</v>
      </c>
      <c r="F11" s="56"/>
      <c r="G11" s="56"/>
      <c r="H11" s="56"/>
      <c r="I11" s="66">
        <v>97389</v>
      </c>
    </row>
    <row r="12" spans="1:9" x14ac:dyDescent="0.3">
      <c r="A12" s="18" t="s">
        <v>376</v>
      </c>
      <c r="B12" s="26">
        <v>26232.134999999995</v>
      </c>
      <c r="E12" s="53">
        <v>2021</v>
      </c>
      <c r="F12" s="56"/>
      <c r="G12" s="56"/>
      <c r="H12" s="56"/>
      <c r="I12" s="66">
        <v>97389</v>
      </c>
    </row>
    <row r="13" spans="1:9" x14ac:dyDescent="0.3">
      <c r="A13" s="19">
        <v>2004</v>
      </c>
      <c r="B13" s="26">
        <v>0.1</v>
      </c>
      <c r="E13" s="53">
        <v>2022</v>
      </c>
      <c r="F13" s="56"/>
      <c r="G13" s="56"/>
      <c r="H13" s="56"/>
      <c r="I13" s="66">
        <v>97389</v>
      </c>
    </row>
    <row r="14" spans="1:9" x14ac:dyDescent="0.3">
      <c r="A14" s="19">
        <v>2005</v>
      </c>
      <c r="B14" s="26">
        <v>1556.6</v>
      </c>
      <c r="E14" s="53">
        <v>2023</v>
      </c>
      <c r="F14" s="56"/>
      <c r="G14" s="56"/>
      <c r="H14" s="56"/>
      <c r="I14" s="66">
        <v>97389</v>
      </c>
    </row>
    <row r="15" spans="1:9" x14ac:dyDescent="0.3">
      <c r="A15" s="19">
        <v>2006</v>
      </c>
      <c r="B15" s="26">
        <v>24.799999999999997</v>
      </c>
      <c r="E15" s="53">
        <v>2024</v>
      </c>
      <c r="F15" s="56"/>
      <c r="G15" s="56"/>
      <c r="H15" s="56"/>
      <c r="I15" s="66">
        <v>97389</v>
      </c>
    </row>
    <row r="16" spans="1:9" x14ac:dyDescent="0.3">
      <c r="A16" s="19">
        <v>2009</v>
      </c>
      <c r="B16" s="26">
        <v>222.8</v>
      </c>
      <c r="E16" s="53">
        <v>2025</v>
      </c>
      <c r="F16" s="56"/>
      <c r="G16" s="56"/>
      <c r="H16" s="56"/>
      <c r="I16" s="66">
        <v>97389</v>
      </c>
    </row>
    <row r="17" spans="1:9" x14ac:dyDescent="0.3">
      <c r="A17" s="19">
        <v>2011</v>
      </c>
      <c r="B17" s="26">
        <v>458</v>
      </c>
      <c r="E17" s="53">
        <v>2026</v>
      </c>
      <c r="F17" s="56"/>
      <c r="G17" s="56"/>
      <c r="H17" s="56"/>
      <c r="I17" s="66">
        <v>97389</v>
      </c>
    </row>
    <row r="18" spans="1:9" x14ac:dyDescent="0.3">
      <c r="A18" s="19">
        <v>2013</v>
      </c>
      <c r="B18" s="26">
        <v>8678.75</v>
      </c>
      <c r="E18" s="53">
        <v>2027</v>
      </c>
      <c r="F18" s="56"/>
      <c r="G18" s="56"/>
      <c r="H18" s="56"/>
      <c r="I18" s="66">
        <v>97389</v>
      </c>
    </row>
    <row r="19" spans="1:9" x14ac:dyDescent="0.3">
      <c r="A19" s="19">
        <v>2014</v>
      </c>
      <c r="B19" s="26">
        <v>57.75</v>
      </c>
      <c r="E19" s="53">
        <v>2028</v>
      </c>
      <c r="F19" s="56"/>
      <c r="G19" s="56"/>
      <c r="H19" s="56"/>
      <c r="I19" s="66">
        <v>97389</v>
      </c>
    </row>
    <row r="20" spans="1:9" x14ac:dyDescent="0.3">
      <c r="A20" s="19">
        <v>2015</v>
      </c>
      <c r="B20" s="26">
        <v>1103</v>
      </c>
      <c r="E20" s="53">
        <v>2029</v>
      </c>
      <c r="F20" s="56"/>
      <c r="G20" s="56"/>
      <c r="H20" s="56"/>
      <c r="I20" s="66">
        <v>97389</v>
      </c>
    </row>
    <row r="21" spans="1:9" x14ac:dyDescent="0.3">
      <c r="A21" s="19">
        <v>2016</v>
      </c>
      <c r="B21" s="26">
        <v>3104.06</v>
      </c>
      <c r="E21" s="53">
        <v>2030</v>
      </c>
      <c r="F21" s="56"/>
      <c r="G21" s="56"/>
      <c r="H21" s="56"/>
      <c r="I21" s="66">
        <v>97389</v>
      </c>
    </row>
    <row r="22" spans="1:9" x14ac:dyDescent="0.3">
      <c r="A22" s="19">
        <v>2017</v>
      </c>
      <c r="B22" s="26">
        <v>2219.77</v>
      </c>
      <c r="E22" s="53">
        <v>2031</v>
      </c>
      <c r="F22" s="56"/>
      <c r="G22" s="56"/>
      <c r="H22" s="56"/>
      <c r="I22" s="66">
        <v>97389</v>
      </c>
    </row>
    <row r="23" spans="1:9" x14ac:dyDescent="0.3">
      <c r="A23" s="19">
        <v>2018</v>
      </c>
      <c r="B23" s="26">
        <v>461</v>
      </c>
      <c r="E23" s="53">
        <v>2032</v>
      </c>
      <c r="F23" s="56"/>
      <c r="G23" s="56"/>
      <c r="H23" s="56"/>
      <c r="I23" s="66">
        <v>97389</v>
      </c>
    </row>
    <row r="24" spans="1:9" x14ac:dyDescent="0.3">
      <c r="A24" s="19">
        <v>2019</v>
      </c>
      <c r="B24" s="26">
        <v>0</v>
      </c>
      <c r="E24" s="53">
        <v>2033</v>
      </c>
      <c r="F24" s="56"/>
      <c r="G24" s="56"/>
      <c r="H24" s="56"/>
      <c r="I24" s="66">
        <v>97389</v>
      </c>
    </row>
    <row r="25" spans="1:9" x14ac:dyDescent="0.3">
      <c r="A25" s="19">
        <v>2020</v>
      </c>
      <c r="B25" s="26">
        <v>0</v>
      </c>
    </row>
    <row r="26" spans="1:9" x14ac:dyDescent="0.3">
      <c r="A26" s="19" t="s">
        <v>555</v>
      </c>
      <c r="B26" s="26">
        <v>0</v>
      </c>
    </row>
    <row r="27" spans="1:9" x14ac:dyDescent="0.3">
      <c r="A27" s="19" t="s">
        <v>520</v>
      </c>
      <c r="B27" s="26">
        <v>7877.7250000000004</v>
      </c>
    </row>
    <row r="28" spans="1:9" x14ac:dyDescent="0.3">
      <c r="A28" s="19" t="s">
        <v>649</v>
      </c>
      <c r="B28" s="26">
        <v>467.78</v>
      </c>
    </row>
    <row r="29" spans="1:9" x14ac:dyDescent="0.3">
      <c r="A29" s="18" t="s">
        <v>259</v>
      </c>
      <c r="B29" s="26">
        <v>46289.134999999987</v>
      </c>
    </row>
    <row r="30" spans="1:9" x14ac:dyDescent="0.3">
      <c r="B30"/>
    </row>
    <row r="31" spans="1:9" x14ac:dyDescent="0.3">
      <c r="B31"/>
    </row>
  </sheetData>
  <mergeCells count="1">
    <mergeCell ref="F3:G3"/>
  </mergeCell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9D725-E91E-49D8-B2E2-FD470AF61EA8}">
  <sheetPr codeName="Sheet8"/>
  <dimension ref="A1:I47"/>
  <sheetViews>
    <sheetView topLeftCell="A22" workbookViewId="0">
      <selection activeCell="P27" sqref="P27"/>
    </sheetView>
  </sheetViews>
  <sheetFormatPr defaultRowHeight="14.4" x14ac:dyDescent="0.3"/>
  <cols>
    <col min="1" max="1" width="15.88671875" bestFit="1" customWidth="1"/>
    <col min="2" max="2" width="25.88671875" style="26" bestFit="1" customWidth="1"/>
    <col min="6" max="6" width="13.44140625" customWidth="1"/>
    <col min="7" max="7" width="12.44140625" customWidth="1"/>
    <col min="8" max="8" width="12.109375" customWidth="1"/>
    <col min="9" max="9" width="11.6640625" customWidth="1"/>
  </cols>
  <sheetData>
    <row r="1" spans="1:9" x14ac:dyDescent="0.3">
      <c r="A1" s="17" t="s">
        <v>857</v>
      </c>
      <c r="B1" t="s">
        <v>4</v>
      </c>
    </row>
    <row r="2" spans="1:9" x14ac:dyDescent="0.3">
      <c r="F2" s="55" t="s">
        <v>650</v>
      </c>
      <c r="G2" s="55" t="s">
        <v>651</v>
      </c>
      <c r="H2" s="55" t="s">
        <v>652</v>
      </c>
    </row>
    <row r="3" spans="1:9" ht="60" customHeight="1" x14ac:dyDescent="0.3">
      <c r="A3" s="17" t="s">
        <v>258</v>
      </c>
      <c r="B3" s="26" t="s">
        <v>1033</v>
      </c>
      <c r="E3" s="54" t="s">
        <v>648</v>
      </c>
      <c r="F3" s="162" t="s">
        <v>654</v>
      </c>
      <c r="G3" s="163"/>
      <c r="H3" s="54" t="s">
        <v>647</v>
      </c>
      <c r="I3" s="64" t="s">
        <v>868</v>
      </c>
    </row>
    <row r="4" spans="1:9" x14ac:dyDescent="0.3">
      <c r="A4" s="18" t="s">
        <v>373</v>
      </c>
      <c r="B4" s="26">
        <v>3537.7</v>
      </c>
      <c r="E4" s="53">
        <v>2013</v>
      </c>
      <c r="F4" s="56">
        <f>GETPIVOTDATA("TPReduction(lbs/yr)",$A$3,"EstimatedCompletionDate",2005,"Location","A")+GETPIVOTDATA("TPReduction(lbs/yr)",$A$3,"EstimatedCompletionDate","N/A","Location","A")</f>
        <v>901</v>
      </c>
      <c r="G4" s="56">
        <f>SUM(B13:B18)+GETPIVOTDATA("TPReduction(lbs/yr)",$A$3,"EstimatedCompletionDate","N/A","Location","B")+GETPIVOTDATA("TPReduction(lbs/yr)",$A$3,"EstimatedCompletionDate","Prior to 2013","Location","B")</f>
        <v>4694.2890000000016</v>
      </c>
      <c r="H4" s="56"/>
      <c r="I4" s="66">
        <v>22355</v>
      </c>
    </row>
    <row r="5" spans="1:9" x14ac:dyDescent="0.3">
      <c r="A5" s="19">
        <v>2005</v>
      </c>
      <c r="B5" s="26">
        <v>0</v>
      </c>
      <c r="E5" s="53">
        <v>2014</v>
      </c>
      <c r="F5" s="56">
        <f>F4+GETPIVOTDATA("TPReduction(lbs/yr)",$A$3,"EstimatedCompletionDate",2014,"Location","A")</f>
        <v>3427.1</v>
      </c>
      <c r="G5" s="56">
        <f>G4+GETPIVOTDATA("TPReduction(lbs/yr)",$A$3,"EstimatedCompletionDate",2014,"Location","B")</f>
        <v>4706.7590000000018</v>
      </c>
      <c r="H5" s="56"/>
      <c r="I5" s="66">
        <v>22355</v>
      </c>
    </row>
    <row r="6" spans="1:9" x14ac:dyDescent="0.3">
      <c r="A6" s="19">
        <v>2014</v>
      </c>
      <c r="B6" s="26">
        <v>2526.1</v>
      </c>
      <c r="E6" s="53">
        <v>2015</v>
      </c>
      <c r="F6" s="56">
        <f>F5+GETPIVOTDATA("TPReduction(lbs/yr)",$A$3,"EstimatedCompletionDate",2015,"Location","A")</f>
        <v>3537.7</v>
      </c>
      <c r="G6" s="56">
        <f>G5+GETPIVOTDATA("TPReduction(lbs/yr)",$A$3,"EstimatedCompletionDate",2015,"Location","B")</f>
        <v>5109.1590000000015</v>
      </c>
      <c r="H6" s="56"/>
      <c r="I6" s="66">
        <v>22355</v>
      </c>
    </row>
    <row r="7" spans="1:9" x14ac:dyDescent="0.3">
      <c r="A7" s="19">
        <v>2015</v>
      </c>
      <c r="B7" s="26">
        <v>110.6</v>
      </c>
      <c r="E7" s="53">
        <v>2016</v>
      </c>
      <c r="F7" s="56">
        <f>F6</f>
        <v>3537.7</v>
      </c>
      <c r="G7" s="56">
        <f>G6+GETPIVOTDATA("TPReduction(lbs/yr)",$A$3,"EstimatedCompletionDate",2016,"Location","B")</f>
        <v>5390.9790000000012</v>
      </c>
      <c r="H7" s="56"/>
      <c r="I7" s="66">
        <v>22355</v>
      </c>
    </row>
    <row r="8" spans="1:9" x14ac:dyDescent="0.3">
      <c r="A8" s="19">
        <v>2017</v>
      </c>
      <c r="B8" s="26">
        <v>0</v>
      </c>
      <c r="E8" s="53">
        <v>2017</v>
      </c>
      <c r="F8" s="56">
        <f>F7+GETPIVOTDATA("TPReduction(lbs/yr)",$A$3,"EstimatedCompletionDate",2017,"Location","A")</f>
        <v>3537.7</v>
      </c>
      <c r="G8" s="56">
        <f>G7+GETPIVOTDATA("TPReduction(lbs/yr)",$A$3,"EstimatedCompletionDate",2017,"Location","B")</f>
        <v>5780.679000000001</v>
      </c>
      <c r="H8" s="56"/>
      <c r="I8" s="66">
        <v>22355</v>
      </c>
    </row>
    <row r="9" spans="1:9" x14ac:dyDescent="0.3">
      <c r="A9" s="19">
        <v>2018</v>
      </c>
      <c r="B9" s="26">
        <v>0</v>
      </c>
      <c r="E9" s="53">
        <v>2018</v>
      </c>
      <c r="F9" s="56">
        <f>F8+GETPIVOTDATA("TPReduction(lbs/yr)",$A$3,"EstimatedCompletionDate",2018,"Location","A")</f>
        <v>3537.7</v>
      </c>
      <c r="G9" s="56">
        <f>G8+GETPIVOTDATA("TPReduction(lbs/yr)",$A$3,"EstimatedCompletionDate",2018,"Location","B")</f>
        <v>5876.679000000001</v>
      </c>
      <c r="H9" s="57">
        <v>3353.3</v>
      </c>
      <c r="I9" s="66">
        <v>22355</v>
      </c>
    </row>
    <row r="10" spans="1:9" x14ac:dyDescent="0.3">
      <c r="A10" s="19">
        <v>2019</v>
      </c>
      <c r="B10" s="26">
        <v>0</v>
      </c>
      <c r="E10" s="53">
        <v>2019</v>
      </c>
      <c r="F10" s="56">
        <f>F9+GETPIVOTDATA("TPReduction(lbs/yr)",$A$3,"EstimatedCompletionDate",2019,"Location","A")</f>
        <v>3537.7</v>
      </c>
      <c r="G10" s="56">
        <f>G9+GETPIVOTDATA("TPReduction(lbs/yr)",$A$3,"EstimatedCompletionDate",2019,"Location","B")</f>
        <v>5876.679000000001</v>
      </c>
      <c r="H10" s="56"/>
      <c r="I10" s="66">
        <v>22355</v>
      </c>
    </row>
    <row r="11" spans="1:9" x14ac:dyDescent="0.3">
      <c r="A11" s="19" t="s">
        <v>520</v>
      </c>
      <c r="B11" s="26">
        <v>901</v>
      </c>
      <c r="E11" s="53">
        <v>2020</v>
      </c>
      <c r="F11" s="56"/>
      <c r="G11" s="56"/>
      <c r="H11" s="56"/>
      <c r="I11" s="66">
        <v>22355</v>
      </c>
    </row>
    <row r="12" spans="1:9" x14ac:dyDescent="0.3">
      <c r="A12" s="18" t="s">
        <v>376</v>
      </c>
      <c r="B12" s="26">
        <v>5876.679000000001</v>
      </c>
      <c r="E12" s="53">
        <v>2021</v>
      </c>
      <c r="F12" s="56"/>
      <c r="G12" s="56"/>
      <c r="H12" s="56"/>
      <c r="I12" s="66">
        <v>22355</v>
      </c>
    </row>
    <row r="13" spans="1:9" x14ac:dyDescent="0.3">
      <c r="A13" s="19">
        <v>2004</v>
      </c>
      <c r="B13" s="26">
        <v>0.1</v>
      </c>
      <c r="E13" s="53">
        <v>2022</v>
      </c>
      <c r="F13" s="56"/>
      <c r="G13" s="56"/>
      <c r="H13" s="56"/>
      <c r="I13" s="66">
        <v>22355</v>
      </c>
    </row>
    <row r="14" spans="1:9" x14ac:dyDescent="0.3">
      <c r="A14" s="19">
        <v>2005</v>
      </c>
      <c r="B14" s="26">
        <v>69.599999999999994</v>
      </c>
      <c r="E14" s="53">
        <v>2023</v>
      </c>
      <c r="F14" s="56"/>
      <c r="G14" s="56"/>
      <c r="H14" s="56"/>
      <c r="I14" s="66">
        <v>22355</v>
      </c>
    </row>
    <row r="15" spans="1:9" x14ac:dyDescent="0.3">
      <c r="A15" s="19">
        <v>2006</v>
      </c>
      <c r="B15" s="26">
        <v>17.2</v>
      </c>
      <c r="E15" s="53">
        <v>2024</v>
      </c>
      <c r="F15" s="56"/>
      <c r="G15" s="56"/>
      <c r="H15" s="56"/>
      <c r="I15" s="66">
        <v>22355</v>
      </c>
    </row>
    <row r="16" spans="1:9" x14ac:dyDescent="0.3">
      <c r="A16" s="19">
        <v>2009</v>
      </c>
      <c r="B16" s="26">
        <v>39.6</v>
      </c>
      <c r="E16" s="53">
        <v>2025</v>
      </c>
      <c r="F16" s="56"/>
      <c r="G16" s="56"/>
      <c r="H16" s="56"/>
      <c r="I16" s="66">
        <v>22355</v>
      </c>
    </row>
    <row r="17" spans="1:9" x14ac:dyDescent="0.3">
      <c r="A17" s="19">
        <v>2011</v>
      </c>
      <c r="B17" s="26">
        <v>160</v>
      </c>
      <c r="E17" s="53">
        <v>2026</v>
      </c>
      <c r="F17" s="56"/>
      <c r="G17" s="56"/>
      <c r="H17" s="56"/>
      <c r="I17" s="66">
        <v>22355</v>
      </c>
    </row>
    <row r="18" spans="1:9" x14ac:dyDescent="0.3">
      <c r="A18" s="19">
        <v>2013</v>
      </c>
      <c r="B18" s="26">
        <v>2366.0900000000015</v>
      </c>
      <c r="E18" s="53">
        <v>2027</v>
      </c>
      <c r="F18" s="56"/>
      <c r="G18" s="56"/>
      <c r="H18" s="56"/>
      <c r="I18" s="66">
        <v>22355</v>
      </c>
    </row>
    <row r="19" spans="1:9" x14ac:dyDescent="0.3">
      <c r="A19" s="19">
        <v>2014</v>
      </c>
      <c r="B19" s="26">
        <v>12.469999999999999</v>
      </c>
      <c r="E19" s="53">
        <v>2028</v>
      </c>
      <c r="F19" s="56"/>
      <c r="G19" s="56"/>
      <c r="H19" s="56"/>
      <c r="I19" s="66">
        <v>22355</v>
      </c>
    </row>
    <row r="20" spans="1:9" x14ac:dyDescent="0.3">
      <c r="A20" s="19">
        <v>2015</v>
      </c>
      <c r="B20" s="26">
        <v>402.40000000000003</v>
      </c>
      <c r="E20" s="53">
        <v>2029</v>
      </c>
      <c r="F20" s="56"/>
      <c r="G20" s="56"/>
      <c r="H20" s="56"/>
      <c r="I20" s="66">
        <v>22355</v>
      </c>
    </row>
    <row r="21" spans="1:9" x14ac:dyDescent="0.3">
      <c r="A21" s="19">
        <v>2016</v>
      </c>
      <c r="B21" s="26">
        <v>281.82000000000005</v>
      </c>
      <c r="E21" s="53">
        <v>2030</v>
      </c>
      <c r="F21" s="56"/>
      <c r="G21" s="56"/>
      <c r="H21" s="56"/>
      <c r="I21" s="66">
        <v>22355</v>
      </c>
    </row>
    <row r="22" spans="1:9" x14ac:dyDescent="0.3">
      <c r="A22" s="19">
        <v>2017</v>
      </c>
      <c r="B22" s="26">
        <v>389.70000000000005</v>
      </c>
      <c r="E22" s="53">
        <v>2031</v>
      </c>
      <c r="F22" s="56"/>
      <c r="G22" s="56"/>
      <c r="H22" s="56"/>
      <c r="I22" s="66">
        <v>22355</v>
      </c>
    </row>
    <row r="23" spans="1:9" x14ac:dyDescent="0.3">
      <c r="A23" s="19">
        <v>2018</v>
      </c>
      <c r="B23" s="26">
        <v>96</v>
      </c>
      <c r="E23" s="53">
        <v>2032</v>
      </c>
      <c r="F23" s="56"/>
      <c r="G23" s="56"/>
      <c r="H23" s="56"/>
      <c r="I23" s="66">
        <v>22355</v>
      </c>
    </row>
    <row r="24" spans="1:9" x14ac:dyDescent="0.3">
      <c r="A24" s="19">
        <v>2019</v>
      </c>
      <c r="B24" s="26">
        <v>0</v>
      </c>
    </row>
    <row r="25" spans="1:9" x14ac:dyDescent="0.3">
      <c r="A25" s="19">
        <v>2020</v>
      </c>
      <c r="B25" s="26">
        <v>0</v>
      </c>
    </row>
    <row r="26" spans="1:9" x14ac:dyDescent="0.3">
      <c r="A26" s="19" t="s">
        <v>555</v>
      </c>
      <c r="B26" s="26">
        <v>0</v>
      </c>
    </row>
    <row r="27" spans="1:9" x14ac:dyDescent="0.3">
      <c r="A27" s="19" t="s">
        <v>520</v>
      </c>
      <c r="B27" s="26">
        <v>1928.6189999999999</v>
      </c>
    </row>
    <row r="28" spans="1:9" x14ac:dyDescent="0.3">
      <c r="A28" s="19" t="s">
        <v>649</v>
      </c>
      <c r="B28" s="26">
        <v>113.08</v>
      </c>
    </row>
    <row r="29" spans="1:9" x14ac:dyDescent="0.3">
      <c r="A29" s="18" t="s">
        <v>259</v>
      </c>
      <c r="B29" s="26">
        <v>9414.3790000000008</v>
      </c>
    </row>
    <row r="30" spans="1:9" x14ac:dyDescent="0.3">
      <c r="B30"/>
    </row>
    <row r="31" spans="1:9" x14ac:dyDescent="0.3">
      <c r="B31"/>
    </row>
    <row r="32" spans="1:9"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row r="39" spans="2:2" x14ac:dyDescent="0.3">
      <c r="B39"/>
    </row>
    <row r="40" spans="2:2" x14ac:dyDescent="0.3">
      <c r="B40"/>
    </row>
    <row r="41" spans="2:2" x14ac:dyDescent="0.3">
      <c r="B41"/>
    </row>
    <row r="42" spans="2:2" x14ac:dyDescent="0.3">
      <c r="B42"/>
    </row>
    <row r="43" spans="2:2" x14ac:dyDescent="0.3">
      <c r="B43"/>
    </row>
    <row r="44" spans="2:2" x14ac:dyDescent="0.3">
      <c r="B44"/>
    </row>
    <row r="45" spans="2:2" x14ac:dyDescent="0.3">
      <c r="B45"/>
    </row>
    <row r="46" spans="2:2" x14ac:dyDescent="0.3">
      <c r="B46"/>
    </row>
    <row r="47" spans="2:2" x14ac:dyDescent="0.3">
      <c r="B47"/>
    </row>
  </sheetData>
  <mergeCells count="1">
    <mergeCell ref="F3:G3"/>
  </mergeCell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M49"/>
  <sheetViews>
    <sheetView topLeftCell="A19" workbookViewId="0">
      <selection activeCell="A32" sqref="A32"/>
    </sheetView>
  </sheetViews>
  <sheetFormatPr defaultRowHeight="14.4" x14ac:dyDescent="0.3"/>
  <cols>
    <col min="1" max="1" width="23" style="25" bestFit="1" customWidth="1"/>
    <col min="2" max="2" width="19.44140625" style="25" bestFit="1" customWidth="1"/>
    <col min="3" max="3" width="26.109375" style="26" bestFit="1" customWidth="1"/>
    <col min="4" max="4" width="25.88671875" style="26" bestFit="1" customWidth="1"/>
    <col min="5" max="5" width="10.109375" bestFit="1" customWidth="1"/>
    <col min="6" max="6" width="11.33203125" bestFit="1" customWidth="1"/>
    <col min="10" max="10" width="19.88671875" bestFit="1" customWidth="1"/>
    <col min="11" max="11" width="23.88671875" bestFit="1" customWidth="1"/>
    <col min="12" max="12" width="27" bestFit="1" customWidth="1"/>
    <col min="13" max="13" width="26.6640625" bestFit="1" customWidth="1"/>
  </cols>
  <sheetData>
    <row r="1" spans="1:13" x14ac:dyDescent="0.3">
      <c r="A1" s="17" t="s">
        <v>857</v>
      </c>
      <c r="B1" t="s">
        <v>4</v>
      </c>
      <c r="J1" s="24" t="s">
        <v>551</v>
      </c>
      <c r="K1" s="25" t="s">
        <v>582</v>
      </c>
      <c r="L1" s="26"/>
      <c r="M1" s="26"/>
    </row>
    <row r="2" spans="1:13" x14ac:dyDescent="0.3">
      <c r="J2" s="25"/>
      <c r="K2" s="25"/>
      <c r="L2" s="26"/>
      <c r="M2" s="26"/>
    </row>
    <row r="3" spans="1:13" x14ac:dyDescent="0.3">
      <c r="A3" t="s">
        <v>1045</v>
      </c>
      <c r="B3" t="s">
        <v>1046</v>
      </c>
      <c r="C3" t="s">
        <v>1032</v>
      </c>
      <c r="D3" t="s">
        <v>1033</v>
      </c>
      <c r="J3" s="25" t="s">
        <v>584</v>
      </c>
      <c r="K3" s="25" t="s">
        <v>585</v>
      </c>
      <c r="L3" s="25" t="s">
        <v>363</v>
      </c>
      <c r="M3" s="25" t="s">
        <v>364</v>
      </c>
    </row>
    <row r="4" spans="1:13" x14ac:dyDescent="0.3">
      <c r="A4" s="25">
        <v>1574885</v>
      </c>
      <c r="B4" s="25">
        <v>60791789.689999998</v>
      </c>
      <c r="C4" s="26">
        <v>46289.134999999995</v>
      </c>
      <c r="D4" s="26">
        <v>9414.378999999999</v>
      </c>
      <c r="J4" s="25">
        <v>54275807</v>
      </c>
      <c r="K4" s="25">
        <v>805591</v>
      </c>
      <c r="L4" s="26">
        <v>4305.2</v>
      </c>
      <c r="M4" s="26">
        <v>1423.77</v>
      </c>
    </row>
    <row r="5" spans="1:13" x14ac:dyDescent="0.3">
      <c r="A5"/>
      <c r="B5"/>
      <c r="C5"/>
    </row>
    <row r="6" spans="1:13" x14ac:dyDescent="0.3">
      <c r="A6"/>
      <c r="B6"/>
      <c r="C6"/>
    </row>
    <row r="7" spans="1:13" x14ac:dyDescent="0.3">
      <c r="A7"/>
      <c r="B7"/>
      <c r="C7"/>
    </row>
    <row r="8" spans="1:13" x14ac:dyDescent="0.3">
      <c r="A8"/>
      <c r="B8"/>
      <c r="C8"/>
    </row>
    <row r="9" spans="1:13" x14ac:dyDescent="0.3">
      <c r="A9"/>
      <c r="B9"/>
      <c r="C9"/>
    </row>
    <row r="10" spans="1:13" x14ac:dyDescent="0.3">
      <c r="A10"/>
      <c r="B10"/>
      <c r="C10"/>
    </row>
    <row r="11" spans="1:13" x14ac:dyDescent="0.3">
      <c r="A11" s="17" t="s">
        <v>583</v>
      </c>
      <c r="B11" s="17" t="s">
        <v>1047</v>
      </c>
      <c r="C11"/>
      <c r="D11"/>
      <c r="J11" s="17" t="s">
        <v>258</v>
      </c>
      <c r="K11" t="s">
        <v>869</v>
      </c>
    </row>
    <row r="12" spans="1:13" x14ac:dyDescent="0.3">
      <c r="A12" s="17" t="s">
        <v>258</v>
      </c>
      <c r="B12" t="s">
        <v>548</v>
      </c>
      <c r="C12" t="s">
        <v>4</v>
      </c>
      <c r="D12" t="s">
        <v>530</v>
      </c>
      <c r="E12" t="s">
        <v>256</v>
      </c>
      <c r="F12" t="s">
        <v>259</v>
      </c>
      <c r="J12" s="18" t="s">
        <v>548</v>
      </c>
      <c r="K12" s="67">
        <v>10</v>
      </c>
    </row>
    <row r="13" spans="1:13" x14ac:dyDescent="0.3">
      <c r="A13" s="18">
        <v>2013</v>
      </c>
      <c r="B13" s="67">
        <v>2</v>
      </c>
      <c r="C13" s="67">
        <v>174</v>
      </c>
      <c r="D13" s="67">
        <v>1</v>
      </c>
      <c r="E13" s="67"/>
      <c r="F13" s="67">
        <v>177</v>
      </c>
      <c r="J13" s="18" t="s">
        <v>4</v>
      </c>
      <c r="K13" s="67">
        <v>237</v>
      </c>
    </row>
    <row r="14" spans="1:13" x14ac:dyDescent="0.3">
      <c r="A14" s="18">
        <v>2014</v>
      </c>
      <c r="B14" s="67">
        <v>1</v>
      </c>
      <c r="C14" s="67">
        <v>9</v>
      </c>
      <c r="D14" s="67"/>
      <c r="E14" s="67">
        <v>1</v>
      </c>
      <c r="F14" s="67">
        <v>11</v>
      </c>
      <c r="J14" s="18" t="s">
        <v>530</v>
      </c>
      <c r="K14" s="67">
        <v>35</v>
      </c>
    </row>
    <row r="15" spans="1:13" x14ac:dyDescent="0.3">
      <c r="A15" s="18">
        <v>2015</v>
      </c>
      <c r="B15" s="67">
        <v>1</v>
      </c>
      <c r="C15" s="67">
        <v>8</v>
      </c>
      <c r="D15" s="67">
        <v>1</v>
      </c>
      <c r="E15" s="67"/>
      <c r="F15" s="67">
        <v>10</v>
      </c>
      <c r="J15" s="18" t="s">
        <v>256</v>
      </c>
      <c r="K15" s="67">
        <v>26</v>
      </c>
    </row>
    <row r="16" spans="1:13" x14ac:dyDescent="0.3">
      <c r="A16" s="18">
        <v>2016</v>
      </c>
      <c r="B16" s="67">
        <v>3</v>
      </c>
      <c r="C16" s="67">
        <v>11</v>
      </c>
      <c r="D16" s="67">
        <v>15</v>
      </c>
      <c r="E16" s="67">
        <v>12</v>
      </c>
      <c r="F16" s="67">
        <v>41</v>
      </c>
      <c r="J16" s="18" t="s">
        <v>259</v>
      </c>
      <c r="K16" s="67">
        <v>308</v>
      </c>
    </row>
    <row r="17" spans="1:6" x14ac:dyDescent="0.3">
      <c r="A17" s="18">
        <v>2017</v>
      </c>
      <c r="B17" s="67">
        <v>2</v>
      </c>
      <c r="C17" s="67">
        <v>10</v>
      </c>
      <c r="D17" s="67">
        <v>1</v>
      </c>
      <c r="E17" s="67">
        <v>4</v>
      </c>
      <c r="F17" s="67">
        <v>17</v>
      </c>
    </row>
    <row r="18" spans="1:6" x14ac:dyDescent="0.3">
      <c r="A18" s="18">
        <v>2018</v>
      </c>
      <c r="B18" s="67">
        <v>1</v>
      </c>
      <c r="C18" s="67">
        <v>14</v>
      </c>
      <c r="D18" s="67">
        <v>17</v>
      </c>
      <c r="E18" s="67">
        <v>5</v>
      </c>
      <c r="F18" s="67">
        <v>37</v>
      </c>
    </row>
    <row r="19" spans="1:6" x14ac:dyDescent="0.3">
      <c r="A19" s="18">
        <v>2019</v>
      </c>
      <c r="B19" s="67"/>
      <c r="C19" s="67">
        <v>11</v>
      </c>
      <c r="D19" s="67"/>
      <c r="E19" s="67">
        <v>4</v>
      </c>
      <c r="F19" s="67">
        <v>15</v>
      </c>
    </row>
    <row r="20" spans="1:6" x14ac:dyDescent="0.3">
      <c r="A20" s="18" t="s">
        <v>259</v>
      </c>
      <c r="B20" s="67">
        <v>10</v>
      </c>
      <c r="C20" s="67">
        <v>237</v>
      </c>
      <c r="D20" s="67">
        <v>35</v>
      </c>
      <c r="E20" s="67">
        <v>26</v>
      </c>
      <c r="F20" s="67">
        <v>308</v>
      </c>
    </row>
    <row r="21" spans="1:6" x14ac:dyDescent="0.3">
      <c r="A21"/>
      <c r="B21"/>
      <c r="C21"/>
    </row>
    <row r="22" spans="1:6" x14ac:dyDescent="0.3">
      <c r="C22"/>
    </row>
    <row r="23" spans="1:6" x14ac:dyDescent="0.3">
      <c r="C23"/>
    </row>
    <row r="24" spans="1:6" x14ac:dyDescent="0.3">
      <c r="C24"/>
    </row>
    <row r="25" spans="1:6" x14ac:dyDescent="0.3">
      <c r="C25"/>
    </row>
    <row r="26" spans="1:6" ht="27" x14ac:dyDescent="0.3">
      <c r="A26" s="76" t="s">
        <v>1052</v>
      </c>
      <c r="B26" s="76" t="s">
        <v>1053</v>
      </c>
      <c r="C26" s="76" t="s">
        <v>1056</v>
      </c>
      <c r="D26" s="76" t="s">
        <v>1054</v>
      </c>
    </row>
    <row r="27" spans="1:6" x14ac:dyDescent="0.3">
      <c r="A27" s="77">
        <f>'TN Progress Chart'!F10+'TN Progress Chart'!G10</f>
        <v>46289.135000000002</v>
      </c>
      <c r="B27" s="77"/>
      <c r="C27" s="78">
        <v>97389</v>
      </c>
      <c r="D27" s="79">
        <f>A27/C27</f>
        <v>0.4753014714187434</v>
      </c>
    </row>
    <row r="28" spans="1:6" x14ac:dyDescent="0.3">
      <c r="A28"/>
      <c r="B28"/>
      <c r="C28"/>
      <c r="D28" s="2"/>
    </row>
    <row r="29" spans="1:6" x14ac:dyDescent="0.3">
      <c r="A29"/>
      <c r="B29"/>
      <c r="C29"/>
      <c r="D29" s="2"/>
    </row>
    <row r="30" spans="1:6" ht="27" x14ac:dyDescent="0.3">
      <c r="A30" s="76" t="s">
        <v>1055</v>
      </c>
      <c r="B30" s="76" t="s">
        <v>1053</v>
      </c>
      <c r="C30" s="76" t="s">
        <v>1056</v>
      </c>
      <c r="D30" s="76" t="s">
        <v>1054</v>
      </c>
    </row>
    <row r="31" spans="1:6" x14ac:dyDescent="0.3">
      <c r="A31" s="77">
        <f>'TP Progress Chart'!F10+'TP Progress Chart'!G10</f>
        <v>9414.3790000000008</v>
      </c>
      <c r="B31" s="77"/>
      <c r="C31" s="78">
        <v>22355</v>
      </c>
      <c r="D31" s="79">
        <f>A31/C31</f>
        <v>0.42113079847908746</v>
      </c>
    </row>
    <row r="32" spans="1:6" x14ac:dyDescent="0.3">
      <c r="A32"/>
      <c r="B32"/>
      <c r="C32"/>
    </row>
    <row r="33" spans="1:3" x14ac:dyDescent="0.3">
      <c r="A33"/>
      <c r="B33"/>
      <c r="C33"/>
    </row>
    <row r="34" spans="1:3" x14ac:dyDescent="0.3">
      <c r="C34"/>
    </row>
    <row r="35" spans="1:3" x14ac:dyDescent="0.3">
      <c r="C35"/>
    </row>
    <row r="36" spans="1:3" x14ac:dyDescent="0.3">
      <c r="C36"/>
    </row>
    <row r="37" spans="1:3" x14ac:dyDescent="0.3">
      <c r="C37"/>
    </row>
    <row r="38" spans="1:3" x14ac:dyDescent="0.3">
      <c r="A38"/>
      <c r="B38"/>
      <c r="C38"/>
    </row>
    <row r="39" spans="1:3" x14ac:dyDescent="0.3">
      <c r="A39"/>
      <c r="B39"/>
      <c r="C39"/>
    </row>
    <row r="40" spans="1:3" x14ac:dyDescent="0.3">
      <c r="A40"/>
      <c r="B40"/>
      <c r="C40"/>
    </row>
    <row r="41" spans="1:3" x14ac:dyDescent="0.3">
      <c r="A41"/>
      <c r="B41"/>
      <c r="C41"/>
    </row>
    <row r="42" spans="1:3" x14ac:dyDescent="0.3">
      <c r="A42"/>
      <c r="B42"/>
      <c r="C42"/>
    </row>
    <row r="43" spans="1:3" x14ac:dyDescent="0.3">
      <c r="A43"/>
      <c r="B43"/>
      <c r="C43"/>
    </row>
    <row r="44" spans="1:3" x14ac:dyDescent="0.3">
      <c r="A44"/>
      <c r="B44"/>
      <c r="C44"/>
    </row>
    <row r="45" spans="1:3" x14ac:dyDescent="0.3">
      <c r="A45"/>
      <c r="B45"/>
      <c r="C45"/>
    </row>
    <row r="46" spans="1:3" x14ac:dyDescent="0.3">
      <c r="A46"/>
      <c r="B46"/>
      <c r="C46"/>
    </row>
    <row r="47" spans="1:3" x14ac:dyDescent="0.3">
      <c r="A47"/>
      <c r="B47"/>
      <c r="C47"/>
    </row>
    <row r="48" spans="1:3" x14ac:dyDescent="0.3">
      <c r="A48"/>
      <c r="B48"/>
      <c r="C48"/>
    </row>
    <row r="49" spans="1:3" x14ac:dyDescent="0.3">
      <c r="A49"/>
      <c r="B49"/>
      <c r="C49"/>
    </row>
  </sheetData>
  <pageMargins left="0.7" right="0.7" top="0.75" bottom="0.75" header="0.3" footer="0.3"/>
  <pageSetup orientation="portrait" horizontalDpi="4294967295" verticalDpi="4294967295"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y n 5 y T n z C 0 t y o A A A A + Q A A A B I A H A B D b 2 5 m a W c v U G F j a 2 F n Z S 5 4 b W w g o h g A K K A U A A A A A A A A A A A A A A A A A A A A A A A A A A A A h Y 9 B D o I w F E S v Q r q n L S V W Q z 5 l 4 V Y S E 6 J x 2 2 C F R i i G F s v d X H g k r y C J o u 5 c z u R N 8 u Z x u 0 M 2 t k 1 w V b 3 V n U l R h C k K l C m 7 o z Z V i g Z 3 C l c o E 7 C V 5 V l W K p h g Y 5 P R 6 h T V z l 0 S Q r z 3 2 M e 4 6 y v C K I 3 I I d 8 U Z a 1 a G W p j n T S l Q p / V 8 f 8 K C d i / Z A T D n O N F v O Q 4 4 o w B m X v I t f k y b F L G F M h P C e u h c U O v h D L h r g A y R y D v G + I J U E s D B B Q A A g A I A M p + c k 4 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K f n J O K I p H u A 4 A A A A R A A A A E w A c A E Z v c m 1 1 b G F z L 1 N l Y 3 R p b 2 4 x L m 0 g o h g A K K A U A A A A A A A A A A A A A A A A A A A A A A A A A A A A K 0 5 N L s n M z 1 M I h t C G 1 g B Q S w E C L Q A U A A I A C A D K f n J O f M L S 3 K g A A A D 5 A A A A E g A A A A A A A A A A A A A A A A A A A A A A Q 2 9 u Z m l n L 1 B h Y 2 t h Z 2 U u e G 1 s U E s B A i 0 A F A A C A A g A y n 5 y T g / K 6 a u k A A A A 6 Q A A A B M A A A A A A A A A A A A A A A A A 9 A A A A F t D b 2 5 0 Z W 5 0 X 1 R 5 c G V z X S 5 4 b W x Q S w E C L Q A U A A I A C A D K f n J O 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5 L z u e 4 s K c E 6 6 z X K n D w o U e Q A A A A A C A A A A A A A Q Z g A A A A E A A C A A A A D m B 2 k i Z f 9 l N X o / 2 7 7 P q R W h b 0 v I 8 l x i j L h T 7 I 7 B c u p c 9 Q A A A A A O g A A A A A I A A C A A A A A x v e 7 D a L G I B N I q A F 9 5 w O x l X G 7 l i p k D g j C v 9 h 1 p t N q a z V A A A A C 0 F 0 V 0 y z z 2 g / 6 N 8 o g T T u r + f 8 E 7 H R p N 6 e U p Q f u n Y y g w W 4 M b c l z 9 H x V 1 E P f 8 U l Q 4 z M p l m H / s t 2 G I y B r Z s t 2 y 4 g A e 9 5 7 v f p 3 A J A z M w g k b L Q v A H 0 A A A A A I 7 q 9 h I a g T 1 Y 6 W k w G 7 J N a D T Q M Q t H b S a w J L g D b 8 G o G b O h S U 7 5 u 3 n b K H h E V / q n p y k p Q K u m H e V m k p 5 N w O O J 8 b 4 q O S < / D a t a M a s h u p > 
</file>

<file path=customXml/itemProps1.xml><?xml version="1.0" encoding="utf-8"?>
<ds:datastoreItem xmlns:ds="http://schemas.openxmlformats.org/officeDocument/2006/customXml" ds:itemID="{1D016DF6-0F39-4312-AF48-9E0BDD301AC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Notes</vt:lpstr>
      <vt:lpstr>BRL All Projects</vt:lpstr>
      <vt:lpstr>Lat Long Append</vt:lpstr>
      <vt:lpstr>Project Type Corrections 2019</vt:lpstr>
      <vt:lpstr>Load Reductions</vt:lpstr>
      <vt:lpstr>TN Progress Chart</vt:lpstr>
      <vt:lpstr>TP Progress Chart</vt:lpstr>
      <vt:lpstr>Summary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York</dc:creator>
  <cp:lastModifiedBy>Cecil, Stacy</cp:lastModifiedBy>
  <dcterms:created xsi:type="dcterms:W3CDTF">2015-11-17T19:38:25Z</dcterms:created>
  <dcterms:modified xsi:type="dcterms:W3CDTF">2020-10-07T14:13:43Z</dcterms:modified>
</cp:coreProperties>
</file>