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threadedComments/threadedComment1.xml" ContentType="application/vnd.ms-excel.threadedcomment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pivotTables/pivotTable6.xml" ContentType="application/vnd.openxmlformats-officedocument.spreadsheetml.pivotTab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3.xml" ContentType="application/vnd.openxmlformats-officedocument.themeOverrid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4.xml" ContentType="application/vnd.openxmlformats-officedocument.themeOverride+xml"/>
  <Override PartName="/xl/pivotTables/pivotTable7.xml" ContentType="application/vnd.openxmlformats-officedocument.spreadsheetml.pivotTable+xml"/>
  <Override PartName="/xl/pivotTables/pivotTable8.xml" ContentType="application/vnd.openxmlformats-officedocument.spreadsheetml.pivotTable+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showInkAnnotation="0"/>
  <mc:AlternateContent xmlns:mc="http://schemas.openxmlformats.org/markup-compatibility/2006">
    <mc:Choice Requires="x15">
      <x15ac:absPath xmlns:x15ac="http://schemas.microsoft.com/office/spreadsheetml/2010/11/ac" url="C:\Users\Cecil_S\Desktop\"/>
    </mc:Choice>
  </mc:AlternateContent>
  <xr:revisionPtr revIDLastSave="0" documentId="13_ncr:1_{9C1D9626-3332-458A-B191-B43787863378}" xr6:coauthVersionLast="45" xr6:coauthVersionMax="45" xr10:uidLastSave="{00000000-0000-0000-0000-000000000000}"/>
  <bookViews>
    <workbookView xWindow="28680" yWindow="-120" windowWidth="29040" windowHeight="15840" xr2:uid="{00000000-000D-0000-FFFF-FFFF00000000}"/>
  </bookViews>
  <sheets>
    <sheet name="Notes" sheetId="14" r:id="rId1"/>
    <sheet name="NIRL All Projects" sheetId="6" r:id="rId2"/>
    <sheet name="Append Lat Longs" sheetId="24" r:id="rId3"/>
    <sheet name="Load Reductions" sheetId="10" r:id="rId4"/>
    <sheet name="Support Info" sheetId="18" r:id="rId5"/>
    <sheet name="TN Progress Charts" sheetId="19" r:id="rId6"/>
    <sheet name="TP Progress Charts" sheetId="20" r:id="rId7"/>
    <sheet name="Project Type Check 022520" sheetId="23" r:id="rId8"/>
  </sheets>
  <externalReferences>
    <externalReference r:id="rId9"/>
    <externalReference r:id="rId10"/>
  </externalReferences>
  <definedNames>
    <definedName name="_xlnm._FilterDatabase" localSheetId="2" hidden="1">'Append Lat Longs'!#REF!</definedName>
    <definedName name="_xlnm._FilterDatabase" localSheetId="1" hidden="1">'NIRL All Projects'!$A$1:$AC$301</definedName>
    <definedName name="_xlnm.Print_Titles" localSheetId="1">'NIRL All Projects'!$1:$1</definedName>
    <definedName name="Project_Type">[1]Sheet4!$A$1:$A$15</definedName>
  </definedNames>
  <calcPr calcId="191029" calcOnSave="0"/>
  <pivotCaches>
    <pivotCache cacheId="5" r:id="rId11"/>
    <pivotCache cacheId="6" r:id="rId12"/>
    <pivotCache cacheId="7" r:id="rId13"/>
    <pivotCache cacheId="8" r:id="rId14"/>
  </pivotCaches>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5" i="10" l="1"/>
  <c r="F31" i="20"/>
  <c r="I15" i="10"/>
  <c r="F5" i="20"/>
  <c r="F4" i="19"/>
  <c r="F30" i="19"/>
  <c r="H3" i="23" l="1"/>
  <c r="H2" i="23"/>
  <c r="F31" i="19"/>
  <c r="F5" i="19"/>
  <c r="F6" i="20"/>
  <c r="F32" i="20"/>
  <c r="J21" i="10" l="1"/>
  <c r="D16" i="10"/>
  <c r="F33" i="20"/>
  <c r="N22" i="10"/>
  <c r="N17" i="10"/>
  <c r="H21" i="10"/>
  <c r="H17" i="10"/>
  <c r="N7" i="10"/>
  <c r="F32" i="19"/>
  <c r="H22" i="10"/>
  <c r="H18" i="10"/>
  <c r="F7" i="20"/>
  <c r="N20" i="10"/>
  <c r="N16" i="10"/>
  <c r="H20" i="10"/>
  <c r="H16" i="10"/>
  <c r="H24" i="10"/>
  <c r="N11" i="10"/>
  <c r="N24" i="10"/>
  <c r="F6" i="19"/>
  <c r="N19" i="10"/>
  <c r="H19" i="10"/>
  <c r="N18" i="10"/>
  <c r="N10" i="10"/>
  <c r="I21" i="10" l="1"/>
  <c r="F7" i="19"/>
  <c r="F8" i="20"/>
  <c r="F33" i="19"/>
  <c r="F34" i="20"/>
  <c r="F9" i="20" l="1"/>
  <c r="B2" i="23" a="1"/>
  <c r="B2" i="23" s="1"/>
  <c r="F35" i="20"/>
  <c r="F34" i="19"/>
  <c r="F10" i="20"/>
  <c r="D8" i="10" l="1"/>
  <c r="D21" i="10"/>
  <c r="G6" i="10"/>
  <c r="F11" i="20"/>
  <c r="H11" i="10"/>
  <c r="H9" i="10"/>
  <c r="F35" i="19"/>
  <c r="I6" i="10"/>
  <c r="H10" i="10"/>
  <c r="F36" i="20"/>
  <c r="H7" i="10"/>
  <c r="E21" i="10"/>
  <c r="E8" i="10"/>
  <c r="J17" i="10" l="1"/>
  <c r="J18" i="10"/>
  <c r="J19" i="10"/>
  <c r="J20" i="10"/>
  <c r="J22" i="10"/>
  <c r="J23" i="10"/>
  <c r="J24" i="10"/>
  <c r="J25" i="10"/>
  <c r="J16" i="10"/>
  <c r="J8" i="10"/>
  <c r="J9" i="10"/>
  <c r="J10" i="10"/>
  <c r="J11" i="10"/>
  <c r="J7" i="10"/>
  <c r="D17" i="10"/>
  <c r="D18" i="10"/>
  <c r="D19" i="10"/>
  <c r="D20" i="10"/>
  <c r="D22" i="10"/>
  <c r="D23" i="10"/>
  <c r="D24" i="10"/>
  <c r="F37" i="20"/>
  <c r="K20" i="10"/>
  <c r="K16" i="10"/>
  <c r="E19" i="10"/>
  <c r="E22" i="10"/>
  <c r="E18" i="10"/>
  <c r="K17" i="10"/>
  <c r="K22" i="10"/>
  <c r="F36" i="19"/>
  <c r="K11" i="10"/>
  <c r="K19" i="10"/>
  <c r="K24" i="10"/>
  <c r="K10" i="10"/>
  <c r="E16" i="10"/>
  <c r="K18" i="10"/>
  <c r="E17" i="10"/>
  <c r="E20" i="10"/>
  <c r="K7" i="10"/>
  <c r="K6" i="10" l="1"/>
  <c r="D15" i="10"/>
  <c r="J6" i="10"/>
  <c r="L7" i="10"/>
  <c r="L10" i="10"/>
  <c r="O7" i="10"/>
  <c r="O10" i="10"/>
  <c r="O11" i="10"/>
  <c r="F16" i="10"/>
  <c r="E15" i="10"/>
  <c r="F20" i="10"/>
  <c r="K15" i="10"/>
  <c r="L19" i="10"/>
  <c r="L17" i="10"/>
  <c r="F18" i="10"/>
  <c r="L24" i="10"/>
  <c r="L20" i="10"/>
  <c r="F21" i="10"/>
  <c r="F19" i="10"/>
  <c r="F22" i="10"/>
  <c r="L11" i="10"/>
  <c r="F17" i="10"/>
  <c r="L16" i="10"/>
  <c r="L22" i="10"/>
  <c r="L18" i="10"/>
  <c r="J15" i="10"/>
  <c r="O24" i="10"/>
  <c r="O18" i="10"/>
  <c r="O22" i="10"/>
  <c r="D9" i="10"/>
  <c r="D10" i="10"/>
  <c r="D11" i="10"/>
  <c r="D12" i="10"/>
  <c r="D13" i="10"/>
  <c r="D14" i="10"/>
  <c r="D7" i="10"/>
  <c r="E9" i="10"/>
  <c r="E10" i="10"/>
  <c r="F15" i="10"/>
  <c r="L6" i="10"/>
  <c r="E11" i="10"/>
  <c r="L15" i="10"/>
  <c r="E7" i="10"/>
  <c r="F8" i="19" l="1"/>
  <c r="K26" i="10"/>
  <c r="E6" i="10"/>
  <c r="E26" i="10" s="1"/>
  <c r="F9" i="10"/>
  <c r="D6" i="10"/>
  <c r="F7" i="10"/>
  <c r="F11" i="10"/>
  <c r="J26" i="10"/>
  <c r="F10" i="10"/>
  <c r="M6" i="10"/>
  <c r="M15" i="10"/>
  <c r="F9" i="19"/>
  <c r="O6" i="10"/>
  <c r="F6" i="10"/>
  <c r="L26" i="10"/>
  <c r="O15" i="10"/>
  <c r="I22" i="10" l="1"/>
  <c r="O16" i="10"/>
  <c r="O20" i="10"/>
  <c r="I17" i="10"/>
  <c r="I18" i="10"/>
  <c r="I16" i="10"/>
  <c r="I24" i="10"/>
  <c r="I19" i="10"/>
  <c r="O17" i="10"/>
  <c r="O19" i="10"/>
  <c r="I20" i="10"/>
  <c r="I7" i="10"/>
  <c r="D26" i="10"/>
  <c r="G26" i="10"/>
  <c r="H15" i="10"/>
  <c r="M26" i="10"/>
  <c r="F10" i="19"/>
  <c r="F26" i="10"/>
  <c r="I26" i="10"/>
  <c r="O26" i="10"/>
  <c r="I10" i="10" l="1"/>
  <c r="I9" i="10"/>
  <c r="I11" i="10"/>
  <c r="H6" i="10"/>
  <c r="H26" i="10" s="1"/>
  <c r="N15" i="10"/>
  <c r="N6" i="10"/>
  <c r="N26" i="1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tc={8AC6564E-1CFC-48E0-873D-D61C70BA5043}</author>
    <author>tc={6777378C-6EEB-470E-982A-9F26A65C4984}</author>
    <author>tc={FABD1071-F253-4B0F-B74F-9AFDC44D37B4}</author>
    <author>tc={7CE150E6-515D-4BDE-985F-57BDCC21BEA5}</author>
    <author>tc={D10CB942-1E56-4CE6-9B51-5E41EAD0155C}</author>
    <author>tc={978B2641-BC94-43B3-9501-A2DD633B3589}</author>
    <author>tc={BBF29827-5EE1-4EA0-AB96-10A4CC1D6B73}</author>
    <author>tc={24140A3E-E22D-4845-86FC-778393093FB7}</author>
    <author>tc={44452580-40B0-4CFB-8D51-48C1731CC7B2}</author>
    <author>tc={282B5EB8-CFC5-43FF-8BBF-C1F3049CB407}</author>
    <author>tc={EF3316D8-408E-44E3-B858-148F0D7B1CB3}</author>
    <author>tc={1BCCE13E-8EF6-4DEC-9106-17606E9E7A7A}</author>
    <author>tc={5BE62D99-DBF6-4E29-8AA2-E678A7FAFC02}</author>
    <author>tc={D5C80F4D-3F0A-46A3-B431-97777CA9CA0B}</author>
    <author>tc={B4923358-352B-4630-9A95-8915634B63C9}</author>
    <author>tc={DB079C7F-5FAB-47DB-88A3-95490F2269C0}</author>
    <author>tc={CE5444D2-634D-46D8-8B12-4746910ACD9D}</author>
    <author>tc={7C745365-0C46-4FC1-8D6C-8C750670AE52}</author>
    <author>tc={F6F05E47-4E4F-4110-BFBE-560963E0E60D}</author>
    <author>tc={490347A7-2EDB-4F9E-A63B-B85D1F1A07A5}</author>
    <author>tc={EB0E1BB2-E71C-4C0F-A67B-D94EF47D79AA}</author>
    <author>tc={507A9842-5905-41DB-B10B-D09BC9FE7FAF}</author>
    <author>tc={F60C819E-CF76-4E39-9A5A-0E3AAD7F0BB1}</author>
    <author>tc={3BC01BA9-F041-4721-8DD5-02DC65EB127F}</author>
    <author>tc={6C6080F8-9A7A-490E-8FF4-F63E98EEC9B3}</author>
    <author>tc={60A655E8-6AFE-45B4-9A88-469EB4284252}</author>
    <author>tc={99874FB9-56B7-4B8E-B444-A516ABE28127}</author>
    <author>tc={429B8244-12AF-409C-BD7C-4FDB569B31F9}</author>
    <author>tc={0A0FF19A-0691-417A-8F4E-56886D82376A}</author>
    <author>tc={97D8BA7A-9539-4C64-92B4-5FA8B9E92816}</author>
    <author>tc={0626D6DF-593F-45E2-B0F5-A352EA70E0F9}</author>
    <author>tc={11EC7D65-A3B2-44A1-8FDC-D4179752CE46}</author>
    <author>tc={678056BD-2CEA-4531-B0A7-1675F05C3DE0}</author>
    <author>tc={F8C44B91-C501-4821-99DC-21992F050FDA}</author>
    <author>tc={CAE28E73-07F2-44C4-8068-0C38A849E420}</author>
    <author>tc={9C20629A-D4A0-4158-8090-1CB822DB40D8}</author>
    <author>tc={2DFBF1E6-CD6E-42D5-8EAC-85DE59770A95}</author>
    <author>tc={520110BE-9F86-4CC1-B4DF-EE0D6E825975}</author>
    <author>tc={240A2BBA-69A9-42A3-92EB-9664722650E8}</author>
    <author>tc={62004A67-161D-446D-BEB0-29E3C3FCC3C7}</author>
  </authors>
  <commentList>
    <comment ref="F4" authorId="0" shapeId="0" xr:uid="{8AC6564E-1CFC-48E0-873D-D61C70BA5043}">
      <text>
        <t>[Threaded comment]
Your version of Excel allows you to read this threaded comment; however, any edits to it will get removed if the file is opened in a newer version of Excel. Learn more: https://go.microsoft.com/fwlink/?linkid=870924
Comment:
    a new standardized project description which was agreed to by DEP management and FDACS</t>
      </text>
    </comment>
    <comment ref="J4" authorId="1" shapeId="0" xr:uid="{6777378C-6EEB-470E-982A-9F26A65C4984}">
      <text>
        <t>[Threaded comment]
Your version of Excel allows you to read this threaded comment; however, any edits to it will get removed if the file is opened in a newer version of Excel. Learn more: https://go.microsoft.com/fwlink/?linkid=870924
Comment:
    Kept N/A</t>
      </text>
    </comment>
    <comment ref="K4" authorId="2" shapeId="0" xr:uid="{FABD1071-F253-4B0F-B74F-9AFDC44D37B4}">
      <text>
        <t>[Threaded comment]
Your version of Excel allows you to read this threaded comment; however, any edits to it will get removed if the file is opened in a newer version of Excel. Learn more: https://go.microsoft.com/fwlink/?linkid=870924
Comment:
    Kept N/A</t>
      </text>
    </comment>
    <comment ref="F5" authorId="3" shapeId="0" xr:uid="{7CE150E6-515D-4BDE-985F-57BDCC21BEA5}">
      <text>
        <t>[Threaded comment]
Your version of Excel allows you to read this threaded comment; however, any edits to it will get removed if the file is opened in a newer version of Excel. Learn more: https://go.microsoft.com/fwlink/?linkid=870924
Comment:
    a new standardized project description which was agreed to by DEP management and FDACS</t>
      </text>
    </comment>
    <comment ref="J5" authorId="4" shapeId="0" xr:uid="{D10CB942-1E56-4CE6-9B51-5E41EAD0155C}">
      <text>
        <t>[Threaded comment]
Your version of Excel allows you to read this threaded comment; however, any edits to it will get removed if the file is opened in a newer version of Excel. Learn more: https://go.microsoft.com/fwlink/?linkid=870924
Comment:
    Kept N/A</t>
      </text>
    </comment>
    <comment ref="K5" authorId="5" shapeId="0" xr:uid="{978B2641-BC94-43B3-9501-A2DD633B3589}">
      <text>
        <t>[Threaded comment]
Your version of Excel allows you to read this threaded comment; however, any edits to it will get removed if the file is opened in a newer version of Excel. Learn more: https://go.microsoft.com/fwlink/?linkid=870924
Comment:
    Kept N/A</t>
      </text>
    </comment>
    <comment ref="F53" authorId="6" shapeId="0" xr:uid="{BBF29827-5EE1-4EA0-AB96-10A4CC1D6B73}">
      <text>
        <t>[Threaded comment]
Your version of Excel allows you to read this threaded comment; however, any edits to it will get removed if the file is opened in a newer version of Excel. Learn more: https://go.microsoft.com/fwlink/?linkid=870924
Comment:
    Review project description with project type BC-48 to BC-51.</t>
      </text>
    </comment>
    <comment ref="G85" authorId="7" shapeId="0" xr:uid="{24140A3E-E22D-4845-86FC-778393093FB7}">
      <text>
        <t xml:space="preserve">[Threaded comment]
Your version of Excel allows you to read this threaded comment; however, any edits to it will get removed if the file is opened in a newer version of Excel. Learn more: https://go.microsoft.com/fwlink/?linkid=870924
Comment:
    Should this be Enhanced Public Education since it is outside the scope of the standard FYN, pamphlets, IDP? </t>
      </text>
    </comment>
    <comment ref="B108" authorId="8" shapeId="0" xr:uid="{44452580-40B0-4CFB-8D51-48C1731CC7B2}">
      <text>
        <t>[Threaded comment]
Your version of Excel allows you to read this threaded comment; however, any edits to it will get removed if the file is opened in a newer version of Excel. Learn more: https://go.microsoft.com/fwlink/?linkid=870924
Comment:
    Revised from Brevard County</t>
      </text>
    </comment>
    <comment ref="J108" authorId="9" shapeId="0" xr:uid="{282B5EB8-CFC5-43FF-8BBF-C1F3049CB407}">
      <text>
        <t>[Threaded comment]
Your version of Excel allows you to read this threaded comment; however, any edits to it will get removed if the file is opened in a newer version of Excel. Learn more: https://go.microsoft.com/fwlink/?linkid=870924
Comment:
    Kept TBD</t>
      </text>
    </comment>
    <comment ref="B109" authorId="10" shapeId="0" xr:uid="{EF3316D8-408E-44E3-B858-148F0D7B1CB3}">
      <text>
        <t>[Threaded comment]
Your version of Excel allows you to read this threaded comment; however, any edits to it will get removed if the file is opened in a newer version of Excel. Learn more: https://go.microsoft.com/fwlink/?linkid=870924
Comment:
    Revised from Brevard County</t>
      </text>
    </comment>
    <comment ref="B110" authorId="11" shapeId="0" xr:uid="{1BCCE13E-8EF6-4DEC-9106-17606E9E7A7A}">
      <text>
        <t>[Threaded comment]
Your version of Excel allows you to read this threaded comment; however, any edits to it will get removed if the file is opened in a newer version of Excel. Learn more: https://go.microsoft.com/fwlink/?linkid=870924
Comment:
    Revised from Brevard County</t>
      </text>
    </comment>
    <comment ref="B111" authorId="12" shapeId="0" xr:uid="{5BE62D99-DBF6-4E29-8AA2-E678A7FAFC02}">
      <text>
        <t>[Threaded comment]
Your version of Excel allows you to read this threaded comment; however, any edits to it will get removed if the file is opened in a newer version of Excel. Learn more: https://go.microsoft.com/fwlink/?linkid=870924
Comment:
    Revised from Brevard County</t>
      </text>
    </comment>
    <comment ref="B112" authorId="13" shapeId="0" xr:uid="{D5C80F4D-3F0A-46A3-B431-97777CA9CA0B}">
      <text>
        <t>[Threaded comment]
Your version of Excel allows you to read this threaded comment; however, any edits to it will get removed if the file is opened in a newer version of Excel. Learn more: https://go.microsoft.com/fwlink/?linkid=870924
Comment:
    Revised from Brevard County</t>
      </text>
    </comment>
    <comment ref="B113" authorId="14" shapeId="0" xr:uid="{B4923358-352B-4630-9A95-8915634B63C9}">
      <text>
        <t>[Threaded comment]
Your version of Excel allows you to read this threaded comment; however, any edits to it will get removed if the file is opened in a newer version of Excel. Learn more: https://go.microsoft.com/fwlink/?linkid=870924
Comment:
    Revised from Brevard County</t>
      </text>
    </comment>
    <comment ref="B114" authorId="15" shapeId="0" xr:uid="{DB079C7F-5FAB-47DB-88A3-95490F2269C0}">
      <text>
        <t>[Threaded comment]
Your version of Excel allows you to read this threaded comment; however, any edits to it will get removed if the file is opened in a newer version of Excel. Learn more: https://go.microsoft.com/fwlink/?linkid=870924
Comment:
    Revised from Brevard County</t>
      </text>
    </comment>
    <comment ref="J125" authorId="16" shapeId="0" xr:uid="{CE5444D2-634D-46D8-8B12-4746910ACD9D}">
      <text>
        <t>[Threaded comment]
Your version of Excel allows you to read this threaded comment; however, any edits to it will get removed if the file is opened in a newer version of Excel. Learn more: https://go.microsoft.com/fwlink/?linkid=870924
Comment:
    Revised from 313</t>
      </text>
    </comment>
    <comment ref="K125" authorId="17" shapeId="0" xr:uid="{7C745365-0C46-4FC1-8D6C-8C750670AE52}">
      <text>
        <t>[Threaded comment]
Your version of Excel allows you to read this threaded comment; however, any edits to it will get removed if the file is opened in a newer version of Excel. Learn more: https://go.microsoft.com/fwlink/?linkid=870924
Comment:
    Revised from 215</t>
      </text>
    </comment>
    <comment ref="J133" authorId="18" shapeId="0" xr:uid="{F6F05E47-4E4F-4110-BFBE-560963E0E60D}">
      <text>
        <t>[Threaded comment]
Your version of Excel allows you to read this threaded comment; however, any edits to it will get removed if the file is opened in a newer version of Excel. Learn more: https://go.microsoft.com/fwlink/?linkid=870924
Comment:
    Kept TBD. Being verified by Wood</t>
      </text>
    </comment>
    <comment ref="K133" authorId="19" shapeId="0" xr:uid="{490347A7-2EDB-4F9E-A63B-B85D1F1A07A5}">
      <text>
        <t>[Threaded comment]
Your version of Excel allows you to read this threaded comment; however, any edits to it will get removed if the file is opened in a newer version of Excel. Learn more: https://go.microsoft.com/fwlink/?linkid=870924
Comment:
    Kept TBD. Being verified by Wood</t>
      </text>
    </comment>
    <comment ref="J134" authorId="20" shapeId="0" xr:uid="{EB0E1BB2-E71C-4C0F-A67B-D94EF47D79AA}">
      <text>
        <t>[Threaded comment]
Your version of Excel allows you to read this threaded comment; however, any edits to it will get removed if the file is opened in a newer version of Excel. Learn more: https://go.microsoft.com/fwlink/?linkid=870924
Comment:
    Kept TBD. Being verified by Wood</t>
      </text>
    </comment>
    <comment ref="K134" authorId="21" shapeId="0" xr:uid="{507A9842-5905-41DB-B10B-D09BC9FE7FAF}">
      <text>
        <t>[Threaded comment]
Your version of Excel allows you to read this threaded comment; however, any edits to it will get removed if the file is opened in a newer version of Excel. Learn more: https://go.microsoft.com/fwlink/?linkid=870924
Comment:
    Kept TBD. Being verified by Wood</t>
      </text>
    </comment>
    <comment ref="J137" authorId="22" shapeId="0" xr:uid="{F60C819E-CF76-4E39-9A5A-0E3AAD7F0BB1}">
      <text>
        <t>[Threaded comment]
Your version of Excel allows you to read this threaded comment; however, any edits to it will get removed if the file is opened in a newer version of Excel. Learn more: https://go.microsoft.com/fwlink/?linkid=870924
Comment:
    Kept TBD</t>
      </text>
    </comment>
    <comment ref="K137" authorId="23" shapeId="0" xr:uid="{3BC01BA9-F041-4721-8DD5-02DC65EB127F}">
      <text>
        <t>[Threaded comment]
Your version of Excel allows you to read this threaded comment; however, any edits to it will get removed if the file is opened in a newer version of Excel. Learn more: https://go.microsoft.com/fwlink/?linkid=870924
Comment:
    Kept TBD</t>
      </text>
    </comment>
    <comment ref="R202" authorId="24" shapeId="0" xr:uid="{6C6080F8-9A7A-490E-8FF4-F63E98EEC9B3}">
      <text>
        <t>[Threaded comment]
Your version of Excel allows you to read this threaded comment; however, any edits to it will get removed if the file is opened in a newer version of Excel. Learn more: https://go.microsoft.com/fwlink/?linkid=870924
Comment:
    Agreement number provided was not alpha numeric.</t>
      </text>
    </comment>
    <comment ref="J226" authorId="25" shapeId="0" xr:uid="{60A655E8-6AFE-45B4-9A88-469EB4284252}">
      <text>
        <t>[Threaded comment]
Your version of Excel allows you to read this threaded comment; however, any edits to it will get removed if the file is opened in a newer version of Excel. Learn more: https://go.microsoft.com/fwlink/?linkid=870924
Comment:
    Revised from 9</t>
      </text>
    </comment>
    <comment ref="K226" authorId="26" shapeId="0" xr:uid="{99874FB9-56B7-4B8E-B444-A516ABE28127}">
      <text>
        <t>[Threaded comment]
Your version of Excel allows you to read this threaded comment; however, any edits to it will get removed if the file is opened in a newer version of Excel. Learn more: https://go.microsoft.com/fwlink/?linkid=870924
Comment:
    Revised from 1</t>
      </text>
    </comment>
    <comment ref="J232" authorId="27" shapeId="0" xr:uid="{429B8244-12AF-409C-BD7C-4FDB569B31F9}">
      <text>
        <t>[Threaded comment]
Your version of Excel allows you to read this threaded comment; however, any edits to it will get removed if the file is opened in a newer version of Excel. Learn more: https://go.microsoft.com/fwlink/?linkid=870924
Comment:
    Revised from 5</t>
      </text>
    </comment>
    <comment ref="K232" authorId="28" shapeId="0" xr:uid="{0A0FF19A-0691-417A-8F4E-56886D82376A}">
      <text>
        <t>[Threaded comment]
Your version of Excel allows you to read this threaded comment; however, any edits to it will get removed if the file is opened in a newer version of Excel. Learn more: https://go.microsoft.com/fwlink/?linkid=870924
Comment:
    Revised from 0</t>
      </text>
    </comment>
    <comment ref="J240" authorId="29" shapeId="0" xr:uid="{97D8BA7A-9539-4C64-92B4-5FA8B9E92816}">
      <text>
        <t>[Threaded comment]
Your version of Excel allows you to read this threaded comment; however, any edits to it will get removed if the file is opened in a newer version of Excel. Learn more: https://go.microsoft.com/fwlink/?linkid=870924
Comment:
    Revised from 1</t>
      </text>
    </comment>
    <comment ref="K240" authorId="30" shapeId="0" xr:uid="{0626D6DF-593F-45E2-B0F5-A352EA70E0F9}">
      <text>
        <t>[Threaded comment]
Your version of Excel allows you to read this threaded comment; however, any edits to it will get removed if the file is opened in a newer version of Excel. Learn more: https://go.microsoft.com/fwlink/?linkid=870924
Comment:
    Revised from 0</t>
      </text>
    </comment>
    <comment ref="J241" authorId="31" shapeId="0" xr:uid="{11EC7D65-A3B2-44A1-8FDC-D4179752CE46}">
      <text>
        <t>[Threaded comment]
Your version of Excel allows you to read this threaded comment; however, any edits to it will get removed if the file is opened in a newer version of Excel. Learn more: https://go.microsoft.com/fwlink/?linkid=870924
Comment:
    Revised from TBD</t>
      </text>
    </comment>
    <comment ref="K241" authorId="32" shapeId="0" xr:uid="{678056BD-2CEA-4531-B0A7-1675F05C3DE0}">
      <text>
        <t>[Threaded comment]
Your version of Excel allows you to read this threaded comment; however, any edits to it will get removed if the file is opened in a newer version of Excel. Learn more: https://go.microsoft.com/fwlink/?linkid=870924
Comment:
    Revised from TBD</t>
      </text>
    </comment>
    <comment ref="J245" authorId="33" shapeId="0" xr:uid="{F8C44B91-C501-4821-99DC-21992F050FDA}">
      <text>
        <t>[Threaded comment]
Your version of Excel allows you to read this threaded comment; however, any edits to it will get removed if the file is opened in a newer version of Excel. Learn more: https://go.microsoft.com/fwlink/?linkid=870924
Comment:
    Kept TBD</t>
      </text>
    </comment>
    <comment ref="J246" authorId="34" shapeId="0" xr:uid="{CAE28E73-07F2-44C4-8068-0C38A849E420}">
      <text>
        <t>[Threaded comment]
Your version of Excel allows you to read this threaded comment; however, any edits to it will get removed if the file is opened in a newer version of Excel. Learn more: https://go.microsoft.com/fwlink/?linkid=870924
Comment:
    Kept TBD</t>
      </text>
    </comment>
    <comment ref="J250" authorId="35" shapeId="0" xr:uid="{9C20629A-D4A0-4158-8090-1CB822DB40D8}">
      <text>
        <t>[Threaded comment]
Your version of Excel allows you to read this threaded comment; however, any edits to it will get removed if the file is opened in a newer version of Excel. Learn more: https://go.microsoft.com/fwlink/?linkid=870924
Comment:
    Revised from 4. Sent to Wood for Verification</t>
      </text>
    </comment>
    <comment ref="J252" authorId="36" shapeId="0" xr:uid="{2DFBF1E6-CD6E-42D5-8EAC-85DE59770A95}">
      <text>
        <t>[Threaded comment]
Your version of Excel allows you to read this threaded comment; however, any edits to it will get removed if the file is opened in a newer version of Excel. Learn more: https://go.microsoft.com/fwlink/?linkid=870924
Comment:
    Revised from 1.6. Sent to Wood for Verification</t>
      </text>
    </comment>
    <comment ref="K252" authorId="37" shapeId="0" xr:uid="{520110BE-9F86-4CC1-B4DF-EE0D6E825975}">
      <text>
        <t>[Threaded comment]
Your version of Excel allows you to read this threaded comment; however, any edits to it will get removed if the file is opened in a newer version of Excel. Learn more: https://go.microsoft.com/fwlink/?linkid=870924
Comment:
    Revised from 0.44. Sent to Wood for Verification</t>
      </text>
    </comment>
    <comment ref="J254" authorId="38" shapeId="0" xr:uid="{240A2BBA-69A9-42A3-92EB-9664722650E8}">
      <text>
        <t>[Threaded comment]
Your version of Excel allows you to read this threaded comment; however, any edits to it will get removed if the file is opened in a newer version of Excel. Learn more: https://go.microsoft.com/fwlink/?linkid=870924
Comment:
    Revised from 13. Sent to Wood for Verification</t>
      </text>
    </comment>
    <comment ref="J262" authorId="39" shapeId="0" xr:uid="{62004A67-161D-446D-BEB0-29E3C3FCC3C7}">
      <text>
        <t>[Threaded comment]
Your version of Excel allows you to read this threaded comment; however, any edits to it will get removed if the file is opened in a newer version of Excel. Learn more: https://go.microsoft.com/fwlink/?linkid=870924
Comment:
    Kept TBD</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tc={37EBE052-B834-4788-8A29-C4C4391E0830}</author>
  </authors>
  <commentList>
    <comment ref="A110" authorId="0" shapeId="0" xr:uid="{37EBE052-B834-4788-8A29-C4C4391E0830}">
      <text>
        <t xml:space="preserve">[Threaded comment]
Your version of Excel allows you to read this threaded comment; however, any edits to it will get removed if the file is opened in a newer version of Excel. Learn more: https://go.microsoft.com/fwlink/?linkid=870924
Comment:
    Should this be Enhanced Public Education since it is outside the scope of the standard FYN, pamphlets, IDP? </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<sst xmlns="http://schemas.openxmlformats.org/spreadsheetml/2006/main" count="7951" uniqueCount="1520">
  <si>
    <t>Brevard County</t>
  </si>
  <si>
    <t>Education Efforts</t>
  </si>
  <si>
    <t>Pine Island Phase I and II</t>
  </si>
  <si>
    <t>Completed</t>
  </si>
  <si>
    <t>Street Sweeping</t>
  </si>
  <si>
    <t>Fertilizer Cessation</t>
  </si>
  <si>
    <t>Kennedy Space Center</t>
  </si>
  <si>
    <t>KSC-10</t>
  </si>
  <si>
    <t>KSC-11</t>
  </si>
  <si>
    <t>KSC-12</t>
  </si>
  <si>
    <t>KSC-13</t>
  </si>
  <si>
    <t>KSC-14</t>
  </si>
  <si>
    <t>KSC-15</t>
  </si>
  <si>
    <t>KSC-16</t>
  </si>
  <si>
    <t>KSC-17</t>
  </si>
  <si>
    <t>KSC-18</t>
  </si>
  <si>
    <t>KSC-19</t>
  </si>
  <si>
    <t>Florida Boulevard</t>
  </si>
  <si>
    <t>CC-10</t>
  </si>
  <si>
    <t>CC-11</t>
  </si>
  <si>
    <t>TBD</t>
  </si>
  <si>
    <t>FDOT-10</t>
  </si>
  <si>
    <t>FDOT-11</t>
  </si>
  <si>
    <t>FDOT-12</t>
  </si>
  <si>
    <t>FDOT-13</t>
  </si>
  <si>
    <t>FDOT-14</t>
  </si>
  <si>
    <t>FDOT-15</t>
  </si>
  <si>
    <t>FDOT-16</t>
  </si>
  <si>
    <t>Underway</t>
  </si>
  <si>
    <t>B</t>
  </si>
  <si>
    <t>A</t>
  </si>
  <si>
    <t>Credit for Changes in Land Use</t>
  </si>
  <si>
    <t>Old Dixie Highway 601</t>
  </si>
  <si>
    <t>Chain of Lakes Pond</t>
  </si>
  <si>
    <t>Scottsmoor I</t>
  </si>
  <si>
    <t>Chain of Lakes Southern Expansion Phase 1</t>
  </si>
  <si>
    <t>Chain of Lakes Reuse</t>
  </si>
  <si>
    <t>Scottsmoor C</t>
  </si>
  <si>
    <t>City of Edgewater</t>
  </si>
  <si>
    <t>EW-1</t>
  </si>
  <si>
    <t>Landscape Fertilizer Reduction</t>
  </si>
  <si>
    <t>Warehouse/Processing Area - missing from model</t>
  </si>
  <si>
    <t>Demolition of Facility J6-2377</t>
  </si>
  <si>
    <t>Citrus Grove Termination Roberts Road</t>
  </si>
  <si>
    <t>Citrus Grove Termination Schwartz Road</t>
  </si>
  <si>
    <t>Storage Building L5-0734</t>
  </si>
  <si>
    <t>Support Building L5-0683</t>
  </si>
  <si>
    <t>Shuttle Landing Facility - missing from model</t>
  </si>
  <si>
    <t>Launch Pad 39A</t>
  </si>
  <si>
    <t>Launch Pad 39B</t>
  </si>
  <si>
    <t>Schwartz Road Drainage System - missing from model</t>
  </si>
  <si>
    <t>City of Titusville</t>
  </si>
  <si>
    <t>Area 1 Stormwater Improvements</t>
  </si>
  <si>
    <t>Chain of Lakes Regional Stormwater Pond</t>
  </si>
  <si>
    <t>Draa Field Stormwater Park</t>
  </si>
  <si>
    <t>St. Johns Basin Stormwater Improvements</t>
  </si>
  <si>
    <t>Spaceview Park</t>
  </si>
  <si>
    <t>Volusia County</t>
  </si>
  <si>
    <t>Lucas Place 640 Baffle Box</t>
  </si>
  <si>
    <t>Rockledge Drive 2055</t>
  </si>
  <si>
    <t>Rockledge and Riverwoods Baffle Box</t>
  </si>
  <si>
    <t>Anchor Lane</t>
  </si>
  <si>
    <t>Kelmore Baffle Box</t>
  </si>
  <si>
    <t>Puesta Del Sol 735 Baffle Box</t>
  </si>
  <si>
    <t>Tequesta Harbor Baffle Box</t>
  </si>
  <si>
    <t>Broadway Boulevard Pond</t>
  </si>
  <si>
    <t>Fairglen Elementary School Pond</t>
  </si>
  <si>
    <t>Lake George</t>
  </si>
  <si>
    <t>Merritt Island Courthouse Pond</t>
  </si>
  <si>
    <t>Pines Industrial</t>
  </si>
  <si>
    <t>Johnson Junior High</t>
  </si>
  <si>
    <t>Fairglen Elementary</t>
  </si>
  <si>
    <t>Port St. John B</t>
  </si>
  <si>
    <t>West Avenue 6600</t>
  </si>
  <si>
    <t>Lucas Place</t>
  </si>
  <si>
    <t>Indian River Isles</t>
  </si>
  <si>
    <t>Haverhill Avenue</t>
  </si>
  <si>
    <t>Manth Avenue</t>
  </si>
  <si>
    <t>Rockledge and Riverwoods Boulevard Rockledge</t>
  </si>
  <si>
    <t>Alamanda Indian Harbour Beach</t>
  </si>
  <si>
    <t>River Shore 1848 Indialantic</t>
  </si>
  <si>
    <t>River Shore 1925 Indialantic</t>
  </si>
  <si>
    <t>Cedar Lane Indialantic</t>
  </si>
  <si>
    <t>Riverview 9856 Indialantic</t>
  </si>
  <si>
    <t>Riverview 9864 Indialantic</t>
  </si>
  <si>
    <t>Oak Ridge Indialantic</t>
  </si>
  <si>
    <t>Kingsmill-Aurora Phase 2</t>
  </si>
  <si>
    <t>Sediment Trap, Grated Inlet Basket, Inlet Weir Cleaning</t>
  </si>
  <si>
    <t>Wickham Park</t>
  </si>
  <si>
    <t>Ellington Park</t>
  </si>
  <si>
    <t>Rockledge Barton Park Reuse</t>
  </si>
  <si>
    <t>Florida Boulevard Pond</t>
  </si>
  <si>
    <t>McGiver South</t>
  </si>
  <si>
    <t>651 Franklyn</t>
  </si>
  <si>
    <t>Fiske</t>
  </si>
  <si>
    <t>Twin Lakes North</t>
  </si>
  <si>
    <t>Twin Lakes South</t>
  </si>
  <si>
    <t>City of Cocoa</t>
  </si>
  <si>
    <t>Bracco Pond B</t>
  </si>
  <si>
    <t>Diamond Square Stormwater Improvements</t>
  </si>
  <si>
    <t>Bracco Expansion Area</t>
  </si>
  <si>
    <t>Cocoa Village Park</t>
  </si>
  <si>
    <t>Morris Pond</t>
  </si>
  <si>
    <t>North Brevard Avenue Stormwater Treatment Facility</t>
  </si>
  <si>
    <t>North Fiske Stormwater Retention Facility</t>
  </si>
  <si>
    <t>Bracco Supplemental Water Supply</t>
  </si>
  <si>
    <t>FDOT-17</t>
  </si>
  <si>
    <t>FDOT-18</t>
  </si>
  <si>
    <t>FDOT-19</t>
  </si>
  <si>
    <t>FDOT-20</t>
  </si>
  <si>
    <t>FDOT-21</t>
  </si>
  <si>
    <t>FDOT-22</t>
  </si>
  <si>
    <t>Citrus Grove Termination Jerome Road West</t>
  </si>
  <si>
    <t>KARS II Racquetball Court M6-0328A</t>
  </si>
  <si>
    <t>Visitor Center Storage Building M6-0503</t>
  </si>
  <si>
    <t>Causeway Wetland Mitigation</t>
  </si>
  <si>
    <t>Visitors Complex/ NASA Badging Center</t>
  </si>
  <si>
    <t>NASA Parkway West</t>
  </si>
  <si>
    <t>Demolition of Facility M5-1546</t>
  </si>
  <si>
    <t>City of Melbourne</t>
  </si>
  <si>
    <t>MEL-10</t>
  </si>
  <si>
    <t>MEL-11</t>
  </si>
  <si>
    <t>Participation in FYN</t>
  </si>
  <si>
    <t>MEL-12</t>
  </si>
  <si>
    <t>South Croton Baffle Box</t>
  </si>
  <si>
    <t>MEL-13</t>
  </si>
  <si>
    <t>Bell Street Baffle Box</t>
  </si>
  <si>
    <t>MEL-14</t>
  </si>
  <si>
    <t>Paradise Baffle Box</t>
  </si>
  <si>
    <t>MEL-15</t>
  </si>
  <si>
    <t>Garfield North Baffle Box</t>
  </si>
  <si>
    <t>MEL-16</t>
  </si>
  <si>
    <t>Garfield South Baffle Box</t>
  </si>
  <si>
    <t>Dove Street Pond</t>
  </si>
  <si>
    <t>Charles Drive Pipe Replacement</t>
  </si>
  <si>
    <t>Wickham Park Pond</t>
  </si>
  <si>
    <t>Babcock Street Realignment</t>
  </si>
  <si>
    <t>Garfield Street Ponds - Lot 12 (North)</t>
  </si>
  <si>
    <t>Garfield Street Ponds - Lot 24 (South)</t>
  </si>
  <si>
    <t>Town of Palm Shores</t>
  </si>
  <si>
    <t>City of Rockledge</t>
  </si>
  <si>
    <t>Orange Avenue Baffle Box</t>
  </si>
  <si>
    <t>ROCK-10</t>
  </si>
  <si>
    <t>Knollwood Baffle Box</t>
  </si>
  <si>
    <t>ROCK-11</t>
  </si>
  <si>
    <t>Sutton Street Baffle Box</t>
  </si>
  <si>
    <t>ROCK-12</t>
  </si>
  <si>
    <t>River Groves Baffle Box</t>
  </si>
  <si>
    <t>ROCK-13</t>
  </si>
  <si>
    <t>Summer Place Baffle Box</t>
  </si>
  <si>
    <t>ROCK-14</t>
  </si>
  <si>
    <t>Sweet Street Swale</t>
  </si>
  <si>
    <t>ROCK-15</t>
  </si>
  <si>
    <t>ROCK-16</t>
  </si>
  <si>
    <t>Pineland Park Unit Three</t>
  </si>
  <si>
    <t>ROCK-17</t>
  </si>
  <si>
    <t>Barton Park Regional Detention System</t>
  </si>
  <si>
    <t>ROCK-18</t>
  </si>
  <si>
    <t>Florida Avenue Stormwater Facility</t>
  </si>
  <si>
    <t>ROCK-19</t>
  </si>
  <si>
    <t>Police Department Pond</t>
  </si>
  <si>
    <t>Barton Avenue Baffle Box</t>
  </si>
  <si>
    <t>ROCK-20</t>
  </si>
  <si>
    <t>Huntington Lakes I</t>
  </si>
  <si>
    <t>ROCK-21</t>
  </si>
  <si>
    <t>ROCK-22</t>
  </si>
  <si>
    <t>ROCK-23</t>
  </si>
  <si>
    <t>ROCK-24</t>
  </si>
  <si>
    <t>Huntington Lakes II</t>
  </si>
  <si>
    <t>Hardee Circle Baffle Box</t>
  </si>
  <si>
    <t>Rockledge Avenue Baffle Box</t>
  </si>
  <si>
    <t>Bougainvillea Drive Baffle Box</t>
  </si>
  <si>
    <t>Park Avenue Baffle Box</t>
  </si>
  <si>
    <t>Little John Lane Baffle Box</t>
  </si>
  <si>
    <t>Fernwood Drive Baffle Box</t>
  </si>
  <si>
    <t>Valencia Drive Baffle Box</t>
  </si>
  <si>
    <t>Town of Indialantic</t>
  </si>
  <si>
    <t>100% On-Site Retention</t>
  </si>
  <si>
    <t>TV-10</t>
  </si>
  <si>
    <t>Row Labels</t>
  </si>
  <si>
    <t>Grand Total</t>
  </si>
  <si>
    <t>Impoundment</t>
  </si>
  <si>
    <t>Year Project Added</t>
  </si>
  <si>
    <t>-</t>
  </si>
  <si>
    <t>Non-structural</t>
  </si>
  <si>
    <t>Structural</t>
  </si>
  <si>
    <t>Structural, Non-structural, or Trade</t>
  </si>
  <si>
    <t>G0416</t>
  </si>
  <si>
    <t>S0338</t>
  </si>
  <si>
    <t>G0053</t>
  </si>
  <si>
    <t>S0620</t>
  </si>
  <si>
    <t>S0648</t>
  </si>
  <si>
    <t>S0538</t>
  </si>
  <si>
    <t>BMAP</t>
  </si>
  <si>
    <t>Latitude</t>
  </si>
  <si>
    <t>Longitude</t>
  </si>
  <si>
    <t>Location</t>
  </si>
  <si>
    <t>Partners</t>
  </si>
  <si>
    <t>Start Date</t>
  </si>
  <si>
    <t>North Indian River Lagoon</t>
  </si>
  <si>
    <t>CC-12</t>
  </si>
  <si>
    <t>CC-13</t>
  </si>
  <si>
    <t>Cocoa Riverfront Park</t>
  </si>
  <si>
    <t>CC-14</t>
  </si>
  <si>
    <t>CC-15</t>
  </si>
  <si>
    <t>CC-16</t>
  </si>
  <si>
    <t>Control Gate</t>
  </si>
  <si>
    <t>70008-3505-01 Pond 1</t>
  </si>
  <si>
    <t>70120-3518-01 Pond 7</t>
  </si>
  <si>
    <t xml:space="preserve"> 70140-3514-02 Pond B</t>
  </si>
  <si>
    <t xml:space="preserve"> 70140-3514-01 Pond A</t>
  </si>
  <si>
    <t>70020-3549-05 Pond 5</t>
  </si>
  <si>
    <t>70020-3549-04 Pond 4</t>
  </si>
  <si>
    <t>70020-3549-03 Pond 3</t>
  </si>
  <si>
    <t>70020-3549-02 Pond 2</t>
  </si>
  <si>
    <t>70020-3549-01 Pond 1</t>
  </si>
  <si>
    <t>70020-3501-04 Pond 4</t>
  </si>
  <si>
    <t>70020-3501-03 Pond 3</t>
  </si>
  <si>
    <t>70020-3501-02B Pond 2B</t>
  </si>
  <si>
    <t>70020-3501-02A Pond 2A</t>
  </si>
  <si>
    <t>70020-3501-01 Pond 1</t>
  </si>
  <si>
    <t>70100-3544-01 French Drains</t>
  </si>
  <si>
    <t>BMP Cleanout</t>
  </si>
  <si>
    <t>Aquatic Vegetation Harvesting</t>
  </si>
  <si>
    <t>100% On-site Retention</t>
  </si>
  <si>
    <t>Dry Detention Pond</t>
  </si>
  <si>
    <t>Fertilizer Reduction</t>
  </si>
  <si>
    <t>Land Use Change</t>
  </si>
  <si>
    <t>Stormwater Reuse</t>
  </si>
  <si>
    <t>Wet Detention Pond</t>
  </si>
  <si>
    <t>MEL-17</t>
  </si>
  <si>
    <t>MEL-19</t>
  </si>
  <si>
    <t>Sherwood Stormwater Quality Project</t>
  </si>
  <si>
    <t>Young Street Existing Baffle Box Upgrade</t>
  </si>
  <si>
    <t>TV-11</t>
  </si>
  <si>
    <t>TV-12</t>
  </si>
  <si>
    <t>TV-13</t>
  </si>
  <si>
    <t>TV-14</t>
  </si>
  <si>
    <t>TV-15</t>
  </si>
  <si>
    <t>TV-16</t>
  </si>
  <si>
    <t>TV-17</t>
  </si>
  <si>
    <t>TV-18</t>
  </si>
  <si>
    <t>TV-19</t>
  </si>
  <si>
    <t>TV-20</t>
  </si>
  <si>
    <t>Senior Center Pond Floating Islands</t>
  </si>
  <si>
    <t>Senior Center Ponds Littoral Zone Plantings</t>
  </si>
  <si>
    <t>Royal Oak Littoral Zone Plantings</t>
  </si>
  <si>
    <t>Knox Mc Rae Baffle Box</t>
  </si>
  <si>
    <t>G0433</t>
  </si>
  <si>
    <t>G0442</t>
  </si>
  <si>
    <t>TV-21</t>
  </si>
  <si>
    <t>TV-22</t>
  </si>
  <si>
    <t>WM804</t>
  </si>
  <si>
    <t>LP8952</t>
  </si>
  <si>
    <t>G0430</t>
  </si>
  <si>
    <t>Huntington Road</t>
  </si>
  <si>
    <t>Port St. John C</t>
  </si>
  <si>
    <t>ROCK-25</t>
  </si>
  <si>
    <t>ROCK-26</t>
  </si>
  <si>
    <t>ROCK-27</t>
  </si>
  <si>
    <t>ROCK-28</t>
  </si>
  <si>
    <t>ROCK-29</t>
  </si>
  <si>
    <t>ROCK-30</t>
  </si>
  <si>
    <t>ROCK-31</t>
  </si>
  <si>
    <t>ROCK-32</t>
  </si>
  <si>
    <t>ROCK-33</t>
  </si>
  <si>
    <t>Breeze Swept Septic Phase-out</t>
  </si>
  <si>
    <t>Southwest Gus Hipp Conveyance</t>
  </si>
  <si>
    <t>Gus Hipp Pond</t>
  </si>
  <si>
    <t>Public Works Pond 1</t>
  </si>
  <si>
    <t>Public Works Pond 2</t>
  </si>
  <si>
    <t>School Triangle Pond</t>
  </si>
  <si>
    <t>Barton Park Irrigation</t>
  </si>
  <si>
    <t>Control Structure</t>
  </si>
  <si>
    <t>FDOT District 5</t>
  </si>
  <si>
    <t>Autumn Woods</t>
  </si>
  <si>
    <t>Merritt Ridge 3A</t>
  </si>
  <si>
    <t>TV-23</t>
  </si>
  <si>
    <t>TV-24</t>
  </si>
  <si>
    <t>TV-25</t>
  </si>
  <si>
    <t>TV-26</t>
  </si>
  <si>
    <t>TV-27</t>
  </si>
  <si>
    <t>TV-28</t>
  </si>
  <si>
    <t>TV-29</t>
  </si>
  <si>
    <t>TV-30</t>
  </si>
  <si>
    <t>TV-31</t>
  </si>
  <si>
    <t>TV-32</t>
  </si>
  <si>
    <t>Coleman Basin TMDL Improvements</t>
  </si>
  <si>
    <t>South Street Basin TMDL Improvements</t>
  </si>
  <si>
    <t>La Paloma Basin TMDL Improvements</t>
  </si>
  <si>
    <t>THS Basin TMDL Improvements</t>
  </si>
  <si>
    <t>Brevard Street Basin TMDL Improvements</t>
  </si>
  <si>
    <t>Grace Basin TMDL Improvements</t>
  </si>
  <si>
    <t>Miracle City Basin TMDL Improvements</t>
  </si>
  <si>
    <t>South Marina Basin TMDL Improvements</t>
  </si>
  <si>
    <t>S.R. 50 Basin TMDL Improvements</t>
  </si>
  <si>
    <t>Commons Basin TMDL Improvements</t>
  </si>
  <si>
    <t>Broad Street Basin TMDL Improvements</t>
  </si>
  <si>
    <t>Riverview Street Basin TMDL Improvements</t>
  </si>
  <si>
    <t>THS 2 Basin TMDL Improvements</t>
  </si>
  <si>
    <t>CC-17</t>
  </si>
  <si>
    <t>CC-18</t>
  </si>
  <si>
    <t>CC-19</t>
  </si>
  <si>
    <t>Church Street Baffle Box</t>
  </si>
  <si>
    <t>John Garren Street Realignment &amp; Parking</t>
  </si>
  <si>
    <t>WM736</t>
  </si>
  <si>
    <t>MEL-18</t>
  </si>
  <si>
    <t>ROCK-34</t>
  </si>
  <si>
    <t>Barton Park Pond was constructed by Rockledge. Brevard Parks withdraws water for irrigation for Rockledge Park.</t>
  </si>
  <si>
    <t>Shoreview Circle</t>
  </si>
  <si>
    <t>Shoreview Lane</t>
  </si>
  <si>
    <t>Sunset Park North</t>
  </si>
  <si>
    <t>Oak Street</t>
  </si>
  <si>
    <t>CC-01</t>
  </si>
  <si>
    <t>CC-02</t>
  </si>
  <si>
    <t>CC-03</t>
  </si>
  <si>
    <t>CC-04</t>
  </si>
  <si>
    <t>CC-05</t>
  </si>
  <si>
    <t>CC-06</t>
  </si>
  <si>
    <t>CC-07</t>
  </si>
  <si>
    <t>CC-08</t>
  </si>
  <si>
    <t>CC-09</t>
  </si>
  <si>
    <t>MEL-01</t>
  </si>
  <si>
    <t>MEL-02</t>
  </si>
  <si>
    <t>MEL-03</t>
  </si>
  <si>
    <t>MEL-04</t>
  </si>
  <si>
    <t>MEL-05</t>
  </si>
  <si>
    <t>MEL-06</t>
  </si>
  <si>
    <t>MEL-07</t>
  </si>
  <si>
    <t>MEL-08</t>
  </si>
  <si>
    <t>MEL-09</t>
  </si>
  <si>
    <t>ROCK-01</t>
  </si>
  <si>
    <t>ROCK-02</t>
  </si>
  <si>
    <t>ROCK-03</t>
  </si>
  <si>
    <t>ROCK-04</t>
  </si>
  <si>
    <t>ROCK-05</t>
  </si>
  <si>
    <t>ROCK-06</t>
  </si>
  <si>
    <t>ROCK-07</t>
  </si>
  <si>
    <t>ROCK-08</t>
  </si>
  <si>
    <t>ROCK-09</t>
  </si>
  <si>
    <t>TV-01</t>
  </si>
  <si>
    <t>TV-02</t>
  </si>
  <si>
    <t>TV-03</t>
  </si>
  <si>
    <t>TV-04</t>
  </si>
  <si>
    <t>TV-05</t>
  </si>
  <si>
    <t>TV-06</t>
  </si>
  <si>
    <t>TV-07</t>
  </si>
  <si>
    <t>TV-08</t>
  </si>
  <si>
    <t>TV-09</t>
  </si>
  <si>
    <t>FDOT-01</t>
  </si>
  <si>
    <t>FDOT-02</t>
  </si>
  <si>
    <t>FDOT-03</t>
  </si>
  <si>
    <t>FDOT-04</t>
  </si>
  <si>
    <t>FDOT-05</t>
  </si>
  <si>
    <t>FDOT-06</t>
  </si>
  <si>
    <t>FDOT-07</t>
  </si>
  <si>
    <t>FDOT-08</t>
  </si>
  <si>
    <t>FDOT-09</t>
  </si>
  <si>
    <t>KSC-01</t>
  </si>
  <si>
    <t>KSC-02</t>
  </si>
  <si>
    <t>KSC-03</t>
  </si>
  <si>
    <t>KSC-04</t>
  </si>
  <si>
    <t>KSC-05</t>
  </si>
  <si>
    <t>KSC-06</t>
  </si>
  <si>
    <t>KSC-07</t>
  </si>
  <si>
    <t>KSC-08</t>
  </si>
  <si>
    <t>KSC-09</t>
  </si>
  <si>
    <t>TI-01</t>
  </si>
  <si>
    <t>TI-02</t>
  </si>
  <si>
    <t>TI-03</t>
  </si>
  <si>
    <t>PS-01</t>
  </si>
  <si>
    <t>VC-01</t>
  </si>
  <si>
    <t>VC-02</t>
  </si>
  <si>
    <t>VC-03</t>
  </si>
  <si>
    <t>Roadside Ditch Cleaning</t>
  </si>
  <si>
    <t>Open Channel Cleaning</t>
  </si>
  <si>
    <t>CC-20</t>
  </si>
  <si>
    <t>LP05031</t>
  </si>
  <si>
    <t>Croton Road (Lime) Baffle Box</t>
  </si>
  <si>
    <t>DEP</t>
  </si>
  <si>
    <t>MEL-20</t>
  </si>
  <si>
    <t>MEL-22</t>
  </si>
  <si>
    <t>MEL-21</t>
  </si>
  <si>
    <t>MEL-23</t>
  </si>
  <si>
    <t>Thrush Drive Baffle Box</t>
  </si>
  <si>
    <t>Cliff Creek Baffle Box</t>
  </si>
  <si>
    <t>Riverside Drive Septic to Sewer Conversion</t>
  </si>
  <si>
    <t>Leewood Forest Wetland and Baffle Box</t>
  </si>
  <si>
    <t>Planned</t>
  </si>
  <si>
    <t>NF003</t>
  </si>
  <si>
    <t>LP05115</t>
  </si>
  <si>
    <t>Otter Creek Basin D4</t>
  </si>
  <si>
    <t>Suntree In-Channel Denitrification D4</t>
  </si>
  <si>
    <t>EauGallie Area Muck Dredging</t>
  </si>
  <si>
    <t>Flounder Creek Pond Denitrification Retrofit</t>
  </si>
  <si>
    <t>Huntington Creek Pond Denitrification Retrofit</t>
  </si>
  <si>
    <t>Kingsmill Aurora Phase II</t>
  </si>
  <si>
    <t>Merritt Ridge 2B D2</t>
  </si>
  <si>
    <t>Merritt Ridge 2E D2</t>
  </si>
  <si>
    <t>LP0511A</t>
  </si>
  <si>
    <t>SJRWMD</t>
  </si>
  <si>
    <t>Total TN Required Reduction (lbs/yr)</t>
  </si>
  <si>
    <t>A Total</t>
  </si>
  <si>
    <t>B Total</t>
  </si>
  <si>
    <t>Sum of TN Reduction (lbs/yr)</t>
  </si>
  <si>
    <t>Sum of TP Reduction (lbs/yr)</t>
  </si>
  <si>
    <t>Notes</t>
  </si>
  <si>
    <t>Multiple Ditch Outfall Denitrification D1</t>
  </si>
  <si>
    <t>Florida Avenue Improvements</t>
  </si>
  <si>
    <t>AT&amp;T Detention Pond Retrofit</t>
  </si>
  <si>
    <t>Brevard Ave. Bioretention and Tree Preservation</t>
  </si>
  <si>
    <t>U.S. 1 and Forrest Ave. Stormwater Treatment Facility</t>
  </si>
  <si>
    <t>Fee and Apollo Drainage Improvements</t>
  </si>
  <si>
    <t>Aquatic Harvesting</t>
  </si>
  <si>
    <t>River Ridge Non Discharge</t>
  </si>
  <si>
    <t>Winchester Cove Non Discharge</t>
  </si>
  <si>
    <t>Main Street Baffle Box with BAM</t>
  </si>
  <si>
    <t>Sycamore Street Baffle Box with BAM</t>
  </si>
  <si>
    <t>St. Theresa Basin TMDL Improvements</t>
  </si>
  <si>
    <t>St. Johns 2nd Baffle Box TMDL Improvements</t>
  </si>
  <si>
    <t>Swales North of U.S. 192 Causeway</t>
  </si>
  <si>
    <t>Sediment trap.</t>
  </si>
  <si>
    <t>FYN; landscape, irrigation, fertilizer, and pet waste ordinances; PSAs; pamphlets; website, Illicit Discharge Program.</t>
  </si>
  <si>
    <t>Advanced denitrification and baffle box treatment train.</t>
  </si>
  <si>
    <t>Monthly street sweeping.</t>
  </si>
  <si>
    <t>Quarterly baffle box/sediment trap cleaning.</t>
  </si>
  <si>
    <t>Baffle Box/Sediment Trap Cleaning</t>
  </si>
  <si>
    <t>Provide the community with a park along the ponds.</t>
  </si>
  <si>
    <t>Joint project with the City of Rockledge to accommodate previously untreated runoff.</t>
  </si>
  <si>
    <t>Capture previously untreated runoff.</t>
  </si>
  <si>
    <t>Joint project with the WWTP to provide reclaimed water.</t>
  </si>
  <si>
    <t>Reclaimed Water</t>
  </si>
  <si>
    <t>Fertilizer ordinance.</t>
  </si>
  <si>
    <t>Roadway and stormwater improvements.</t>
  </si>
  <si>
    <t>Flood control gate installed at Bracco pond outfall.</t>
  </si>
  <si>
    <t>Infiltration through pervious pavers and then ultimately to the AT&amp;T pond.</t>
  </si>
  <si>
    <t>Incoming inlets will have 2nd generation baffle boxes.</t>
  </si>
  <si>
    <t>Develop a dry detention stormwater facility adjacent to U.S. 1.</t>
  </si>
  <si>
    <t>No treatment is provided within the existing development; complete a water quality addition.</t>
  </si>
  <si>
    <t>Replaced failing stormwater pipe and created wet detention pond; little to no treatment is provided within existing developments.</t>
  </si>
  <si>
    <t>Ponds along with piping upgrades help eliminate flooding within the area along with treatment.</t>
  </si>
  <si>
    <t>Additional treatment was provided for the adjacent drainage basins.</t>
  </si>
  <si>
    <t>Two small dry detention ponds within an existing subdivision (with MEL-7).</t>
  </si>
  <si>
    <t>Two small dry detention ponds within an existing subdivision (with MEL-6).</t>
  </si>
  <si>
    <t>Irrigation, fertilizer, pet waste management, and landscaping ordinances; pamphlets, presentations, website, illicit discharge program.</t>
  </si>
  <si>
    <t>Street sweeping in the basin and debris removal.</t>
  </si>
  <si>
    <t>Construction of a wet detention pond for water quality treatment.</t>
  </si>
  <si>
    <t>Future participation in FYN Program.</t>
  </si>
  <si>
    <t>Dry retention and baffle box.</t>
  </si>
  <si>
    <t>Construction of a new baffle box.</t>
  </si>
  <si>
    <t>Retrofit existing baffle box to upgrade to second generation.</t>
  </si>
  <si>
    <t>Construction of a new wet detention pond for a subdivision without any treatment.</t>
  </si>
  <si>
    <t>Installation of baffle box.</t>
  </si>
  <si>
    <t>Baffle Box - 2nd generation with media filter.</t>
  </si>
  <si>
    <t>Providing for 12 lots to be converted to municipal sewer.</t>
  </si>
  <si>
    <t>The proposed project consists of construction a wetland treatment area and baffle box to provide stormwater quality treatment.</t>
  </si>
  <si>
    <t>Wet detention ponds – missing from model.</t>
  </si>
  <si>
    <t>Data is collected by location in yards; determining method to convert to dry weight.</t>
  </si>
  <si>
    <t>Nondisharge dry retention basin.</t>
  </si>
  <si>
    <t>Conversion of borrow pit to a wet detention pond.</t>
  </si>
  <si>
    <t>Enlarge current retention area.</t>
  </si>
  <si>
    <t>Create dry detention pond on city-owned land.</t>
  </si>
  <si>
    <t>Use wet pond (Barton Lake) for irrigation.</t>
  </si>
  <si>
    <t>Upsize existing storm pipes and enclose the Florida Ditch; water directed to TV-02.</t>
  </si>
  <si>
    <t>Construction of a regional park featuring wetlands, treatment ponds, and recreational features.</t>
  </si>
  <si>
    <t>Regional Stormwater Treatment</t>
  </si>
  <si>
    <t>Water quality treatment for Area 2 drainage basin.</t>
  </si>
  <si>
    <t>Construction of a 3. 5-acre wet detention pond to treat runoff from mixed use lands prior to discharge to the lagoon.</t>
  </si>
  <si>
    <t>Installation of a baffle box downstream of the pond to treat runoff from mixed use lands prior to discharge to the lagoon.</t>
  </si>
  <si>
    <t>Alum treatment.</t>
  </si>
  <si>
    <t>Floating islands within a wet detention pond.</t>
  </si>
  <si>
    <t>Littoral vegetation plantings around an already existing wet detention pond.</t>
  </si>
  <si>
    <t>Elimination of fertilizer use along the rights-of-way.</t>
  </si>
  <si>
    <t>Missing from Model. French Drain system along State Road 5 from University Boulevard to Aurora Road.</t>
  </si>
  <si>
    <t>Missing from Model. Add lanes East of H.  Humphrey Bridge to Sykes Creek Parkway.</t>
  </si>
  <si>
    <t>Missing from Model. State Road 5 -Add lanes and reconstruct from Aurora Road to Post Road.</t>
  </si>
  <si>
    <t>Missing from Model. State Road 5 - Add lanes and reconstruct from Post Road to State Road 404.</t>
  </si>
  <si>
    <t>Missing from Model. State Road 3 - Replace Christa McAuliffe Bridge.</t>
  </si>
  <si>
    <t>Missing from Model. State Road 518 at State Road 513.</t>
  </si>
  <si>
    <t>Missing from Model. From south of State Road 518 (Eau Gallie Causeway) to Banana River Drive.</t>
  </si>
  <si>
    <t>Grove lease termination resulted in abandonment of previously fertilized areas.</t>
  </si>
  <si>
    <t>Demolition of facility resulted in loss of impervious area and change of land use.</t>
  </si>
  <si>
    <t>Runoff is captured and treated before discharging to the lagoon.</t>
  </si>
  <si>
    <t>This area is a closed basin.</t>
  </si>
  <si>
    <t>Closed system that ultimately drains to the northwest before discharging to an impoundment area adjacent to the lagoon.</t>
  </si>
  <si>
    <t>Receives treatment from permitted stormwater treatment systems.</t>
  </si>
  <si>
    <t>Missing from Model. Existing permitted stormwater treatment pond.</t>
  </si>
  <si>
    <t>Missing from Model. Ditch along south side of NASA Parkway West, ends before the lagoon.</t>
  </si>
  <si>
    <t>Fertilizer and landscaping ordinances, pamphlets, and presentations.</t>
  </si>
  <si>
    <t>Roadside ditch cleaning.</t>
  </si>
  <si>
    <t>Open channel cleaning; digging sediment out of open channels.</t>
  </si>
  <si>
    <t>BMP Treatment Train</t>
  </si>
  <si>
    <t>Wastewater Service Area Expansion</t>
  </si>
  <si>
    <t>Wetland Treatment</t>
  </si>
  <si>
    <t>Monitoring/Data Collection</t>
  </si>
  <si>
    <t>Treatment Missing from Model</t>
  </si>
  <si>
    <t>Add BAM for denitrification to major canal in the city.</t>
  </si>
  <si>
    <t>N/A</t>
  </si>
  <si>
    <t>MEL-24</t>
  </si>
  <si>
    <t>MEL-25</t>
  </si>
  <si>
    <t>Sarno Road Turn Lane</t>
  </si>
  <si>
    <t>MEL-26</t>
  </si>
  <si>
    <t>Apollo/GA Baffle Box</t>
  </si>
  <si>
    <t>MEL-27</t>
  </si>
  <si>
    <t>Stewart Road WQ Project</t>
  </si>
  <si>
    <t>LP05094</t>
  </si>
  <si>
    <t>LP05092</t>
  </si>
  <si>
    <t>LP05093</t>
  </si>
  <si>
    <t>NS013</t>
  </si>
  <si>
    <t>Private Development</t>
  </si>
  <si>
    <t>TV-33</t>
  </si>
  <si>
    <t>Osprey Water Reclamation Nutrient Removal Upgrade</t>
  </si>
  <si>
    <t>WWTF Nutrient Reduction</t>
  </si>
  <si>
    <t>TI-04</t>
  </si>
  <si>
    <t>LP05120</t>
  </si>
  <si>
    <t>BC-79</t>
  </si>
  <si>
    <t>Increasing cleanout frequency to quarterly.</t>
  </si>
  <si>
    <t>Breeze Swept Septic to Sewer</t>
  </si>
  <si>
    <t>Wickham Park Solar Bee</t>
  </si>
  <si>
    <t>BC-82</t>
  </si>
  <si>
    <t>Stormwater Project - NIRL - Cocoa - Church St Type II Baffle Box</t>
  </si>
  <si>
    <t>NF025</t>
  </si>
  <si>
    <t>BC-83</t>
  </si>
  <si>
    <t>Stormwater Project - NIRL - Titusville - St. Teresa Basin</t>
  </si>
  <si>
    <t>BC-84</t>
  </si>
  <si>
    <t>Stormwater Project - NIRL - Titusville - South St Basin</t>
  </si>
  <si>
    <t>BC-85</t>
  </si>
  <si>
    <t>Stormwater Project - NIRL - Titusville - La Paloma Basin</t>
  </si>
  <si>
    <t>BC-86</t>
  </si>
  <si>
    <t>Stormwater Project - NIRL - Melbourne - Cliff Creek Baffle Box</t>
  </si>
  <si>
    <t>BC-87</t>
  </si>
  <si>
    <t>Stormwater Project - NIRL - Melbourne - Thrush Dr Baffle Box</t>
  </si>
  <si>
    <t>Septic Removal - NIRL -MIRA</t>
  </si>
  <si>
    <t>SOIRL</t>
  </si>
  <si>
    <t>BC-89</t>
  </si>
  <si>
    <t>Wastewater Treatment Facility Upgrade-NIRL-Titusville</t>
  </si>
  <si>
    <t>BC-90</t>
  </si>
  <si>
    <t>LP852</t>
  </si>
  <si>
    <t>S0649</t>
  </si>
  <si>
    <t>S0650</t>
  </si>
  <si>
    <t>S0651</t>
  </si>
  <si>
    <t>S0652</t>
  </si>
  <si>
    <t>NRCS</t>
  </si>
  <si>
    <t>This color shows boxes where the stakeholder asked for updated lbs but didn’t get the info in on time to confirm with AMEC… these are the old numbers not the new ones they requested</t>
  </si>
  <si>
    <t>This color shows the changes based on responses received from STAR info request (by Katie); deleted BC-76 since it is the same project as BC-46</t>
  </si>
  <si>
    <t>On 2/27/18, Cathy updated the All Projects Tab in accordance with the December 2017 SOP (organization, terminology, etc.)</t>
  </si>
  <si>
    <t>Project Status</t>
  </si>
  <si>
    <t>County</t>
  </si>
  <si>
    <t>DEP/County</t>
  </si>
  <si>
    <t>Canceled</t>
  </si>
  <si>
    <t>Construction of a wet detention pond.</t>
  </si>
  <si>
    <t>Removing vegetation from a wet detention pond.</t>
  </si>
  <si>
    <t>City</t>
  </si>
  <si>
    <t>Rockledge/ SOIRL</t>
  </si>
  <si>
    <t>SJRWMD/ Brevard County</t>
  </si>
  <si>
    <t>DEP/ SJRWMD</t>
  </si>
  <si>
    <t>City/ Brevard County</t>
  </si>
  <si>
    <t>DEP/ SJRWMD/ Florida Legislature/ City</t>
  </si>
  <si>
    <t>DEP/ Brevard County/ City</t>
  </si>
  <si>
    <t>Florida Legislature/ City</t>
  </si>
  <si>
    <t>2nd generation baffle box with BAM.</t>
  </si>
  <si>
    <t>Installation of BAM filter box on existing culvert.</t>
  </si>
  <si>
    <t>Dry detention above needs for turn lane construction.</t>
  </si>
  <si>
    <t>All Cities</t>
  </si>
  <si>
    <t>2017</t>
  </si>
  <si>
    <t>WWTF Upgrade</t>
  </si>
  <si>
    <t>2016</t>
  </si>
  <si>
    <t>DEP/ Titusville</t>
  </si>
  <si>
    <t>DEP/ City of Titusville</t>
  </si>
  <si>
    <t>Upgrading a 1st Generation to a 2nd generation baffle box by adding the nutrient separating screen.</t>
  </si>
  <si>
    <t>Granada Street 1030 East</t>
  </si>
  <si>
    <t>Granada West</t>
  </si>
  <si>
    <t>Upgrade existing 1st generation baffle boxes to 2nd generation baffle boxes with BAM.</t>
  </si>
  <si>
    <t>South Sarno Drainage Improvements</t>
  </si>
  <si>
    <t>Zone A</t>
  </si>
  <si>
    <t>Zone B</t>
  </si>
  <si>
    <t>Sum of Cost Estimate</t>
  </si>
  <si>
    <t>Sum of Cost Annual O&amp;M</t>
  </si>
  <si>
    <t>(Multiple Items)</t>
  </si>
  <si>
    <t>TN Reductions Still Needed</t>
  </si>
  <si>
    <t>Total TP Reduction Required</t>
  </si>
  <si>
    <t>TP Reductions Still Needed</t>
  </si>
  <si>
    <t>AG-01</t>
  </si>
  <si>
    <t>AG-02</t>
  </si>
  <si>
    <t>Credit for changes in land use.</t>
  </si>
  <si>
    <t>Not provided</t>
  </si>
  <si>
    <t>Not provided.</t>
  </si>
  <si>
    <t>The provided treatment volume is .17 ac-It.</t>
  </si>
  <si>
    <t>West Melbourne/ Grant-Valkaria/ Malabar/ Melbourne/ Cocoa/ Indian Harbour Beach (IHB)/ Satellite Beach/ Cocoa Beach/ Cape Canaveral</t>
  </si>
  <si>
    <t>DEP/ County</t>
  </si>
  <si>
    <t>Construction of a regional wet detention pond.</t>
  </si>
  <si>
    <t>City/ SOIRL</t>
  </si>
  <si>
    <t>SOIRL/ City</t>
  </si>
  <si>
    <t>Construction of 5 ac pond with weirs, drop structures, etc.</t>
  </si>
  <si>
    <t>City/ SJRWMD</t>
  </si>
  <si>
    <t>City/ FDOT</t>
  </si>
  <si>
    <t>Peachtree St. Reconstruction</t>
  </si>
  <si>
    <t>Irrigation, fertilizer, pet waste management, and landscaping ordinances; pamphlets, presentations, website, Illicit Discharge Program.</t>
  </si>
  <si>
    <t>City/ DEP</t>
  </si>
  <si>
    <t>Retrofit existing ditch system to include dry detention shelves.</t>
  </si>
  <si>
    <t>Irrigation, fertilizer, pet waste management, and landscaping ordinances; pamphlets, presentations, website, illicit discharge program. Video "Know Your Waterways".</t>
  </si>
  <si>
    <t>Estimates will be calculated using the latest version of ArcNLET for the septic tank phase out.</t>
  </si>
  <si>
    <t>Brevard County/ Parrish Medical Center (PMC)/ Brevard Community College (BCC)/ SJRWMD</t>
  </si>
  <si>
    <t>City/ Brevard County/ SJRWMD/ PMC/ BCC</t>
  </si>
  <si>
    <t>DEP/ City</t>
  </si>
  <si>
    <t>DEP/ SJRWMD/ FCT/ Florida Recreation Development Assistance Program (FRDAP)/ FDOT</t>
  </si>
  <si>
    <t>2nd generation baffle box with media.</t>
  </si>
  <si>
    <t>Future project.</t>
  </si>
  <si>
    <t>Three 2nd generation baffle boxes with media.</t>
  </si>
  <si>
    <t>2nd generation baffle box.</t>
  </si>
  <si>
    <t>Nitrogen effluent reduction of reclaimed water from 17.9 mg/l to 6 mg/l.</t>
  </si>
  <si>
    <t>City/ County</t>
  </si>
  <si>
    <t>IDDE training, brochures, and NDPES flyer.</t>
  </si>
  <si>
    <t>IDDE training, stormwater brochures, NDPES flyer.</t>
  </si>
  <si>
    <t>Street sweeping.</t>
  </si>
  <si>
    <t>Fertilizer use reduced from 60 tons/year in 2000 to 20 tons/year in 2010; formula changed from rapid nitrogen release 16-4-8 to slow nitrogen release, phosphate-free 15-0-15.</t>
  </si>
  <si>
    <t xml:space="preserve">Phase I TN Required Reduction (lbs/yr) </t>
  </si>
  <si>
    <t>Phase I TN Reductions Still Needed (lbs/yr)</t>
  </si>
  <si>
    <t>Phase I TN Required Reductions Achieved (%)</t>
  </si>
  <si>
    <t xml:space="preserve">Phase I TP Required Reduction (lbs/yr) </t>
  </si>
  <si>
    <t>Phase I TP Reductions Still Needed (lbs/yr)</t>
  </si>
  <si>
    <t>Phase I TP Required Reductions Achieved (%)</t>
  </si>
  <si>
    <t xml:space="preserve">Total TN Required Reductions Achieved (%) </t>
  </si>
  <si>
    <t>Total TP Required Reductions Achieved (%)</t>
  </si>
  <si>
    <t>100318: Added entity-specific load reductions to the load reduction tabs, removed the Access database tab, and changed the name of the STAR tables tab</t>
  </si>
  <si>
    <t>Entity-Specific Load Reductions</t>
  </si>
  <si>
    <t xml:space="preserve">030119: Tina added STAR 2019 updates. Changes logged in Green. </t>
  </si>
  <si>
    <t>ProjID</t>
  </si>
  <si>
    <t>Baffle Boxes- Second Generation</t>
  </si>
  <si>
    <t>Alum Injection Systems</t>
  </si>
  <si>
    <t>Floating Islands/ Managed Aquatic Plant Systems (MAPS)</t>
  </si>
  <si>
    <t>Managed aquatic plant system within a one acre pond.</t>
  </si>
  <si>
    <t>City - $1,410,072/ County - $470,000</t>
  </si>
  <si>
    <t>DEP - $388,825/ SJRWMD - $366,000/ Florida Legislature - $800,000/ City - $255,000</t>
  </si>
  <si>
    <t>DEP - $681,563/ County - $141,655/ City - $1,314,625</t>
  </si>
  <si>
    <t>DEP - $100,000/ City - $67,343</t>
  </si>
  <si>
    <t>DEP - $981,151/ SJRWMD - $83,600/ FCT - $228,375/ FRDAP - $103,956/ FDOT - $72,195/ City - $1,258,116</t>
  </si>
  <si>
    <t>DEP - $21,144/ City - $14,721</t>
  </si>
  <si>
    <t>DEP - $176,376/ City - $216,987</t>
  </si>
  <si>
    <t>DEP - $176,376/ City - $394,142</t>
  </si>
  <si>
    <t>Florida Legislature - $105,000/ City - $120,000</t>
  </si>
  <si>
    <t>City - $254,144/ SJRWMD - $110,000/ County - $86,856</t>
  </si>
  <si>
    <t>City - $102,200/ County - $272,800</t>
  </si>
  <si>
    <t>City - $166,704/ County - $208,296</t>
  </si>
  <si>
    <t>City - $250,000/ SJRWMD - $250,000</t>
  </si>
  <si>
    <t>City - $262,500/ SJRWMD - $262,500</t>
  </si>
  <si>
    <t>City - $1,250,000/ SJRWMD - $1,250,000</t>
  </si>
  <si>
    <t>Subsurface detention storage that is part of a redevelopment project of the Cocoa Village Park and Riverwalk Esplanade areas.</t>
  </si>
  <si>
    <t>EPA/ SJRWMD</t>
  </si>
  <si>
    <t>Community Development Block Grant (CDBG)</t>
  </si>
  <si>
    <t>SCTPO/ FDOT</t>
  </si>
  <si>
    <t>Space Coast Transportation Planning Organization (SCTPO)/ FDOT</t>
  </si>
  <si>
    <t>SJRWMD/ SOIRL</t>
  </si>
  <si>
    <t>CC-21</t>
  </si>
  <si>
    <t>CC-22</t>
  </si>
  <si>
    <t>Hydrodynamic separators that remove sediment, trap debris and separate floating oils from runoff.</t>
  </si>
  <si>
    <t>Wet detention pond to reduce the discharge of stormwater runoff into surface waters in the state by complete on-site storage.</t>
  </si>
  <si>
    <t>Suntree Baffle Box #1 on 2116 IRD</t>
  </si>
  <si>
    <t>Pavement cleaning by sweeping, vacuum, or cleaning.</t>
  </si>
  <si>
    <t>Retrofit existing storm sewer in Dimond Square, including the construction of a wet detention pond.</t>
  </si>
  <si>
    <t>Stormwater System Rehabilitation</t>
  </si>
  <si>
    <t>City - $161,250/ FDOT - $1,387,500</t>
  </si>
  <si>
    <t>Amphitheatre and stormwater improvements. Same as Project Number CC-03 where information is captured. Recommend removing from list.</t>
  </si>
  <si>
    <t>City - $2,587,000/ FDOT - $913,000</t>
  </si>
  <si>
    <t>City - $199,578/ SJRWMD - $98,299</t>
  </si>
  <si>
    <t>City/ SJRWMD/ SOIRL</t>
  </si>
  <si>
    <t>City - $116,326/ SJRWMD - $50,000/ SOIRL - $20,000</t>
  </si>
  <si>
    <t>Broadmoor Acres and Fiske Blvd. Drainage  Improvements</t>
  </si>
  <si>
    <t>Cocoa Waterfront Stormwater Study</t>
  </si>
  <si>
    <t>Stormwater Study for the Cocoa waterfront.</t>
  </si>
  <si>
    <t>Study</t>
  </si>
  <si>
    <t>On-line Retention BMPs</t>
  </si>
  <si>
    <t>MEL-28</t>
  </si>
  <si>
    <t>Cherry Street Baffle Box</t>
  </si>
  <si>
    <t>MEL-29</t>
  </si>
  <si>
    <t>Spring Creek Baffle Box</t>
  </si>
  <si>
    <t>MEL-30</t>
  </si>
  <si>
    <t>Brevard County Partnership Projects</t>
  </si>
  <si>
    <t>Project approved by the SOIRL Project Plan not built by the City of Melbourne.</t>
  </si>
  <si>
    <t>Biosorption Activated Media (BAM)</t>
  </si>
  <si>
    <t>030119: Tina updated project types to conform with SOP project types. Highlighted in Blue</t>
  </si>
  <si>
    <t>OSTDS Phase Out</t>
  </si>
  <si>
    <t>Closed Basin</t>
  </si>
  <si>
    <t>Grass Swales without Swale Blocks or Raised Culverts</t>
  </si>
  <si>
    <t>The second generation (nutrient separating) baffle box includes a wire mesh box that captures vegetative debris, litter, and other materials from settling in the water in the bottom of the box, thereby preventing leaching of the nutrients.</t>
  </si>
  <si>
    <t>"Wet detention" means the collection and temporary storage of stormwater in a permanently wet impoundment in such a manner as to provide for treatment through physical, chemical, and biological processes with subsequent gradual release of the stormwater.</t>
  </si>
  <si>
    <t>Pavement cleaning by sweeping, vacuum, or washing.</t>
  </si>
  <si>
    <t>Project provides treatment to some of the basin that leads into ROCK-17.</t>
  </si>
  <si>
    <t>ROCK-35</t>
  </si>
  <si>
    <t>Florida Ave and Dixie Lane Swale</t>
  </si>
  <si>
    <t>Grass swale with blocks or culverts.</t>
  </si>
  <si>
    <t>Grass swales with swale blocks or raised culverts</t>
  </si>
  <si>
    <t>Legislative Funds</t>
  </si>
  <si>
    <t>LP05118</t>
  </si>
  <si>
    <t>LP05114</t>
  </si>
  <si>
    <t>DEP TMDL/ EPA 319</t>
  </si>
  <si>
    <t>Installation of vegetative floating island into an exiting  detention pond.</t>
  </si>
  <si>
    <t>Phosphorus reduction &amp;  denitrification.</t>
  </si>
  <si>
    <t>Providing base flow/grondwater treatment in open drainage basins.</t>
  </si>
  <si>
    <t>Denitrification Walls</t>
  </si>
  <si>
    <t>Florida Legislature/ Brevard County</t>
  </si>
  <si>
    <t>Stormwater traditional BMP.</t>
  </si>
  <si>
    <t>Wet detention pond construction.</t>
  </si>
  <si>
    <t>Hood up to sewer - SOIRL-01.</t>
  </si>
  <si>
    <t>Installing a mixer to reduce the amount of algae and cyanobacteria on an existing pond.</t>
  </si>
  <si>
    <t>DEP TMDL</t>
  </si>
  <si>
    <t>N. Wickham Road Upflow Filter - BB#1298</t>
  </si>
  <si>
    <t>Upflow filter with Biosorption Activated Media installed within existing  detention pond  system to remove nitrogen from baseflow.</t>
  </si>
  <si>
    <t>Legislative Funding</t>
  </si>
  <si>
    <t>Year</t>
  </si>
  <si>
    <t>Cumulative TN Reductions (lbs/yr)</t>
  </si>
  <si>
    <t>5-Year Milestone</t>
  </si>
  <si>
    <t>Prior to 2013</t>
  </si>
  <si>
    <t>10-Year Milestone</t>
  </si>
  <si>
    <t>Cumulative TP Reductions (lbs/yr)</t>
  </si>
  <si>
    <t>LeadEntity</t>
  </si>
  <si>
    <t>ProjectNumber</t>
  </si>
  <si>
    <t>ProjectName</t>
  </si>
  <si>
    <t>ProjectDescription</t>
  </si>
  <si>
    <t>ProjectType</t>
  </si>
  <si>
    <t>ProjectStatus</t>
  </si>
  <si>
    <t>EstimatedCompletionDate</t>
  </si>
  <si>
    <t>TNReduction(lbs/yr)</t>
  </si>
  <si>
    <t>TPReduction(lbs/yr)</t>
  </si>
  <si>
    <t>AcresTreated</t>
  </si>
  <si>
    <t>CostEstimate</t>
  </si>
  <si>
    <t>CostAnnualO&amp;M</t>
  </si>
  <si>
    <t>FundingSource</t>
  </si>
  <si>
    <t>FundingAmount</t>
  </si>
  <si>
    <t>DEPContractAgreementNumber</t>
  </si>
  <si>
    <t>Agricultural BMPs</t>
  </si>
  <si>
    <t>Baffle Boxes- First Generation (hydrodynamic separator)</t>
  </si>
  <si>
    <t>Baffle Boxes- Second Generation with Media</t>
  </si>
  <si>
    <t>Creating/ Enhancing Oyster Reefs</t>
  </si>
  <si>
    <t>Hydrodynamic Separators</t>
  </si>
  <si>
    <t>Muck Removal/Restoration Dredging</t>
  </si>
  <si>
    <t>Regulations, Ordinances, and Guidelines</t>
  </si>
  <si>
    <t>Sanitary Sewer Inspections</t>
  </si>
  <si>
    <t>G0288/ G0344</t>
  </si>
  <si>
    <t>SOIRL-14.</t>
  </si>
  <si>
    <t>SOIRL-19.</t>
  </si>
  <si>
    <t>SOIRL-20.</t>
  </si>
  <si>
    <t>SOIRL-21.</t>
  </si>
  <si>
    <t>SOIRL-34.</t>
  </si>
  <si>
    <t>SOIRL-35.</t>
  </si>
  <si>
    <t>SOIRL-44.</t>
  </si>
  <si>
    <t>SOIRL-02.</t>
  </si>
  <si>
    <t>Stormwater Project - CIRL - Melbourne, SOIRL-39.</t>
  </si>
  <si>
    <t>SOIRL/ BC</t>
  </si>
  <si>
    <t>SOIRL-01.</t>
  </si>
  <si>
    <t>FDACS</t>
  </si>
  <si>
    <t>Agricultural Producers</t>
  </si>
  <si>
    <t>AG-03</t>
  </si>
  <si>
    <t>BMP Implementation and Verification</t>
  </si>
  <si>
    <t>AG-04</t>
  </si>
  <si>
    <t>Count of ProjectStatus</t>
  </si>
  <si>
    <t>Sum of TNReduction(lbs/yr)</t>
  </si>
  <si>
    <t>Sum of TPReduction(lbs/yr)</t>
  </si>
  <si>
    <t>Approximately 2,006,375 lbs. of debris were removed in North A during the reporting period.</t>
  </si>
  <si>
    <t>Approximately 205,725 lbs of debris removed from North B during the reporting period.</t>
  </si>
  <si>
    <t>County - $11,438</t>
  </si>
  <si>
    <t>Marina Basin TMDL Improvements - Osprey Pond MAPS</t>
  </si>
  <si>
    <t>County - $60,000</t>
  </si>
  <si>
    <t>Draa Field Pond MAPS</t>
  </si>
  <si>
    <t>Managed aquatic plant system within a 3 acre pond.</t>
  </si>
  <si>
    <t>City - $28,719 / County - $31,281</t>
  </si>
  <si>
    <t>Draa Field Vegetation Harvesting</t>
  </si>
  <si>
    <t>Aquatic vegetation harvesting of a 3 acre pond.</t>
  </si>
  <si>
    <t>TV-34</t>
  </si>
  <si>
    <t>TV-35</t>
  </si>
  <si>
    <t>70010-3517-01 French Drains</t>
  </si>
  <si>
    <t>MEL-31</t>
  </si>
  <si>
    <t>Grant Street Water Reclamation Facility Improvements</t>
  </si>
  <si>
    <t>Improvements include rehabilitation of major treatment elements and structures of facility.</t>
  </si>
  <si>
    <t>MEL-32</t>
  </si>
  <si>
    <t>Dove Street Pond Retrofit</t>
  </si>
  <si>
    <t>Retrofting of existing pond to enhance treatment potential.</t>
  </si>
  <si>
    <t>MEL-33</t>
  </si>
  <si>
    <t>Melbourne Cemetery Baffle Box</t>
  </si>
  <si>
    <t>MEL-34</t>
  </si>
  <si>
    <t>Funeral Home Baffle Box</t>
  </si>
  <si>
    <t>MEL-35</t>
  </si>
  <si>
    <t>Melbourne High Baffle Box</t>
  </si>
  <si>
    <t>Parkway Drive Phase 2 Pond</t>
  </si>
  <si>
    <t>Merritt Island Airport</t>
  </si>
  <si>
    <t>Wickham Park North</t>
  </si>
  <si>
    <t>Alum pond.</t>
  </si>
  <si>
    <t>Fountainhead</t>
  </si>
  <si>
    <t>Fountainhead Advanced Denitrification</t>
  </si>
  <si>
    <t>Fertilizer video, rain barrel workshops, Facebook page, bus wrap, and billboard.</t>
  </si>
  <si>
    <t>Stewart Rd Dry Retrofit</t>
  </si>
  <si>
    <t>The goal of this project is to capture and treat stormwater that flows untreated and directly into the Indian River Lagoon.</t>
  </si>
  <si>
    <t>Community Park of Rockledge Regional Facility Phase 1</t>
  </si>
  <si>
    <t>DEP/ SJRWMD/ FCT/ FRDAP/ FDOT/ City</t>
  </si>
  <si>
    <t>Florida Legislature</t>
  </si>
  <si>
    <t>Pamphlet, website, and fertilizer ordinance.</t>
  </si>
  <si>
    <t>Lily Park</t>
  </si>
  <si>
    <t>Stormwater treatment.</t>
  </si>
  <si>
    <t>SOIRL/ SRF Loan</t>
  </si>
  <si>
    <t>City/ SJRWMD/ County</t>
  </si>
  <si>
    <t>City/ SOIRL/ SRF</t>
  </si>
  <si>
    <t>County - $2,000</t>
  </si>
  <si>
    <t>Legislative Funds - $286,648</t>
  </si>
  <si>
    <t>DEP TDML/ EPA 319 - $1,677,079</t>
  </si>
  <si>
    <t>Legislative Funds - $33,7043</t>
  </si>
  <si>
    <t>DEP - $489,200</t>
  </si>
  <si>
    <t>County - $250,000</t>
  </si>
  <si>
    <t>DEP - $100,000</t>
  </si>
  <si>
    <t>SOIRL - $26,250,000</t>
  </si>
  <si>
    <t>SOIRL - $50,000</t>
  </si>
  <si>
    <t>DEP TMDL - $20,856</t>
  </si>
  <si>
    <t>DEP TMDL - $272,800</t>
  </si>
  <si>
    <t>DEP TMDL - $86,856</t>
  </si>
  <si>
    <t>DEP TMDL - $208,296</t>
  </si>
  <si>
    <t>SOIRL - $2,130,852</t>
  </si>
  <si>
    <t>Legislative Funding - $35,000</t>
  </si>
  <si>
    <t>City - $40,000</t>
  </si>
  <si>
    <t>City - $250,000</t>
  </si>
  <si>
    <t>City - $450,000</t>
  </si>
  <si>
    <t>City - $50,000</t>
  </si>
  <si>
    <t>City - $19,000</t>
  </si>
  <si>
    <t>City - $20,000</t>
  </si>
  <si>
    <t>City - $2,227,000</t>
  </si>
  <si>
    <t>City - $560,000</t>
  </si>
  <si>
    <t>City - $1,210,013/ County - $1,910,709/ SJRWMD - $577,145/ PMC - $350,000/ BCC - $217,500</t>
  </si>
  <si>
    <t>City - $52,536</t>
  </si>
  <si>
    <t>DEP - $65,000</t>
  </si>
  <si>
    <t>CC-23</t>
  </si>
  <si>
    <t>Septic to Sewer Indian River Drive</t>
  </si>
  <si>
    <t>City/SOIRL Tax</t>
  </si>
  <si>
    <t>CC-24</t>
  </si>
  <si>
    <t>Annual Sewer Inspection</t>
  </si>
  <si>
    <t>CC-25</t>
  </si>
  <si>
    <t>Diamond Square Stormwater PS Feasibility Study</t>
  </si>
  <si>
    <t>DEP, SJRWMD, 1/2 cent Lagoon Tax</t>
  </si>
  <si>
    <t>ROCK-36</t>
  </si>
  <si>
    <t>WWTP EQ Basin Nutrient Uptake</t>
  </si>
  <si>
    <t>ROCK-37</t>
  </si>
  <si>
    <t>WWTP Biosolids</t>
  </si>
  <si>
    <t>ROCK-38</t>
  </si>
  <si>
    <t>Rockled Indian River Dr</t>
  </si>
  <si>
    <t>VC-04</t>
  </si>
  <si>
    <t>Fertilizer Ordinance</t>
  </si>
  <si>
    <t>Fertilizer restrictions including summer ban on nitrogen and phosphorus.</t>
  </si>
  <si>
    <t>Enrollment and verification of BMPs by agricultural producers. Acres treated based on FDACS OAWP December 2019 Enrollment and FSAID VI.</t>
  </si>
  <si>
    <t>02182020: Added new projects From Stacy's submittal on Teamwork (already verified) Projects being verified by Wood: CC-16, CC-17, ROCK-24, ROCK-27, ROCK-30, ROCK-32, ROCK-34, ROCK-35. Added FDACS projects contain a new standardized project description which was agreed to by DEP management and FDACS</t>
  </si>
  <si>
    <t>0202020: Added remaining project updates for star (verified by Stacy), duplicate ID check</t>
  </si>
  <si>
    <t>Multiple Ditch Outfall Denitrification D4 (replace by individual Basin #s/names)</t>
  </si>
  <si>
    <t>Multiple Ditch Outfall Denitrification D5 (replace by individual Basin#s/names)</t>
  </si>
  <si>
    <t>Burkholm Rd BAM - BB#100</t>
  </si>
  <si>
    <t>Carter Rd BAM- BB#115</t>
  </si>
  <si>
    <t>Wiley Rd BAM - BB#193</t>
  </si>
  <si>
    <t>Broadway Pond BAM - BB#832</t>
  </si>
  <si>
    <t>LF/SOIRL</t>
  </si>
  <si>
    <t>BC-99</t>
  </si>
  <si>
    <t>Coleman Pond MAPS</t>
  </si>
  <si>
    <t>Installation of floating islands within a 1 acre City owned pond located within the Chain of Lakes basin.</t>
  </si>
  <si>
    <t>BC-100</t>
  </si>
  <si>
    <t>Bomalaski Oyster Bar</t>
  </si>
  <si>
    <t>BC-101</t>
  </si>
  <si>
    <t>Grass Clippings Campaign Phase 1</t>
  </si>
  <si>
    <t>BC-102</t>
  </si>
  <si>
    <t>BC-103</t>
  </si>
  <si>
    <t>Mims Muck Removal: Outflow Water Nutrient Removal</t>
  </si>
  <si>
    <t>BC-104</t>
  </si>
  <si>
    <t>Countyline Ditch Road - BB#10</t>
  </si>
  <si>
    <t>BC-105</t>
  </si>
  <si>
    <t>BB#141</t>
  </si>
  <si>
    <t>LF</t>
  </si>
  <si>
    <t>BC-106</t>
  </si>
  <si>
    <t>Huntington Road BAM - BB#22</t>
  </si>
  <si>
    <t>BC-107</t>
  </si>
  <si>
    <t>Sunste Ave BAM - BB#26</t>
  </si>
  <si>
    <t>BC-108</t>
  </si>
  <si>
    <t>MIRA Phase 1 Septic to Sewer</t>
  </si>
  <si>
    <t>BC-109</t>
  </si>
  <si>
    <t>Denitrifcation Basin - 1329</t>
  </si>
  <si>
    <t>LF/ SOIRL</t>
  </si>
  <si>
    <t>Johns Rd Pond BAM - BB#62 (Actually located in 51)</t>
  </si>
  <si>
    <t>SOIRL/ Brevard Zoo</t>
  </si>
  <si>
    <t>SOIRL/ MRC</t>
  </si>
  <si>
    <t>SOIRL/ SJRWMD</t>
  </si>
  <si>
    <t>Wet detention Regional Pond.</t>
  </si>
  <si>
    <t>Completion of additional detention.</t>
  </si>
  <si>
    <t>Installing reuse from the pond.</t>
  </si>
  <si>
    <t>Construction of a bafffle box.</t>
  </si>
  <si>
    <t>Constructon of a detention pond to treat runoff.</t>
  </si>
  <si>
    <t>Monthly Street Sweeping 786 curb lane miles.</t>
  </si>
  <si>
    <t>Two Wet Detention Ponds (80-acres &amp; 23 acres) with Gravity Flow and Pump Station.</t>
  </si>
  <si>
    <t>Construction of a pond to treat runoff where no treatment was provided.</t>
  </si>
  <si>
    <t>Installation of floating vegetative islands for Nutrient uptake.</t>
  </si>
  <si>
    <t>Expansion of a Wet Detention Pond and adding Denitrifcation to pond slope.</t>
  </si>
  <si>
    <t>Annual maintenance, removing captured debris from structures.</t>
  </si>
  <si>
    <t>Adding a media to remove nitrogen by denitrification.  The media will be added to the side slope of the pond or the bottom of the swale.</t>
  </si>
  <si>
    <t>Design and Install new sewer along Indian River to provide sewer service and remove septic tank use.</t>
  </si>
  <si>
    <t>Annual sewer inspection and maintenance.</t>
  </si>
  <si>
    <t>PS study for pumping stormwater across US 1 to Church Street baffle box.</t>
  </si>
  <si>
    <t>Modification of WWTP Process.</t>
  </si>
  <si>
    <t>Septic to Sewer.</t>
  </si>
  <si>
    <t>Construct 100 linear foot oyster reef.</t>
  </si>
  <si>
    <t>Fertilizer, grass clippings, and septic system maintenance.</t>
  </si>
  <si>
    <t>Adding a media to remove nitrogen by denitrification. The media will be added to the side slope of the pond or the bottom of the swale.</t>
  </si>
  <si>
    <t>Connect approximately 11 properties to a central sewer system.</t>
  </si>
  <si>
    <t>Upflow filter through a BAM media to treat baseflow.</t>
  </si>
  <si>
    <t>022520: SOP and duplicates check. Project descriptions over 255 characters were highlighted and need to be shortened (ROCK-14)</t>
  </si>
  <si>
    <t>Project Type</t>
  </si>
  <si>
    <t>Structural/Non Structural</t>
  </si>
  <si>
    <t>Use Past Designation</t>
  </si>
  <si>
    <t>Structural   </t>
  </si>
  <si>
    <t>Biological/ Bacteria Treatment</t>
  </si>
  <si>
    <t>Bioswales</t>
  </si>
  <si>
    <t>Catch Basin Inserts/Inlet Filter Cleanout</t>
  </si>
  <si>
    <t>Creating/ Enhancing Living Shoreline</t>
  </si>
  <si>
    <t>Credit Trade</t>
  </si>
  <si>
    <t>Trade</t>
  </si>
  <si>
    <t>Dairy Remediation</t>
  </si>
  <si>
    <t>Decommission/ Abandonment</t>
  </si>
  <si>
    <t>Deep Injection Well</t>
  </si>
  <si>
    <t>Dispersed Water Management (DWM)</t>
  </si>
  <si>
    <t>Enhanced Public Education</t>
  </si>
  <si>
    <t>Exfiltration Trench</t>
  </si>
  <si>
    <t>Exotic Vegetation Removal</t>
  </si>
  <si>
    <t>Filter Marsh</t>
  </si>
  <si>
    <t>Fish Harvesting</t>
  </si>
  <si>
    <t>Floodplain Restoration</t>
  </si>
  <si>
    <t>Golf Course or Sports Field BMPs</t>
  </si>
  <si>
    <t>Grass swales without swale blocks or raised culverts</t>
  </si>
  <si>
    <t>Hybrid wetland treatment technology (HWTT)</t>
  </si>
  <si>
    <t>Hydrologic Restoration</t>
  </si>
  <si>
    <t>Industrial Facility Upgrades</t>
  </si>
  <si>
    <t>Land Acquisition</t>
  </si>
  <si>
    <t>Land Preservation</t>
  </si>
  <si>
    <t>LID- Green Roofs</t>
  </si>
  <si>
    <t>LID- Other</t>
  </si>
  <si>
    <t>LID- Rain Gardens</t>
  </si>
  <si>
    <t>LID- Tree Boxes/Tree Wells</t>
  </si>
  <si>
    <t>Macroalgal Harvesting</t>
  </si>
  <si>
    <t>Natural Wetlands as Filters</t>
  </si>
  <si>
    <t>Non-contributing Basin</t>
  </si>
  <si>
    <t>Off-line Retention BMPs</t>
  </si>
  <si>
    <t>Onsite Sewage Treatment and Disposal System (OSTDS) Enhancement</t>
  </si>
  <si>
    <t>Pervious Pavement</t>
  </si>
  <si>
    <t>Pervious Pavers</t>
  </si>
  <si>
    <t>Plugging Artesian Wells</t>
  </si>
  <si>
    <t>Retention/Detention BMP Retrofit with Nutrient Reducing Media</t>
  </si>
  <si>
    <t>Retention/Detention BMP with Nutrient Reducing Media </t>
  </si>
  <si>
    <t>Sanitary Sewer and Wastewater Treatment Facility (WWTF) Maintenance</t>
  </si>
  <si>
    <t>SAV Planting</t>
  </si>
  <si>
    <t>Shoreline Stabilization</t>
  </si>
  <si>
    <t>Stormwater Aeration System</t>
  </si>
  <si>
    <t>Stormwater Treatment Areas (STAs)</t>
  </si>
  <si>
    <t>Turbidity Reducing Polymers (e.g., Floc logs ®)</t>
  </si>
  <si>
    <t>Vegetated Buffers</t>
  </si>
  <si>
    <t>Wetland Restoration</t>
  </si>
  <si>
    <t>WWTF Disposal Site</t>
  </si>
  <si>
    <t>WWTF Diversion to Reuse</t>
  </si>
  <si>
    <t>SOIRL/ SJWMD</t>
  </si>
  <si>
    <t>DEP - $275,000</t>
  </si>
  <si>
    <t>SOIRL - $11,437.5</t>
  </si>
  <si>
    <t>SOIRL - $8,900</t>
  </si>
  <si>
    <t>SOIRL - $20,000</t>
  </si>
  <si>
    <t>SOIRL - $375,000</t>
  </si>
  <si>
    <t>Swales are designed to infiltrate a defined quantity of runoff (the treatment volume) through the permeable soils of the swale floor and side slopes into the shallow ground water aquifer immediately following a storm event.</t>
  </si>
  <si>
    <t>031320: Tina added verified numbers that came from Wood in Gold</t>
  </si>
  <si>
    <t>Sum of CostEstimate</t>
  </si>
  <si>
    <t>Sum of CostAnnualO&amp;M</t>
  </si>
  <si>
    <t>Count of ProjectNumber</t>
  </si>
  <si>
    <t>BC-101a</t>
  </si>
  <si>
    <t>BC-102a</t>
  </si>
  <si>
    <t>BC-011</t>
  </si>
  <si>
    <t>BC-012</t>
  </si>
  <si>
    <t>BC-013</t>
  </si>
  <si>
    <t>BC-014</t>
  </si>
  <si>
    <t>BC-015</t>
  </si>
  <si>
    <t>BC-016</t>
  </si>
  <si>
    <t>BC-017</t>
  </si>
  <si>
    <t>BC-018</t>
  </si>
  <si>
    <t>BC-019</t>
  </si>
  <si>
    <t>BC-020</t>
  </si>
  <si>
    <t>BC-021</t>
  </si>
  <si>
    <t>BC-022</t>
  </si>
  <si>
    <t>BC-023</t>
  </si>
  <si>
    <t>BC-024</t>
  </si>
  <si>
    <t>BC-025</t>
  </si>
  <si>
    <t>BC-026</t>
  </si>
  <si>
    <t>BC-027</t>
  </si>
  <si>
    <t>BC-028</t>
  </si>
  <si>
    <t>BC-029</t>
  </si>
  <si>
    <t>BC-030</t>
  </si>
  <si>
    <t>BC-031</t>
  </si>
  <si>
    <t>BC-032</t>
  </si>
  <si>
    <t>BC-033</t>
  </si>
  <si>
    <t>BC-034</t>
  </si>
  <si>
    <t>BC-035</t>
  </si>
  <si>
    <t>BC-036</t>
  </si>
  <si>
    <t>BC-037</t>
  </si>
  <si>
    <t>BC-038</t>
  </si>
  <si>
    <t>BC-039</t>
  </si>
  <si>
    <t>BC-040</t>
  </si>
  <si>
    <t>BC-041</t>
  </si>
  <si>
    <t>BC-042</t>
  </si>
  <si>
    <t>BC-043</t>
  </si>
  <si>
    <t>BC-044</t>
  </si>
  <si>
    <t>BC-045</t>
  </si>
  <si>
    <t>BC-046</t>
  </si>
  <si>
    <t>BC-047</t>
  </si>
  <si>
    <t>BC-048</t>
  </si>
  <si>
    <t>BC-049</t>
  </si>
  <si>
    <t>BC-050</t>
  </si>
  <si>
    <t>BC-051</t>
  </si>
  <si>
    <t>BC-052</t>
  </si>
  <si>
    <t>BC-053</t>
  </si>
  <si>
    <t>BC-054</t>
  </si>
  <si>
    <t>BC-055</t>
  </si>
  <si>
    <t>BC-056</t>
  </si>
  <si>
    <t>BC-057</t>
  </si>
  <si>
    <t>BC-058</t>
  </si>
  <si>
    <t>BC-059</t>
  </si>
  <si>
    <t>BC-060</t>
  </si>
  <si>
    <t>BC-061</t>
  </si>
  <si>
    <t>BC-062</t>
  </si>
  <si>
    <t>BC-063</t>
  </si>
  <si>
    <t>BC-064</t>
  </si>
  <si>
    <t>BC-065</t>
  </si>
  <si>
    <t>BC-066</t>
  </si>
  <si>
    <t>BC-067</t>
  </si>
  <si>
    <t>BC-068</t>
  </si>
  <si>
    <t>BC-068a</t>
  </si>
  <si>
    <t>BC-069</t>
  </si>
  <si>
    <t>BC-070</t>
  </si>
  <si>
    <t>BC-071</t>
  </si>
  <si>
    <t>BC-072</t>
  </si>
  <si>
    <t>BC-073</t>
  </si>
  <si>
    <t>BC-074</t>
  </si>
  <si>
    <t>BC-075</t>
  </si>
  <si>
    <t>BC-077</t>
  </si>
  <si>
    <t>BC-078</t>
  </si>
  <si>
    <t>BC-080</t>
  </si>
  <si>
    <t>BC-081</t>
  </si>
  <si>
    <t>BC-081a</t>
  </si>
  <si>
    <t>BC-088</t>
  </si>
  <si>
    <t>BC-091</t>
  </si>
  <si>
    <t>BC-092</t>
  </si>
  <si>
    <t>BC-093</t>
  </si>
  <si>
    <t>BC-094</t>
  </si>
  <si>
    <t>BC-095</t>
  </si>
  <si>
    <t>BC-096</t>
  </si>
  <si>
    <t>BC-097</t>
  </si>
  <si>
    <t>BC-098</t>
  </si>
  <si>
    <t>BC-001</t>
  </si>
  <si>
    <t>BC-002</t>
  </si>
  <si>
    <t>BC-003</t>
  </si>
  <si>
    <t>BC-004</t>
  </si>
  <si>
    <t>BC-005</t>
  </si>
  <si>
    <t>BC-006</t>
  </si>
  <si>
    <t>BC-007</t>
  </si>
  <si>
    <t>BC-008</t>
  </si>
  <si>
    <t>BC-009</t>
  </si>
  <si>
    <t>BC-010</t>
  </si>
  <si>
    <t>032720: Chris added project IDs (highlighted in blue)for new projects (blanks) inserted in the STAR 2019 process from Access import. Saved a working copy to check and added a pivot table on projects type check tab to review for any errors/missing info.</t>
  </si>
  <si>
    <t>Min/Max of Project IDs</t>
  </si>
  <si>
    <t>Count of ProjID</t>
  </si>
  <si>
    <t>Sum of ProjID</t>
  </si>
  <si>
    <t>Column Labels</t>
  </si>
  <si>
    <t>Total Reductions Required</t>
  </si>
  <si>
    <t>2019 STAR Priority Projects (1-5)</t>
  </si>
  <si>
    <t>Discharge regulation, phosphorus reduction, and denitrification. Biosorption activated media added.</t>
  </si>
  <si>
    <t>28.6332408150473</t>
  </si>
  <si>
    <t>28.7327895474711</t>
  </si>
  <si>
    <t>-80.8310185764948</t>
  </si>
  <si>
    <t>-80.8640955551483</t>
  </si>
  <si>
    <t>28.6273789688255</t>
  </si>
  <si>
    <t>-80.8322909258089</t>
  </si>
  <si>
    <t>28.74381050624</t>
  </si>
  <si>
    <t>-80.8594264327632</t>
  </si>
  <si>
    <t>28.4128064458657</t>
  </si>
  <si>
    <t>-80.7520253074758</t>
  </si>
  <si>
    <t>28.4119087868403</t>
  </si>
  <si>
    <t>-80.7519535776597</t>
  </si>
  <si>
    <t>28.3759208043569</t>
  </si>
  <si>
    <t>-80.711887550185</t>
  </si>
  <si>
    <t>28.2906374761108</t>
  </si>
  <si>
    <t>-80.6960502627134</t>
  </si>
  <si>
    <t>28.2800750902802</t>
  </si>
  <si>
    <t>-80.690668715772</t>
  </si>
  <si>
    <t>28.2471398671558</t>
  </si>
  <si>
    <t>-80.6784491178469</t>
  </si>
  <si>
    <t>28.1212612559775</t>
  </si>
  <si>
    <t>-80.636711042106</t>
  </si>
  <si>
    <t>28.1219641693395</t>
  </si>
  <si>
    <t>-80.5901203630795</t>
  </si>
  <si>
    <t>28.2477356421776</t>
  </si>
  <si>
    <t>-80.6592294499719</t>
  </si>
  <si>
    <t>28.4600166770728</t>
  </si>
  <si>
    <t>-80.7684122511537</t>
  </si>
  <si>
    <t>28.4355622936804</t>
  </si>
  <si>
    <t>-80.7625301673938</t>
  </si>
  <si>
    <t>28.4553943410101</t>
  </si>
  <si>
    <t>-80.6868569308333</t>
  </si>
  <si>
    <t>28.4032557765221</t>
  </si>
  <si>
    <t>-80.7067833796016</t>
  </si>
  <si>
    <t>28.1658908107587</t>
  </si>
  <si>
    <t>-80.6716100956786</t>
  </si>
  <si>
    <t>28.4649053684489</t>
  </si>
  <si>
    <t>-80.699361745544</t>
  </si>
  <si>
    <t>28.3404799067651</t>
  </si>
  <si>
    <t>-80.6936499371813</t>
  </si>
  <si>
    <t>28.291550162039</t>
  </si>
  <si>
    <t>-80.7047917774634</t>
  </si>
  <si>
    <t>28.1436163757864</t>
  </si>
  <si>
    <t>-80.6514863823303</t>
  </si>
  <si>
    <t>28.3911795884785</t>
  </si>
  <si>
    <t>-80.7061173869847</t>
  </si>
  <si>
    <t>28.481042842166</t>
  </si>
  <si>
    <t>-80.7741216614766</t>
  </si>
  <si>
    <t>28.474674300938</t>
  </si>
  <si>
    <t>-80.7702500834108</t>
  </si>
  <si>
    <t>28.37576</t>
  </si>
  <si>
    <t>-80.71335</t>
  </si>
  <si>
    <t>28.2456066318426</t>
  </si>
  <si>
    <t>-80.6807931992876</t>
  </si>
  <si>
    <t>28.3403962500458</t>
  </si>
  <si>
    <t>-80.6977294924022</t>
  </si>
  <si>
    <t>28.4766812925972</t>
  </si>
  <si>
    <t>-80.7757188638679</t>
  </si>
  <si>
    <t>28.4858563892688</t>
  </si>
  <si>
    <t>-80.7780358987526</t>
  </si>
  <si>
    <t>28.1112527216627</t>
  </si>
  <si>
    <t>-80.5850920219407</t>
  </si>
  <si>
    <t>28.1087174777292</t>
  </si>
  <si>
    <t>-80.5857226938728</t>
  </si>
  <si>
    <t>28.1100983771568</t>
  </si>
  <si>
    <t>-80.5851276841474</t>
  </si>
  <si>
    <t>28.1028679100412</t>
  </si>
  <si>
    <t>-80.5827657581731</t>
  </si>
  <si>
    <t>28.1013652817158</t>
  </si>
  <si>
    <t>-80.5828682995247</t>
  </si>
  <si>
    <t>28.1012668999919</t>
  </si>
  <si>
    <t>-80.5772017990645</t>
  </si>
  <si>
    <t>28.1019106232559</t>
  </si>
  <si>
    <t>-80.5758663070259</t>
  </si>
  <si>
    <t>28.1427614962516</t>
  </si>
  <si>
    <t>-80.6778035873237</t>
  </si>
  <si>
    <t>28.3549515004408</t>
  </si>
  <si>
    <t>-80.6983512328677</t>
  </si>
  <si>
    <t>28.1619906106918</t>
  </si>
  <si>
    <t>-80.6679901540891</t>
  </si>
  <si>
    <t>28.4317554274821</t>
  </si>
  <si>
    <t>-80.7131145409253</t>
  </si>
  <si>
    <t>28.33243</t>
  </si>
  <si>
    <t>-80.73757</t>
  </si>
  <si>
    <t>28.3897981636262</t>
  </si>
  <si>
    <t>-80.7053651710951</t>
  </si>
  <si>
    <t>28.2879510396651</t>
  </si>
  <si>
    <t>-80.6958981800002</t>
  </si>
  <si>
    <t>28.0990862589316</t>
  </si>
  <si>
    <t>-80.5824334401226</t>
  </si>
  <si>
    <t>28.1237873544048</t>
  </si>
  <si>
    <t>-80.6702140646093</t>
  </si>
  <si>
    <t>28.3165803880435</t>
  </si>
  <si>
    <t>-80.7246078029694</t>
  </si>
  <si>
    <t>28.7667743725469</t>
  </si>
  <si>
    <t>-80.8638293742923</t>
  </si>
  <si>
    <t>28.4785448767231</t>
  </si>
  <si>
    <t>-80.7730351941441</t>
  </si>
  <si>
    <t>28.1075809774619</t>
  </si>
  <si>
    <t>-80.5845053688769</t>
  </si>
  <si>
    <t>28.3368291905656</t>
  </si>
  <si>
    <t>-80.6997091027625</t>
  </si>
  <si>
    <t>28.1088048130158</t>
  </si>
  <si>
    <t>-80.5841896061234</t>
  </si>
  <si>
    <t>28.0967269129133</t>
  </si>
  <si>
    <t>-80.5758464395432</t>
  </si>
  <si>
    <t>28.05792</t>
  </si>
  <si>
    <t>-80.55826</t>
  </si>
  <si>
    <t>28.4819040653135</t>
  </si>
  <si>
    <t>-80.7704608143167</t>
  </si>
  <si>
    <t>28.22371</t>
  </si>
  <si>
    <t>-80.67458</t>
  </si>
  <si>
    <t>28.75022</t>
  </si>
  <si>
    <t>-80.85404</t>
  </si>
  <si>
    <t>28.35449</t>
  </si>
  <si>
    <t>-80.70376</t>
  </si>
  <si>
    <t>28.35206</t>
  </si>
  <si>
    <t>-80.70145</t>
  </si>
  <si>
    <t>28.15881</t>
  </si>
  <si>
    <t>-80.65674</t>
  </si>
  <si>
    <t>28.72321</t>
  </si>
  <si>
    <t>-80.84407</t>
  </si>
  <si>
    <t>28.135</t>
  </si>
  <si>
    <t>-80.67001</t>
  </si>
  <si>
    <t>28.20805</t>
  </si>
  <si>
    <t>-80.67363</t>
  </si>
  <si>
    <t>28.75624</t>
  </si>
  <si>
    <t>-80.8612</t>
  </si>
  <si>
    <t>28.71043</t>
  </si>
  <si>
    <t>-80.84092</t>
  </si>
  <si>
    <t>28.67395</t>
  </si>
  <si>
    <t>-80.8519</t>
  </si>
  <si>
    <t>28.46001</t>
  </si>
  <si>
    <t>-80.76361</t>
  </si>
  <si>
    <t>28.146442</t>
  </si>
  <si>
    <t>-80.60597</t>
  </si>
  <si>
    <t>28.79108</t>
  </si>
  <si>
    <t>-80.88132</t>
  </si>
  <si>
    <t>28.69575</t>
  </si>
  <si>
    <t>-80.84406</t>
  </si>
  <si>
    <t>28.76936</t>
  </si>
  <si>
    <t>28.77429</t>
  </si>
  <si>
    <t>-80.85429</t>
  </si>
  <si>
    <t>28.18338</t>
  </si>
  <si>
    <t>-80.60114</t>
  </si>
  <si>
    <t>28.14488</t>
  </si>
  <si>
    <t>-80.63526</t>
  </si>
  <si>
    <t>28.3534</t>
  </si>
  <si>
    <t>-80.72379</t>
  </si>
  <si>
    <t>28.58108</t>
  </si>
  <si>
    <t>-80.80067</t>
  </si>
  <si>
    <t>28.60785</t>
  </si>
  <si>
    <t>-80.8118</t>
  </si>
  <si>
    <t>28.57099</t>
  </si>
  <si>
    <t>-80.80138</t>
  </si>
  <si>
    <t>28.15738</t>
  </si>
  <si>
    <t>-80.64935</t>
  </si>
  <si>
    <t>28.62382</t>
  </si>
  <si>
    <t>-80.81593</t>
  </si>
  <si>
    <t>28.15588</t>
  </si>
  <si>
    <t>28.63027</t>
  </si>
  <si>
    <t>-80.82611</t>
  </si>
  <si>
    <t>28.3611985497873</t>
  </si>
  <si>
    <t>-80.7322637125207</t>
  </si>
  <si>
    <t>28.3969147778384</t>
  </si>
  <si>
    <t>-80.7491260407421</t>
  </si>
  <si>
    <t>28.3542830404074</t>
  </si>
  <si>
    <t>-80.7249888675671</t>
  </si>
  <si>
    <t>28.3499519225776</t>
  </si>
  <si>
    <t>-80.727630279036</t>
  </si>
  <si>
    <t>28.3572166853689</t>
  </si>
  <si>
    <t>-80.7280586746575</t>
  </si>
  <si>
    <t>28.3830836678646</t>
  </si>
  <si>
    <t>-80.7426851825722</t>
  </si>
  <si>
    <t>28.3919676139863</t>
  </si>
  <si>
    <t>-80.7433458320404</t>
  </si>
  <si>
    <t>28.36361</t>
  </si>
  <si>
    <t>-80.73917</t>
  </si>
  <si>
    <t>28.3508076803161</t>
  </si>
  <si>
    <t>-80.7324508936752</t>
  </si>
  <si>
    <t>28.35778</t>
  </si>
  <si>
    <t>-80.73889</t>
  </si>
  <si>
    <t>28.35417</t>
  </si>
  <si>
    <t>-80.72417</t>
  </si>
  <si>
    <t>28.435</t>
  </si>
  <si>
    <t>-80.73806</t>
  </si>
  <si>
    <t>28.353298</t>
  </si>
  <si>
    <t>-80.727723</t>
  </si>
  <si>
    <t>28.351983</t>
  </si>
  <si>
    <t>-80.727381</t>
  </si>
  <si>
    <t>28.35333</t>
  </si>
  <si>
    <t>-80.72611</t>
  </si>
  <si>
    <t>28.36917</t>
  </si>
  <si>
    <t>-80.73444</t>
  </si>
  <si>
    <t>28.36222</t>
  </si>
  <si>
    <t>-80.74361</t>
  </si>
  <si>
    <t>28.1066198578649</t>
  </si>
  <si>
    <t>-80.6180792926607</t>
  </si>
  <si>
    <t>28.3568822810553</t>
  </si>
  <si>
    <t>-80.705190254752</t>
  </si>
  <si>
    <t>28.1426229919382</t>
  </si>
  <si>
    <t>-80.6339392065923</t>
  </si>
  <si>
    <t>28.1539462507924</t>
  </si>
  <si>
    <t>-80.6397185792245</t>
  </si>
  <si>
    <t>28.1584689329784</t>
  </si>
  <si>
    <t>-80.6411790064214</t>
  </si>
  <si>
    <t>28.1653155792473</t>
  </si>
  <si>
    <t>-80.6448225389302</t>
  </si>
  <si>
    <t>28.1687925389836</t>
  </si>
  <si>
    <t>-80.6449979288108</t>
  </si>
  <si>
    <t>28.1767833146301</t>
  </si>
  <si>
    <t>-80.6505729568227</t>
  </si>
  <si>
    <t>28.1867540200844</t>
  </si>
  <si>
    <t>-80.6552525869382</t>
  </si>
  <si>
    <t>28.1958538422824</t>
  </si>
  <si>
    <t>-80.6603323564346</t>
  </si>
  <si>
    <t>28.198556783052</t>
  </si>
  <si>
    <t>-80.6606587631607</t>
  </si>
  <si>
    <t>28.2004012082827</t>
  </si>
  <si>
    <t>-80.6610858608604</t>
  </si>
  <si>
    <t>28.4070393299963</t>
  </si>
  <si>
    <t>-80.7055630795451</t>
  </si>
  <si>
    <t>28.4097137135194</t>
  </si>
  <si>
    <t>-80.7043422797127</t>
  </si>
  <si>
    <t>28.1376108137017</t>
  </si>
  <si>
    <t>-80.6002547690412</t>
  </si>
  <si>
    <t>28.1369710896195</t>
  </si>
  <si>
    <t>-80.598260320064</t>
  </si>
  <si>
    <t>28.5362569219593</t>
  </si>
  <si>
    <t>-80.6768451379078</t>
  </si>
  <si>
    <t>28.5650001922308</t>
  </si>
  <si>
    <t>-80.6655673404107</t>
  </si>
  <si>
    <t>28.5533524815599</t>
  </si>
  <si>
    <t>-80.7014396928635</t>
  </si>
  <si>
    <t>28.5542928789255</t>
  </si>
  <si>
    <t>-80.7017036804716</t>
  </si>
  <si>
    <t>28.6142887297895</t>
  </si>
  <si>
    <t>-80.6941986817185</t>
  </si>
  <si>
    <t>28.6055000709555</t>
  </si>
  <si>
    <t>-80.6135285728067</t>
  </si>
  <si>
    <t>28.6155710729171</t>
  </si>
  <si>
    <t>-80.6235694336708</t>
  </si>
  <si>
    <t>28.5546187290683</t>
  </si>
  <si>
    <t>-80.6871308304508</t>
  </si>
  <si>
    <t>28.5906348629426</t>
  </si>
  <si>
    <t>-80.652747271308</t>
  </si>
  <si>
    <t>28.5026358058286</t>
  </si>
  <si>
    <t>-80.6798740217736</t>
  </si>
  <si>
    <t>28.5246841038073</t>
  </si>
  <si>
    <t>-80.6671086390109</t>
  </si>
  <si>
    <t>28.5217225779443</t>
  </si>
  <si>
    <t>-80.6852587973126</t>
  </si>
  <si>
    <t>28.526068613255</t>
  </si>
  <si>
    <t>-80.7324764667258</t>
  </si>
  <si>
    <t>28.5220979436119</t>
  </si>
  <si>
    <t>-80.6819476834702</t>
  </si>
  <si>
    <t>28.5258024054495</t>
  </si>
  <si>
    <t>-80.6987845082512</t>
  </si>
  <si>
    <t>28.0854935559057</t>
  </si>
  <si>
    <t>-80.6183468185909</t>
  </si>
  <si>
    <t>28.1407618937741</t>
  </si>
  <si>
    <t>-80.6372981165378</t>
  </si>
  <si>
    <t>28.1083863336182</t>
  </si>
  <si>
    <t>-80.6230686997807</t>
  </si>
  <si>
    <t>28.1137628090592</t>
  </si>
  <si>
    <t>-80.6228893621516</t>
  </si>
  <si>
    <t>28.1261076876716</t>
  </si>
  <si>
    <t>-80.6516039938162</t>
  </si>
  <si>
    <t>28.1227602608305</t>
  </si>
  <si>
    <t>-80.6514456577705</t>
  </si>
  <si>
    <t>28.1319192062629</t>
  </si>
  <si>
    <t>-80.6447698645152</t>
  </si>
  <si>
    <t>28.1197321226282</t>
  </si>
  <si>
    <t>-80.6550285635007</t>
  </si>
  <si>
    <t>28.1190836152988</t>
  </si>
  <si>
    <t>-80.6502721321051</t>
  </si>
  <si>
    <t>28.12111</t>
  </si>
  <si>
    <t>-80.5875</t>
  </si>
  <si>
    <t>28.1247575465803</t>
  </si>
  <si>
    <t>-80.6275</t>
  </si>
  <si>
    <t>28.1230907475358</t>
  </si>
  <si>
    <t>-80.6496455631695</t>
  </si>
  <si>
    <t>28.1755849842337</t>
  </si>
  <si>
    <t>-80.6627036800513</t>
  </si>
  <si>
    <t>28.1303537025119</t>
  </si>
  <si>
    <t>-80.6565617170867</t>
  </si>
  <si>
    <t>28.12639</t>
  </si>
  <si>
    <t>28.1561</t>
  </si>
  <si>
    <t>-80.6504</t>
  </si>
  <si>
    <t>28.1444</t>
  </si>
  <si>
    <t>-80.6349</t>
  </si>
  <si>
    <t>28.1691</t>
  </si>
  <si>
    <t>-80.6451</t>
  </si>
  <si>
    <t>28.1348</t>
  </si>
  <si>
    <t>-80.6649</t>
  </si>
  <si>
    <t>28.11389</t>
  </si>
  <si>
    <t>-80.63667</t>
  </si>
  <si>
    <t>28.12139</t>
  </si>
  <si>
    <t>-80.63139</t>
  </si>
  <si>
    <t>28.1125</t>
  </si>
  <si>
    <t>-80.63361</t>
  </si>
  <si>
    <t>28.14722</t>
  </si>
  <si>
    <t>-80.64694</t>
  </si>
  <si>
    <t>28.100253</t>
  </si>
  <si>
    <t>-80.617162</t>
  </si>
  <si>
    <t>28.133253</t>
  </si>
  <si>
    <t>-80.635986</t>
  </si>
  <si>
    <t>28.3358844529754</t>
  </si>
  <si>
    <t>-80.7191337236133</t>
  </si>
  <si>
    <t>28.3344067956925</t>
  </si>
  <si>
    <t>-80.7185547816069</t>
  </si>
  <si>
    <t>28.3450210169474</t>
  </si>
  <si>
    <t>-80.7233373119782</t>
  </si>
  <si>
    <t>28.3395133018598</t>
  </si>
  <si>
    <t>-80.7222970327956</t>
  </si>
  <si>
    <t>28.3428566283423</t>
  </si>
  <si>
    <t>-80.7236854677754</t>
  </si>
  <si>
    <t>28.3220234729787</t>
  </si>
  <si>
    <t>-80.7129191180079</t>
  </si>
  <si>
    <t>28.3470602607763</t>
  </si>
  <si>
    <t>-80.7239221412234</t>
  </si>
  <si>
    <t>28.3377094925977</t>
  </si>
  <si>
    <t>-80.7199146805068</t>
  </si>
  <si>
    <t>28.3364789605983</t>
  </si>
  <si>
    <t>-80.721467032622</t>
  </si>
  <si>
    <t>28.3248052088542</t>
  </si>
  <si>
    <t>-80.7147073069673</t>
  </si>
  <si>
    <t>28.3489002160579</t>
  </si>
  <si>
    <t>-80.7239852006912</t>
  </si>
  <si>
    <t>28.3157608983968</t>
  </si>
  <si>
    <t>-80.709712527472</t>
  </si>
  <si>
    <t>28.32066271625</t>
  </si>
  <si>
    <t>-80.7120550940693</t>
  </si>
  <si>
    <t>28.3479926808053</t>
  </si>
  <si>
    <t>-80.7239701099827</t>
  </si>
  <si>
    <t>28.3063587940788</t>
  </si>
  <si>
    <t>-80.7141055742677</t>
  </si>
  <si>
    <t>28.3197590816274</t>
  </si>
  <si>
    <t>-80.7240310122594</t>
  </si>
  <si>
    <t>28.3418660790948</t>
  </si>
  <si>
    <t>-80.7285111576339</t>
  </si>
  <si>
    <t>28.3475981329594</t>
  </si>
  <si>
    <t>-80.7270431448797</t>
  </si>
  <si>
    <t>28.3272497274533</t>
  </si>
  <si>
    <t>-80.7201771340042</t>
  </si>
  <si>
    <t>28.3385852833507</t>
  </si>
  <si>
    <t>-80.7349897622933</t>
  </si>
  <si>
    <t>28.3423799707035</t>
  </si>
  <si>
    <t>-80.7346392372396</t>
  </si>
  <si>
    <t>28.3317223956173</t>
  </si>
  <si>
    <t>-80.719322273585</t>
  </si>
  <si>
    <t>28.3340244752464</t>
  </si>
  <si>
    <t>-80.7258925736122</t>
  </si>
  <si>
    <t>28.3319102668024</t>
  </si>
  <si>
    <t>-80.7244180545605</t>
  </si>
  <si>
    <t>28.3388736540273</t>
  </si>
  <si>
    <t>-80.7230514871838</t>
  </si>
  <si>
    <t>28.3141006057383</t>
  </si>
  <si>
    <t>-80.7089130781029</t>
  </si>
  <si>
    <t>28.345568</t>
  </si>
  <si>
    <t>-80.726635</t>
  </si>
  <si>
    <t>28.0929613555149</t>
  </si>
  <si>
    <t>-80.5727343405277</t>
  </si>
  <si>
    <t>28.6278519884848</t>
  </si>
  <si>
    <t>-80.8334686442414</t>
  </si>
  <si>
    <t>28.6365248631318</t>
  </si>
  <si>
    <t>-80.823004092404</t>
  </si>
  <si>
    <t>28.6206722586299</t>
  </si>
  <si>
    <t>-80.8232932635543</t>
  </si>
  <si>
    <t>28.6063619346498</t>
  </si>
  <si>
    <t>-80.8229204773111</t>
  </si>
  <si>
    <t>28.615179584122</t>
  </si>
  <si>
    <t>-80.8125802475947</t>
  </si>
  <si>
    <t>28.603767</t>
  </si>
  <si>
    <t>-80.822008</t>
  </si>
  <si>
    <t>28.582839</t>
  </si>
  <si>
    <t>-80.827464</t>
  </si>
  <si>
    <t>28.612628</t>
  </si>
  <si>
    <t>-80.805675</t>
  </si>
  <si>
    <t>28.596597</t>
  </si>
  <si>
    <t>-80.806867</t>
  </si>
  <si>
    <t>28.564522</t>
  </si>
  <si>
    <t>-80.798228</t>
  </si>
  <si>
    <t>28.60777</t>
  </si>
  <si>
    <t>-80.80611</t>
  </si>
  <si>
    <t>28.58027</t>
  </si>
  <si>
    <t>-80.80055</t>
  </si>
  <si>
    <t>28.57083</t>
  </si>
  <si>
    <t>-80.80111</t>
  </si>
  <si>
    <t>28.59333</t>
  </si>
  <si>
    <t>-80.80361</t>
  </si>
  <si>
    <t>28.6020466276</t>
  </si>
  <si>
    <t>-80.8075666899</t>
  </si>
  <si>
    <t>28.6056537603</t>
  </si>
  <si>
    <t>-80.8262776502</t>
  </si>
  <si>
    <t>28.62277</t>
  </si>
  <si>
    <t>-80.81472</t>
  </si>
  <si>
    <t>28.6002638018</t>
  </si>
  <si>
    <t>-80.807421101</t>
  </si>
  <si>
    <t>28.586197</t>
  </si>
  <si>
    <t>-80.80599</t>
  </si>
  <si>
    <t>28.5513177681</t>
  </si>
  <si>
    <t>-80.8023960967</t>
  </si>
  <si>
    <t>28.55813218</t>
  </si>
  <si>
    <t>-80.8069108778</t>
  </si>
  <si>
    <t>28.6119774659</t>
  </si>
  <si>
    <t>-80.8066832658</t>
  </si>
  <si>
    <t>28.6133639026</t>
  </si>
  <si>
    <t>-80.8056457737</t>
  </si>
  <si>
    <t>28.6107583549</t>
  </si>
  <si>
    <t>-80.8066928718</t>
  </si>
  <si>
    <t>28.589865498</t>
  </si>
  <si>
    <t>-80.8046621389</t>
  </si>
  <si>
    <t>28.62416</t>
  </si>
  <si>
    <t>-80.81611</t>
  </si>
  <si>
    <t>28.61861</t>
  </si>
  <si>
    <t>-80.82055</t>
  </si>
  <si>
    <t>062320: Chris corrected lat/longs for next year's STAR</t>
  </si>
  <si>
    <t>28.086979</t>
  </si>
  <si>
    <t>-80.574318</t>
  </si>
  <si>
    <t>080520: inputted approved (in blue) changes for Post STAR-2019 updates from the "Priority Projects Append_WL Projects_v2" worksheet from items that were highlighted blue in the Append workbook. Revised project TV-24.</t>
  </si>
  <si>
    <t>Brevard County/ SOIRL</t>
  </si>
  <si>
    <t>Osprey Pond MAPS</t>
  </si>
  <si>
    <t>BMP Missing from Model</t>
  </si>
  <si>
    <t xml:space="preserve">082020: TMG made edits from Ongoing Project Type Errors workbook as discussed with S. Cecil and highlighted in light green. </t>
  </si>
  <si>
    <t>no</t>
  </si>
  <si>
    <t>yes</t>
  </si>
  <si>
    <t>DEP has Treatment Area Shapefile</t>
  </si>
  <si>
    <t>DEP needs Treatment Area Shapefile</t>
  </si>
  <si>
    <t>credit available?</t>
  </si>
  <si>
    <t>To Do</t>
  </si>
  <si>
    <t>MS4 Tool</t>
  </si>
  <si>
    <t>Take Rolling Average</t>
  </si>
  <si>
    <t>up to 6% of area for TN and TP</t>
  </si>
  <si>
    <t>Apply New Information</t>
  </si>
  <si>
    <t>additional required information for verification not provided</t>
  </si>
  <si>
    <t>Keep original numbers</t>
  </si>
  <si>
    <t>Update with SWIL #s</t>
  </si>
  <si>
    <t>with DEP for Verification</t>
  </si>
  <si>
    <t>Pending Verification</t>
  </si>
  <si>
    <t>Cancelled</t>
  </si>
  <si>
    <t>Stakeholder needs to fill in additional missing project information for this project number</t>
  </si>
  <si>
    <t>Stakeholder is missing information for this cell</t>
  </si>
  <si>
    <t>Action for BMAP update</t>
  </si>
  <si>
    <t>Need to decide how to handle previous credits with no shapefile available</t>
  </si>
  <si>
    <t>Keep the previously applied credits</t>
  </si>
  <si>
    <r>
      <t>01282020: Added new projects in</t>
    </r>
    <r>
      <rPr>
        <strike/>
        <sz val="11"/>
        <rFont val="Calibri"/>
        <family val="2"/>
        <scheme val="minor"/>
      </rPr>
      <t xml:space="preserve"> orange,</t>
    </r>
    <r>
      <rPr>
        <strike/>
        <sz val="11"/>
        <color theme="1"/>
        <rFont val="Calibri"/>
        <family val="2"/>
        <scheme val="minor"/>
      </rPr>
      <t xml:space="preserve"> highlighted project description cells that were over 255 characters in </t>
    </r>
    <r>
      <rPr>
        <strike/>
        <sz val="11"/>
        <color rgb="FFFF0000"/>
        <rFont val="Calibri"/>
        <family val="2"/>
        <scheme val="minor"/>
      </rPr>
      <t>red (ROCK-14)</t>
    </r>
    <r>
      <rPr>
        <strike/>
        <sz val="11"/>
        <color theme="1"/>
        <rFont val="Calibri"/>
        <family val="2"/>
        <scheme val="minor"/>
      </rPr>
      <t>,  and QAQC for STAR 2019</t>
    </r>
  </si>
  <si>
    <t>recalculate TN and TP with SWIL model and % efficiencies on record</t>
  </si>
  <si>
    <t>update treated acres</t>
  </si>
  <si>
    <t>additional required information for verification not provided -- cannot find in DEP records</t>
  </si>
  <si>
    <t>Ongoing</t>
  </si>
  <si>
    <t>092020: Stacy Notes -- information beyond credit calculations provided by stakeholders has been updated</t>
  </si>
  <si>
    <t>update project zone location information based on changes in the LET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</si>
</sst>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quot;$&quot;#,##0"/>
    <numFmt numFmtId="165" formatCode="0.0"/>
  </numFmts>
  <fonts count="43" x14ac:knownFonts="1">
    <font>
      <sz val="11"/>
      <color theme="1"/>
      <name val="Calibri"/>
      <family val="2"/>
      <scheme val="minor"/>
    </font>
    <font>
      <sz val="11"/>
      <color theme="1"/>
      <name val="Calibri"/>
      <family val="2"/>
      <scheme val="minor"/>
    </font>
    <font>
      <b/>
      <sz val="10"/>
      <color theme="1"/>
      <name val="Times New Roman"/>
      <family val="1"/>
    </font>
    <font>
      <sz val="10"/>
      <color theme="1"/>
      <name val="Times New Roman"/>
      <family val="1"/>
    </font>
    <font>
      <sz val="10"/>
      <color rgb="FF000000"/>
      <name val="Times New Roman"/>
      <family val="1"/>
    </font>
    <font>
      <sz val="10"/>
      <name val="Arial"/>
      <family val="2"/>
    </font>
    <font>
      <sz val="10"/>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8"/>
      <color theme="3"/>
      <name val="Calibri Light"/>
      <family val="2"/>
      <scheme val="major"/>
    </font>
    <font>
      <sz val="10"/>
      <color indexed="8"/>
      <name val="Arial"/>
      <family val="2"/>
    </font>
    <font>
      <b/>
      <sz val="11"/>
      <color theme="1"/>
      <name val="Calibri"/>
      <family val="2"/>
      <scheme val="minor"/>
    </font>
    <font>
      <sz val="11"/>
      <color theme="1"/>
      <name val="Calibri"/>
      <family val="2"/>
      <scheme val="minor"/>
    </font>
    <font>
      <sz val="10"/>
      <name val="Times New Roman"/>
      <family val="1"/>
    </font>
    <font>
      <sz val="11"/>
      <name val="Calibri"/>
      <family val="2"/>
      <scheme val="minor"/>
    </font>
    <font>
      <b/>
      <sz val="10"/>
      <name val="Times New Roman"/>
      <family val="1"/>
    </font>
    <font>
      <b/>
      <sz val="11"/>
      <name val="Calibri"/>
      <family val="2"/>
      <scheme val="minor"/>
    </font>
    <font>
      <sz val="10"/>
      <name val="Times New Roman"/>
      <family val="1"/>
    </font>
    <font>
      <sz val="11"/>
      <name val="Calibri"/>
      <family val="2"/>
      <scheme val="minor"/>
    </font>
    <font>
      <sz val="11"/>
      <color rgb="FFFF0000"/>
      <name val="Calibri"/>
      <family val="2"/>
      <scheme val="minor"/>
    </font>
    <font>
      <sz val="11"/>
      <name val="Times New Roman"/>
      <family val="1"/>
    </font>
    <font>
      <sz val="10"/>
      <color rgb="FFFF0000"/>
      <name val="Times New Roman"/>
      <family val="1"/>
    </font>
    <font>
      <sz val="10"/>
      <color theme="2" tint="-0.89999084444715716"/>
      <name val="Times New Roman"/>
      <family val="1"/>
    </font>
    <font>
      <b/>
      <sz val="11"/>
      <color rgb="FF000000"/>
      <name val="Calibri"/>
      <family val="2"/>
    </font>
    <font>
      <sz val="12"/>
      <color theme="1"/>
      <name val="Times New Roman"/>
      <family val="1"/>
    </font>
    <font>
      <sz val="8"/>
      <name val="Calibri"/>
      <family val="2"/>
      <scheme val="minor"/>
    </font>
    <font>
      <strike/>
      <sz val="11"/>
      <color theme="1"/>
      <name val="Calibri"/>
      <family val="2"/>
      <scheme val="minor"/>
    </font>
    <font>
      <strike/>
      <sz val="11"/>
      <color rgb="FF92D050"/>
      <name val="Calibri"/>
      <family val="2"/>
      <scheme val="minor"/>
    </font>
    <font>
      <strike/>
      <sz val="11"/>
      <name val="Calibri"/>
      <family val="2"/>
      <scheme val="minor"/>
    </font>
    <font>
      <strike/>
      <sz val="11"/>
      <color rgb="FFFF0000"/>
      <name val="Calibri"/>
      <family val="2"/>
      <scheme val="minor"/>
    </font>
  </fonts>
  <fills count="58">
    <fill>
      <patternFill patternType="none"/>
    </fill>
    <fill>
      <patternFill patternType="gray125"/>
    </fill>
    <fill>
      <patternFill patternType="solid">
        <fgColor theme="4"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4" tint="0.39997558519241921"/>
        <bgColor indexed="64"/>
      </patternFill>
    </fill>
    <fill>
      <patternFill patternType="solid">
        <fgColor theme="8" tint="0.79998168889431442"/>
        <bgColor indexed="64"/>
      </patternFill>
    </fill>
    <fill>
      <patternFill patternType="solid">
        <fgColor rgb="FFFF7C80"/>
        <bgColor indexed="64"/>
      </patternFill>
    </fill>
    <fill>
      <patternFill patternType="solid">
        <fgColor theme="4" tint="0.79998168889431442"/>
        <bgColor theme="4" tint="0.79998168889431442"/>
      </patternFill>
    </fill>
    <fill>
      <patternFill patternType="solid">
        <fgColor rgb="FFFF0000"/>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theme="4" tint="0.39997558519241921"/>
        <bgColor theme="4" tint="0.79998168889431442"/>
      </patternFill>
    </fill>
    <fill>
      <patternFill patternType="solid">
        <fgColor rgb="FF92D050"/>
        <bgColor indexed="64"/>
      </patternFill>
    </fill>
    <fill>
      <patternFill patternType="solid">
        <fgColor rgb="FF00B0F0"/>
        <bgColor indexed="64"/>
      </patternFill>
    </fill>
    <fill>
      <patternFill patternType="solid">
        <fgColor rgb="FFC0C0C0"/>
        <bgColor rgb="FFC0C0C0"/>
      </patternFill>
    </fill>
    <fill>
      <patternFill patternType="solid">
        <fgColor rgb="FFFFC000"/>
        <bgColor indexed="64"/>
      </patternFill>
    </fill>
    <fill>
      <patternFill patternType="solid">
        <fgColor rgb="FFFF00FF"/>
        <bgColor indexed="64"/>
      </patternFill>
    </fill>
    <fill>
      <patternFill patternType="solid">
        <fgColor rgb="FFFF66FF"/>
        <bgColor indexed="64"/>
      </patternFill>
    </fill>
    <fill>
      <patternFill patternType="solid">
        <fgColor rgb="FF00B050"/>
        <bgColor indexed="64"/>
      </patternFill>
    </fill>
    <fill>
      <patternFill patternType="solid">
        <fgColor theme="7" tint="-0.249977111117893"/>
        <bgColor indexed="64"/>
      </patternFill>
    </fill>
    <fill>
      <patternFill patternType="solid">
        <fgColor theme="8" tint="0.39997558519241921"/>
        <bgColor indexed="64"/>
      </patternFill>
    </fill>
    <fill>
      <patternFill patternType="solid">
        <fgColor theme="0" tint="-0.499984740745262"/>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rgb="FFCCCCFF"/>
        <bgColor indexed="64"/>
      </patternFill>
    </fill>
    <fill>
      <patternFill patternType="solid">
        <fgColor theme="5" tint="0.59999389629810485"/>
        <bgColor indexed="64"/>
      </patternFill>
    </fill>
    <fill>
      <patternFill patternType="solid">
        <fgColor rgb="FFFFCCFF"/>
        <bgColor indexed="64"/>
      </patternFill>
    </fill>
  </fills>
  <borders count="13">
    <border>
      <left/>
      <right/>
      <top/>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s>
  <cellStyleXfs count="117">
    <xf numFmtId="0" fontId="0" fillId="0" borderId="0"/>
    <xf numFmtId="43" fontId="1" fillId="0" borderId="0" applyFont="0" applyFill="0" applyBorder="0" applyAlignment="0" applyProtection="0"/>
    <xf numFmtId="9" fontId="1" fillId="0" borderId="0" applyFont="0" applyFill="0" applyBorder="0" applyAlignment="0" applyProtection="0"/>
    <xf numFmtId="0" fontId="5" fillId="0" borderId="0"/>
    <xf numFmtId="0" fontId="6" fillId="0" borderId="0"/>
    <xf numFmtId="44" fontId="1" fillId="0" borderId="0" applyFont="0" applyFill="0" applyBorder="0" applyAlignment="0" applyProtection="0"/>
    <xf numFmtId="0" fontId="5" fillId="0" borderId="0"/>
    <xf numFmtId="0" fontId="7" fillId="0" borderId="2" applyNumberFormat="0" applyFill="0" applyAlignment="0" applyProtection="0"/>
    <xf numFmtId="0" fontId="8" fillId="0" borderId="3" applyNumberFormat="0" applyFill="0" applyAlignment="0" applyProtection="0"/>
    <xf numFmtId="0" fontId="9" fillId="0" borderId="4" applyNumberFormat="0" applyFill="0" applyAlignment="0" applyProtection="0"/>
    <xf numFmtId="0" fontId="9" fillId="0" borderId="0" applyNumberFormat="0" applyFill="0" applyBorder="0" applyAlignment="0" applyProtection="0"/>
    <xf numFmtId="0" fontId="10" fillId="3" borderId="0" applyNumberFormat="0" applyBorder="0" applyAlignment="0" applyProtection="0"/>
    <xf numFmtId="0" fontId="11" fillId="4" borderId="0" applyNumberFormat="0" applyBorder="0" applyAlignment="0" applyProtection="0"/>
    <xf numFmtId="0" fontId="12" fillId="5" borderId="0" applyNumberFormat="0" applyBorder="0" applyAlignment="0" applyProtection="0"/>
    <xf numFmtId="0" fontId="13" fillId="6" borderId="5" applyNumberFormat="0" applyAlignment="0" applyProtection="0"/>
    <xf numFmtId="0" fontId="14" fillId="7" borderId="6" applyNumberFormat="0" applyAlignment="0" applyProtection="0"/>
    <xf numFmtId="0" fontId="15" fillId="7" borderId="5" applyNumberFormat="0" applyAlignment="0" applyProtection="0"/>
    <xf numFmtId="0" fontId="16" fillId="0" borderId="7" applyNumberFormat="0" applyFill="0" applyAlignment="0" applyProtection="0"/>
    <xf numFmtId="0" fontId="17" fillId="8" borderId="8" applyNumberFormat="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20" fillId="0" borderId="10" applyNumberFormat="0" applyFill="0" applyAlignment="0" applyProtection="0"/>
    <xf numFmtId="0" fontId="2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21" fillId="17" borderId="0" applyNumberFormat="0" applyBorder="0" applyAlignment="0" applyProtection="0"/>
    <xf numFmtId="0" fontId="2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21" fillId="21" borderId="0" applyNumberFormat="0" applyBorder="0" applyAlignment="0" applyProtection="0"/>
    <xf numFmtId="0" fontId="2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21" fillId="25" borderId="0" applyNumberFormat="0" applyBorder="0" applyAlignment="0" applyProtection="0"/>
    <xf numFmtId="0" fontId="2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21" fillId="29" borderId="0" applyNumberFormat="0" applyBorder="0" applyAlignment="0" applyProtection="0"/>
    <xf numFmtId="0" fontId="2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1" fillId="33" borderId="0" applyNumberFormat="0" applyBorder="0" applyAlignment="0" applyProtection="0"/>
    <xf numFmtId="0" fontId="22" fillId="0" borderId="0" applyNumberFormat="0" applyFill="0" applyBorder="0" applyAlignment="0" applyProtection="0"/>
    <xf numFmtId="0" fontId="5" fillId="0" borderId="0"/>
    <xf numFmtId="0" fontId="23" fillId="0" borderId="0"/>
    <xf numFmtId="0" fontId="1" fillId="0" borderId="0"/>
    <xf numFmtId="0" fontId="1" fillId="9" borderId="9" applyNumberFormat="0" applyFont="0" applyAlignment="0" applyProtection="0"/>
    <xf numFmtId="0" fontId="1" fillId="0" borderId="0"/>
    <xf numFmtId="0" fontId="5" fillId="0" borderId="0"/>
    <xf numFmtId="0" fontId="1" fillId="9" borderId="9"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9" borderId="9" applyNumberFormat="0" applyFont="0" applyAlignment="0" applyProtection="0"/>
    <xf numFmtId="0" fontId="1" fillId="0" borderId="0"/>
    <xf numFmtId="0" fontId="1" fillId="9" borderId="9"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9" borderId="9"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4" fillId="0" borderId="0"/>
  </cellStyleXfs>
  <cellXfs count="170">
    <xf numFmtId="0" fontId="0" fillId="0" borderId="0" xfId="0"/>
    <xf numFmtId="0" fontId="3" fillId="0" borderId="0" xfId="0" applyFont="1" applyAlignment="1">
      <alignment horizontal="center" vertical="center"/>
    </xf>
    <xf numFmtId="0" fontId="2" fillId="2" borderId="1" xfId="0" applyFont="1" applyFill="1" applyBorder="1" applyAlignment="1">
      <alignment horizontal="center" wrapText="1"/>
    </xf>
    <xf numFmtId="0" fontId="0" fillId="0" borderId="0" xfId="0" pivotButton="1"/>
    <xf numFmtId="0" fontId="0" fillId="0" borderId="0" xfId="0" applyAlignment="1">
      <alignment horizontal="left" indent="1"/>
    </xf>
    <xf numFmtId="3" fontId="3" fillId="0" borderId="1" xfId="0" applyNumberFormat="1" applyFont="1" applyBorder="1" applyAlignment="1">
      <alignment horizontal="center" vertical="center"/>
    </xf>
    <xf numFmtId="3" fontId="3" fillId="0" borderId="0" xfId="0" applyNumberFormat="1" applyFont="1" applyAlignment="1">
      <alignment horizontal="center" vertical="center"/>
    </xf>
    <xf numFmtId="9" fontId="3" fillId="0" borderId="0" xfId="2" applyFont="1" applyAlignment="1">
      <alignment horizontal="center" vertical="center"/>
    </xf>
    <xf numFmtId="0" fontId="24" fillId="0" borderId="0" xfId="0" applyFont="1"/>
    <xf numFmtId="0" fontId="25" fillId="0" borderId="0" xfId="0" applyFont="1"/>
    <xf numFmtId="0" fontId="26" fillId="0" borderId="1" xfId="0" applyFont="1" applyBorder="1" applyAlignment="1">
      <alignment horizontal="center" vertical="center" wrapText="1"/>
    </xf>
    <xf numFmtId="0" fontId="26" fillId="37" borderId="1" xfId="0" applyFont="1" applyFill="1" applyBorder="1" applyAlignment="1">
      <alignment horizontal="center" vertical="center" wrapText="1"/>
    </xf>
    <xf numFmtId="0" fontId="29" fillId="0" borderId="0" xfId="0" applyFont="1" applyAlignment="1">
      <alignment horizontal="center" wrapText="1"/>
    </xf>
    <xf numFmtId="0" fontId="30" fillId="0" borderId="1" xfId="0" applyFont="1" applyBorder="1" applyAlignment="1">
      <alignment horizontal="center" vertical="center" wrapText="1"/>
    </xf>
    <xf numFmtId="0" fontId="31" fillId="0" borderId="0" xfId="0" applyFont="1" applyAlignment="1">
      <alignment horizontal="center" vertical="center"/>
    </xf>
    <xf numFmtId="0" fontId="30" fillId="34" borderId="1" xfId="0" applyFont="1" applyFill="1" applyBorder="1" applyAlignment="1">
      <alignment horizontal="center" vertical="center" wrapText="1"/>
    </xf>
    <xf numFmtId="0" fontId="30" fillId="37" borderId="1" xfId="0" applyFont="1" applyFill="1" applyBorder="1" applyAlignment="1">
      <alignment horizontal="center" vertical="center" wrapText="1"/>
    </xf>
    <xf numFmtId="0" fontId="32" fillId="0" borderId="0" xfId="0" applyFont="1" applyAlignment="1">
      <alignment horizontal="center" vertical="center"/>
    </xf>
    <xf numFmtId="0" fontId="30" fillId="0" borderId="0" xfId="0" applyFont="1" applyAlignment="1">
      <alignment horizontal="center" vertical="center" wrapText="1"/>
    </xf>
    <xf numFmtId="0" fontId="34" fillId="0" borderId="0" xfId="0" applyFont="1" applyAlignment="1">
      <alignment horizontal="center" vertical="center"/>
    </xf>
    <xf numFmtId="0" fontId="30" fillId="0" borderId="0" xfId="0" applyFont="1" applyAlignment="1">
      <alignment horizontal="center" vertical="center"/>
    </xf>
    <xf numFmtId="0" fontId="31" fillId="0" borderId="0" xfId="0" applyFont="1" applyAlignment="1">
      <alignment horizontal="center" vertical="center" wrapText="1"/>
    </xf>
    <xf numFmtId="0" fontId="27" fillId="0" borderId="0" xfId="0" applyFont="1"/>
    <xf numFmtId="3" fontId="31" fillId="0" borderId="0" xfId="0" applyNumberFormat="1" applyFont="1" applyAlignment="1">
      <alignment horizontal="center" vertical="center" wrapText="1"/>
    </xf>
    <xf numFmtId="164" fontId="26" fillId="0" borderId="0" xfId="0" applyNumberFormat="1" applyFont="1" applyAlignment="1">
      <alignment horizontal="center" vertical="center" wrapText="1"/>
    </xf>
    <xf numFmtId="3" fontId="0" fillId="0" borderId="0" xfId="0" applyNumberFormat="1"/>
    <xf numFmtId="164" fontId="0" fillId="0" borderId="0" xfId="0" pivotButton="1" applyNumberFormat="1"/>
    <xf numFmtId="164" fontId="0" fillId="0" borderId="0" xfId="0" applyNumberFormat="1"/>
    <xf numFmtId="9" fontId="2" fillId="0" borderId="1" xfId="2" applyFont="1" applyBorder="1" applyAlignment="1">
      <alignment horizontal="center" vertical="center"/>
    </xf>
    <xf numFmtId="9" fontId="2" fillId="2" borderId="1" xfId="2" applyFont="1" applyFill="1" applyBorder="1" applyAlignment="1">
      <alignment horizontal="center" vertical="center"/>
    </xf>
    <xf numFmtId="3" fontId="3" fillId="0" borderId="1" xfId="0" applyNumberFormat="1" applyFont="1" applyBorder="1" applyAlignment="1">
      <alignment horizontal="center"/>
    </xf>
    <xf numFmtId="0" fontId="35" fillId="41" borderId="0" xfId="0" applyFont="1" applyFill="1" applyAlignment="1">
      <alignment horizontal="center" vertical="center"/>
    </xf>
    <xf numFmtId="3" fontId="35" fillId="41" borderId="0" xfId="0" applyNumberFormat="1" applyFont="1" applyFill="1" applyAlignment="1">
      <alignment horizontal="center" vertical="center"/>
    </xf>
    <xf numFmtId="9" fontId="35" fillId="41" borderId="0" xfId="2" applyFont="1" applyFill="1" applyAlignment="1">
      <alignment horizontal="center" vertical="center"/>
    </xf>
    <xf numFmtId="0" fontId="3" fillId="0" borderId="1" xfId="0" pivotButton="1" applyFont="1" applyBorder="1"/>
    <xf numFmtId="0" fontId="3" fillId="0" borderId="1" xfId="0" pivotButton="1" applyFont="1" applyBorder="1" applyAlignment="1">
      <alignment wrapText="1"/>
    </xf>
    <xf numFmtId="3" fontId="2" fillId="38" borderId="1" xfId="0" applyNumberFormat="1" applyFont="1" applyFill="1" applyBorder="1" applyAlignment="1">
      <alignment horizontal="center" wrapText="1"/>
    </xf>
    <xf numFmtId="0" fontId="3" fillId="0" borderId="1" xfId="0" applyFont="1" applyBorder="1" applyAlignment="1">
      <alignment horizontal="left"/>
    </xf>
    <xf numFmtId="3" fontId="2" fillId="38" borderId="1" xfId="0" applyNumberFormat="1" applyFont="1" applyFill="1" applyBorder="1" applyAlignment="1">
      <alignment horizontal="center"/>
    </xf>
    <xf numFmtId="0" fontId="2" fillId="41" borderId="0" xfId="0" applyFont="1" applyFill="1"/>
    <xf numFmtId="0" fontId="3" fillId="40" borderId="1" xfId="0" applyFont="1" applyFill="1" applyBorder="1" applyAlignment="1">
      <alignment horizontal="left" wrapText="1"/>
    </xf>
    <xf numFmtId="3" fontId="3" fillId="40" borderId="1" xfId="0" applyNumberFormat="1" applyFont="1" applyFill="1" applyBorder="1" applyAlignment="1">
      <alignment horizontal="center"/>
    </xf>
    <xf numFmtId="3" fontId="2" fillId="40" borderId="1" xfId="0" applyNumberFormat="1" applyFont="1" applyFill="1" applyBorder="1" applyAlignment="1">
      <alignment horizontal="center" vertical="center"/>
    </xf>
    <xf numFmtId="9" fontId="2" fillId="40" borderId="1" xfId="2" applyFont="1" applyFill="1" applyBorder="1" applyAlignment="1">
      <alignment horizontal="center" vertical="center"/>
    </xf>
    <xf numFmtId="0" fontId="3" fillId="40" borderId="1" xfId="0" applyFont="1" applyFill="1" applyBorder="1" applyAlignment="1">
      <alignment horizontal="left"/>
    </xf>
    <xf numFmtId="0" fontId="2" fillId="38" borderId="1" xfId="0" applyFont="1" applyFill="1" applyBorder="1" applyAlignment="1">
      <alignment horizontal="center" wrapText="1"/>
    </xf>
    <xf numFmtId="0" fontId="2" fillId="42" borderId="1" xfId="0" applyFont="1" applyFill="1" applyBorder="1" applyAlignment="1">
      <alignment horizontal="center" wrapText="1"/>
    </xf>
    <xf numFmtId="3" fontId="2" fillId="42" borderId="1" xfId="0" applyNumberFormat="1" applyFont="1" applyFill="1" applyBorder="1" applyAlignment="1">
      <alignment horizontal="center" wrapText="1"/>
    </xf>
    <xf numFmtId="9" fontId="3" fillId="0" borderId="1" xfId="2" applyFont="1" applyBorder="1" applyAlignment="1">
      <alignment horizontal="center" vertical="center"/>
    </xf>
    <xf numFmtId="0" fontId="2" fillId="35" borderId="1" xfId="0" applyFont="1" applyFill="1" applyBorder="1" applyAlignment="1">
      <alignment horizontal="center" wrapText="1"/>
    </xf>
    <xf numFmtId="9" fontId="2" fillId="38" borderId="1" xfId="2" applyFont="1" applyFill="1" applyBorder="1" applyAlignment="1">
      <alignment horizontal="center"/>
    </xf>
    <xf numFmtId="0" fontId="3" fillId="0" borderId="1" xfId="0" applyFont="1" applyBorder="1"/>
    <xf numFmtId="0" fontId="30" fillId="43" borderId="1" xfId="0" applyFont="1" applyFill="1" applyBorder="1" applyAlignment="1">
      <alignment horizontal="center" vertical="center" wrapText="1"/>
    </xf>
    <xf numFmtId="0" fontId="26" fillId="43" borderId="1" xfId="0" applyFont="1" applyFill="1" applyBorder="1" applyAlignment="1">
      <alignment horizontal="center" vertical="center" wrapText="1"/>
    </xf>
    <xf numFmtId="0" fontId="26" fillId="44" borderId="1" xfId="0" applyFont="1" applyFill="1" applyBorder="1" applyAlignment="1">
      <alignment horizontal="center" vertical="center" wrapText="1"/>
    </xf>
    <xf numFmtId="0" fontId="30" fillId="44" borderId="1" xfId="0" applyFont="1" applyFill="1" applyBorder="1" applyAlignment="1">
      <alignment horizontal="center" vertical="center" wrapText="1"/>
    </xf>
    <xf numFmtId="0" fontId="0" fillId="0" borderId="0" xfId="0" applyAlignment="1">
      <alignment horizontal="left"/>
    </xf>
    <xf numFmtId="0" fontId="20" fillId="0" borderId="1" xfId="0" applyFont="1" applyBorder="1" applyAlignment="1">
      <alignment horizontal="center"/>
    </xf>
    <xf numFmtId="0" fontId="1" fillId="0" borderId="1" xfId="0" applyFont="1" applyBorder="1" applyAlignment="1">
      <alignment horizontal="center" wrapText="1"/>
    </xf>
    <xf numFmtId="0" fontId="0" fillId="0" borderId="1" xfId="0" applyBorder="1" applyAlignment="1">
      <alignment horizontal="center" wrapText="1"/>
    </xf>
    <xf numFmtId="3" fontId="1" fillId="0" borderId="1" xfId="0" applyNumberFormat="1" applyFont="1" applyBorder="1" applyAlignment="1">
      <alignment horizontal="center" vertical="center" wrapText="1"/>
    </xf>
    <xf numFmtId="3" fontId="0" fillId="0" borderId="1" xfId="0" applyNumberFormat="1" applyBorder="1" applyAlignment="1">
      <alignment horizontal="center" vertical="center"/>
    </xf>
    <xf numFmtId="0" fontId="0" fillId="0" borderId="1" xfId="0" applyBorder="1" applyAlignment="1">
      <alignment horizontal="center"/>
    </xf>
    <xf numFmtId="3" fontId="0" fillId="35" borderId="1" xfId="0" applyNumberFormat="1" applyFill="1" applyBorder="1" applyAlignment="1">
      <alignment horizontal="center" vertical="center"/>
    </xf>
    <xf numFmtId="3" fontId="0" fillId="0" borderId="1" xfId="0" applyNumberFormat="1" applyBorder="1" applyAlignment="1">
      <alignment horizontal="center" vertical="center" wrapText="1"/>
    </xf>
    <xf numFmtId="0" fontId="0" fillId="0" borderId="11" xfId="0" applyBorder="1" applyAlignment="1">
      <alignment horizontal="center" wrapText="1"/>
    </xf>
    <xf numFmtId="0" fontId="36" fillId="45" borderId="1" xfId="0" applyFont="1" applyFill="1" applyBorder="1" applyAlignment="1">
      <alignment horizontal="center" vertical="center"/>
    </xf>
    <xf numFmtId="49" fontId="26" fillId="44" borderId="1" xfId="0" applyNumberFormat="1" applyFont="1" applyFill="1" applyBorder="1" applyAlignment="1">
      <alignment horizontal="center" vertical="center" wrapText="1"/>
    </xf>
    <xf numFmtId="49" fontId="30" fillId="0" borderId="1" xfId="0" applyNumberFormat="1" applyFont="1" applyBorder="1" applyAlignment="1">
      <alignment horizontal="center" vertical="center" wrapText="1"/>
    </xf>
    <xf numFmtId="49" fontId="26" fillId="43" borderId="1" xfId="0" applyNumberFormat="1" applyFont="1" applyFill="1" applyBorder="1" applyAlignment="1">
      <alignment horizontal="center" vertical="center" wrapText="1"/>
    </xf>
    <xf numFmtId="164" fontId="30" fillId="0" borderId="0" xfId="0" applyNumberFormat="1" applyFont="1" applyAlignment="1">
      <alignment horizontal="center" vertical="center" wrapText="1"/>
    </xf>
    <xf numFmtId="0" fontId="20" fillId="0" borderId="11" xfId="0" applyFont="1" applyBorder="1" applyAlignment="1">
      <alignment horizontal="center" wrapText="1"/>
    </xf>
    <xf numFmtId="0" fontId="20" fillId="0" borderId="1" xfId="0" applyFont="1" applyBorder="1" applyAlignment="1">
      <alignment horizontal="center" wrapText="1"/>
    </xf>
    <xf numFmtId="3" fontId="20" fillId="0" borderId="1" xfId="0" applyNumberFormat="1" applyFont="1" applyBorder="1" applyAlignment="1">
      <alignment horizontal="center" vertical="center" wrapText="1"/>
    </xf>
    <xf numFmtId="0" fontId="0" fillId="0" borderId="0" xfId="0" applyNumberFormat="1"/>
    <xf numFmtId="0" fontId="3" fillId="0" borderId="1" xfId="0" applyFont="1" applyBorder="1" applyAlignment="1">
      <alignment horizontal="left" indent="1"/>
    </xf>
    <xf numFmtId="0" fontId="30" fillId="46" borderId="1" xfId="0" applyFont="1" applyFill="1" applyBorder="1" applyAlignment="1">
      <alignment horizontal="center" vertical="center" wrapText="1"/>
    </xf>
    <xf numFmtId="0" fontId="26" fillId="46" borderId="1" xfId="0" applyFont="1" applyFill="1" applyBorder="1" applyAlignment="1">
      <alignment horizontal="center" vertical="center" wrapText="1"/>
    </xf>
    <xf numFmtId="0" fontId="0" fillId="46" borderId="1" xfId="0" applyFill="1" applyBorder="1" applyAlignment="1">
      <alignment horizontal="center" vertical="center" wrapText="1"/>
    </xf>
    <xf numFmtId="0" fontId="30" fillId="0" borderId="1" xfId="0" quotePrefix="1" applyFont="1" applyBorder="1" applyAlignment="1">
      <alignment horizontal="center" vertical="center" wrapText="1"/>
    </xf>
    <xf numFmtId="0" fontId="30" fillId="43" borderId="1" xfId="0" quotePrefix="1" applyFont="1" applyFill="1" applyBorder="1" applyAlignment="1">
      <alignment horizontal="center" vertical="center" wrapText="1"/>
    </xf>
    <xf numFmtId="0" fontId="26" fillId="0" borderId="1" xfId="0" applyFont="1" applyFill="1" applyBorder="1" applyAlignment="1">
      <alignment horizontal="center" vertical="center" wrapText="1"/>
    </xf>
    <xf numFmtId="0" fontId="0" fillId="0" borderId="0" xfId="0" applyFont="1"/>
    <xf numFmtId="0" fontId="26" fillId="47" borderId="1" xfId="0" applyFont="1" applyFill="1" applyBorder="1" applyAlignment="1">
      <alignment horizontal="center" vertical="center" wrapText="1"/>
    </xf>
    <xf numFmtId="0" fontId="31" fillId="47" borderId="1" xfId="0" applyFont="1" applyFill="1" applyBorder="1" applyAlignment="1">
      <alignment horizontal="center" vertical="center" wrapText="1"/>
    </xf>
    <xf numFmtId="0" fontId="26" fillId="48" borderId="1" xfId="0" applyFont="1" applyFill="1" applyBorder="1" applyAlignment="1">
      <alignment horizontal="center" vertical="center" wrapText="1"/>
    </xf>
    <xf numFmtId="0" fontId="30" fillId="48" borderId="1" xfId="0" quotePrefix="1" applyFont="1" applyFill="1" applyBorder="1" applyAlignment="1">
      <alignment horizontal="center" vertical="center" wrapText="1"/>
    </xf>
    <xf numFmtId="0" fontId="30" fillId="0" borderId="0" xfId="0" applyFont="1" applyBorder="1" applyAlignment="1">
      <alignment horizontal="center" vertical="center" wrapText="1"/>
    </xf>
    <xf numFmtId="0" fontId="37" fillId="0" borderId="0" xfId="0" applyFont="1" applyAlignment="1">
      <alignment vertical="center" wrapText="1"/>
    </xf>
    <xf numFmtId="0" fontId="31" fillId="0" borderId="0" xfId="0" applyNumberFormat="1" applyFont="1" applyAlignment="1">
      <alignment horizontal="center" vertical="center" wrapText="1"/>
    </xf>
    <xf numFmtId="0" fontId="0" fillId="0" borderId="0" xfId="0"/>
    <xf numFmtId="0" fontId="26" fillId="51" borderId="1" xfId="0" applyFont="1" applyFill="1" applyBorder="1" applyAlignment="1">
      <alignment horizontal="center" vertical="center" wrapText="1"/>
    </xf>
    <xf numFmtId="0" fontId="30" fillId="51" borderId="1" xfId="0" applyFont="1" applyFill="1" applyBorder="1" applyAlignment="1">
      <alignment horizontal="center" vertical="center" wrapText="1"/>
    </xf>
    <xf numFmtId="0" fontId="20" fillId="0" borderId="0" xfId="0" applyFont="1" applyAlignment="1">
      <alignment wrapText="1"/>
    </xf>
    <xf numFmtId="3" fontId="0" fillId="52" borderId="1" xfId="0" applyNumberFormat="1" applyFill="1" applyBorder="1" applyAlignment="1">
      <alignment horizontal="center" vertical="center"/>
    </xf>
    <xf numFmtId="49" fontId="26" fillId="53" borderId="1" xfId="0" quotePrefix="1" applyNumberFormat="1" applyFont="1" applyFill="1" applyBorder="1" applyAlignment="1">
      <alignment horizontal="center" vertical="center" wrapText="1"/>
    </xf>
    <xf numFmtId="49" fontId="33" fillId="53" borderId="1" xfId="0" quotePrefix="1" applyNumberFormat="1" applyFont="1" applyFill="1" applyBorder="1" applyAlignment="1">
      <alignment horizontal="center" vertical="center"/>
    </xf>
    <xf numFmtId="49" fontId="26" fillId="53" borderId="1" xfId="0" quotePrefix="1" applyNumberFormat="1" applyFont="1" applyFill="1" applyBorder="1" applyAlignment="1">
      <alignment horizontal="center" vertical="center"/>
    </xf>
    <xf numFmtId="49" fontId="30" fillId="0" borderId="0" xfId="0" applyNumberFormat="1" applyFont="1" applyAlignment="1">
      <alignment horizontal="center" vertical="center" wrapText="1"/>
    </xf>
    <xf numFmtId="49" fontId="26" fillId="53" borderId="1" xfId="0" applyNumberFormat="1" applyFont="1" applyFill="1" applyBorder="1" applyAlignment="1">
      <alignment horizontal="center" vertical="center" wrapText="1"/>
    </xf>
    <xf numFmtId="49" fontId="26" fillId="0" borderId="1" xfId="0" applyNumberFormat="1" applyFont="1" applyFill="1" applyBorder="1" applyAlignment="1">
      <alignment horizontal="center" vertical="center" wrapText="1"/>
    </xf>
    <xf numFmtId="49" fontId="26" fillId="53" borderId="1" xfId="0" applyNumberFormat="1" applyFont="1" applyFill="1" applyBorder="1" applyAlignment="1">
      <alignment horizontal="center" vertical="center"/>
    </xf>
    <xf numFmtId="49" fontId="0" fillId="53" borderId="1" xfId="0" applyNumberFormat="1" applyFill="1" applyBorder="1" applyAlignment="1">
      <alignment horizontal="center" vertical="center" wrapText="1"/>
    </xf>
    <xf numFmtId="49" fontId="26" fillId="53" borderId="12" xfId="0" applyNumberFormat="1" applyFont="1" applyFill="1" applyBorder="1" applyAlignment="1">
      <alignment horizontal="center" vertical="center" wrapText="1"/>
    </xf>
    <xf numFmtId="0" fontId="28" fillId="36" borderId="1" xfId="0" applyNumberFormat="1" applyFont="1" applyFill="1" applyBorder="1" applyAlignment="1">
      <alignment horizontal="center" wrapText="1"/>
    </xf>
    <xf numFmtId="0" fontId="25" fillId="35" borderId="0" xfId="0" applyFont="1" applyFill="1"/>
    <xf numFmtId="0" fontId="28" fillId="2" borderId="1" xfId="0" applyFont="1" applyFill="1" applyBorder="1" applyAlignment="1">
      <alignment horizontal="center" vertical="center" wrapText="1"/>
    </xf>
    <xf numFmtId="0" fontId="26" fillId="54" borderId="1" xfId="0" applyFont="1" applyFill="1" applyBorder="1" applyAlignment="1">
      <alignment horizontal="center" vertical="center" wrapText="1"/>
    </xf>
    <xf numFmtId="0" fontId="26" fillId="55" borderId="1" xfId="0" applyFont="1" applyFill="1" applyBorder="1" applyAlignment="1">
      <alignment horizontal="center" vertical="center" wrapText="1"/>
    </xf>
    <xf numFmtId="0" fontId="26" fillId="0" borderId="1" xfId="0" applyNumberFormat="1" applyFont="1" applyFill="1" applyBorder="1" applyAlignment="1">
      <alignment horizontal="center" vertical="center" wrapText="1"/>
    </xf>
    <xf numFmtId="3" fontId="26" fillId="0" borderId="1" xfId="0" applyNumberFormat="1" applyFont="1" applyFill="1" applyBorder="1" applyAlignment="1">
      <alignment horizontal="center" vertical="center" wrapText="1"/>
    </xf>
    <xf numFmtId="164" fontId="26" fillId="0" borderId="1" xfId="0" applyNumberFormat="1" applyFont="1" applyFill="1" applyBorder="1" applyAlignment="1">
      <alignment horizontal="center" vertical="center" wrapText="1"/>
    </xf>
    <xf numFmtId="0" fontId="28" fillId="36" borderId="1" xfId="0" applyFont="1" applyFill="1" applyBorder="1" applyAlignment="1">
      <alignment horizontal="center" vertical="center" wrapText="1"/>
    </xf>
    <xf numFmtId="0" fontId="28" fillId="36" borderId="1" xfId="0" applyNumberFormat="1" applyFont="1" applyFill="1" applyBorder="1" applyAlignment="1">
      <alignment horizontal="center" vertical="center" wrapText="1"/>
    </xf>
    <xf numFmtId="164" fontId="26" fillId="0" borderId="1" xfId="5" applyNumberFormat="1" applyFont="1" applyFill="1" applyBorder="1" applyAlignment="1">
      <alignment horizontal="center" vertical="center" wrapText="1"/>
    </xf>
    <xf numFmtId="0" fontId="28" fillId="0" borderId="1" xfId="0" applyFont="1" applyBorder="1" applyAlignment="1">
      <alignment horizontal="center" vertical="center" wrapText="1"/>
    </xf>
    <xf numFmtId="0" fontId="28" fillId="45" borderId="1" xfId="0" applyFont="1" applyFill="1" applyBorder="1" applyAlignment="1">
      <alignment horizontal="center" vertical="center" wrapText="1"/>
    </xf>
    <xf numFmtId="0" fontId="28" fillId="45" borderId="1" xfId="0" applyNumberFormat="1" applyFont="1" applyFill="1" applyBorder="1" applyAlignment="1">
      <alignment horizontal="center" vertical="center" wrapText="1"/>
    </xf>
    <xf numFmtId="3" fontId="28" fillId="45" borderId="1" xfId="0" applyNumberFormat="1" applyFont="1" applyFill="1" applyBorder="1" applyAlignment="1">
      <alignment horizontal="center" vertical="center" wrapText="1"/>
    </xf>
    <xf numFmtId="164" fontId="28" fillId="45" borderId="1" xfId="0" applyNumberFormat="1" applyFont="1" applyFill="1" applyBorder="1" applyAlignment="1">
      <alignment horizontal="center" vertical="center" wrapText="1"/>
    </xf>
    <xf numFmtId="3" fontId="26" fillId="0" borderId="1" xfId="1" applyNumberFormat="1" applyFont="1" applyFill="1" applyBorder="1" applyAlignment="1">
      <alignment horizontal="center" vertical="center" wrapText="1"/>
    </xf>
    <xf numFmtId="164" fontId="26" fillId="0" borderId="1" xfId="107" applyNumberFormat="1" applyFont="1" applyFill="1" applyBorder="1" applyAlignment="1">
      <alignment horizontal="center" vertical="center" wrapText="1"/>
    </xf>
    <xf numFmtId="0" fontId="26" fillId="0" borderId="1" xfId="0" quotePrefix="1" applyFont="1" applyFill="1" applyBorder="1" applyAlignment="1">
      <alignment horizontal="center" vertical="center" wrapText="1"/>
    </xf>
    <xf numFmtId="0" fontId="26" fillId="0" borderId="1" xfId="109" applyFont="1" applyFill="1" applyBorder="1" applyAlignment="1">
      <alignment horizontal="center" vertical="center" wrapText="1"/>
    </xf>
    <xf numFmtId="165" fontId="26" fillId="0" borderId="1" xfId="0" applyNumberFormat="1" applyFont="1" applyFill="1" applyBorder="1" applyAlignment="1">
      <alignment horizontal="center" vertical="center" wrapText="1"/>
    </xf>
    <xf numFmtId="49" fontId="26" fillId="0" borderId="1" xfId="0" quotePrefix="1" applyNumberFormat="1" applyFont="1" applyFill="1" applyBorder="1" applyAlignment="1">
      <alignment horizontal="center" vertical="center" wrapText="1"/>
    </xf>
    <xf numFmtId="164" fontId="26" fillId="0" borderId="1" xfId="6" applyNumberFormat="1" applyFont="1" applyFill="1" applyBorder="1" applyAlignment="1">
      <alignment horizontal="center" vertical="center" wrapText="1"/>
    </xf>
    <xf numFmtId="17" fontId="26" fillId="0" borderId="1" xfId="0" quotePrefix="1" applyNumberFormat="1" applyFont="1" applyFill="1" applyBorder="1" applyAlignment="1">
      <alignment horizontal="center" vertical="center" wrapText="1"/>
    </xf>
    <xf numFmtId="0" fontId="26" fillId="0" borderId="1" xfId="3" applyFont="1" applyFill="1" applyBorder="1" applyAlignment="1">
      <alignment horizontal="center" vertical="center" wrapText="1"/>
    </xf>
    <xf numFmtId="0" fontId="26" fillId="0" borderId="1" xfId="4" applyFont="1" applyFill="1" applyBorder="1" applyAlignment="1">
      <alignment horizontal="center" vertical="center" wrapText="1"/>
    </xf>
    <xf numFmtId="164" fontId="26" fillId="0" borderId="1" xfId="51" applyNumberFormat="1" applyFont="1" applyFill="1" applyBorder="1" applyAlignment="1">
      <alignment horizontal="center" vertical="center" wrapText="1"/>
    </xf>
    <xf numFmtId="3" fontId="26" fillId="44" borderId="1" xfId="0" applyNumberFormat="1" applyFont="1" applyFill="1" applyBorder="1" applyAlignment="1">
      <alignment horizontal="center" vertical="center" wrapText="1"/>
    </xf>
    <xf numFmtId="3" fontId="26" fillId="44" borderId="1" xfId="1" applyNumberFormat="1" applyFont="1" applyFill="1" applyBorder="1" applyAlignment="1">
      <alignment horizontal="center" vertical="center" wrapText="1"/>
    </xf>
    <xf numFmtId="3" fontId="26" fillId="54" borderId="1" xfId="1" applyNumberFormat="1" applyFont="1" applyFill="1" applyBorder="1" applyAlignment="1">
      <alignment horizontal="center" vertical="center" wrapText="1"/>
    </xf>
    <xf numFmtId="3" fontId="26" fillId="54" borderId="1" xfId="0" applyNumberFormat="1" applyFont="1" applyFill="1" applyBorder="1" applyAlignment="1">
      <alignment horizontal="center" vertical="center" wrapText="1"/>
    </xf>
    <xf numFmtId="3" fontId="26" fillId="55" borderId="1" xfId="1" applyNumberFormat="1" applyFont="1" applyFill="1" applyBorder="1" applyAlignment="1">
      <alignment horizontal="center" vertical="center" wrapText="1"/>
    </xf>
    <xf numFmtId="3" fontId="26" fillId="55" borderId="1" xfId="0" applyNumberFormat="1" applyFont="1" applyFill="1" applyBorder="1" applyAlignment="1">
      <alignment horizontal="center" vertical="center" wrapText="1"/>
    </xf>
    <xf numFmtId="3" fontId="26" fillId="56" borderId="1" xfId="1" applyNumberFormat="1" applyFont="1" applyFill="1" applyBorder="1" applyAlignment="1">
      <alignment horizontal="center" vertical="center" wrapText="1"/>
    </xf>
    <xf numFmtId="0" fontId="26" fillId="56" borderId="1" xfId="0" applyFont="1" applyFill="1" applyBorder="1" applyAlignment="1">
      <alignment horizontal="center" vertical="center" wrapText="1"/>
    </xf>
    <xf numFmtId="3" fontId="26" fillId="56" borderId="1" xfId="0" applyNumberFormat="1" applyFont="1" applyFill="1" applyBorder="1" applyAlignment="1">
      <alignment horizontal="center" vertical="center" wrapText="1"/>
    </xf>
    <xf numFmtId="0" fontId="26" fillId="57" borderId="1" xfId="0" applyFont="1" applyFill="1" applyBorder="1" applyAlignment="1">
      <alignment horizontal="center" vertical="center" wrapText="1"/>
    </xf>
    <xf numFmtId="0" fontId="26" fillId="57" borderId="1" xfId="0" applyNumberFormat="1" applyFont="1" applyFill="1" applyBorder="1" applyAlignment="1">
      <alignment horizontal="center" vertical="center" wrapText="1"/>
    </xf>
    <xf numFmtId="164" fontId="26" fillId="57" borderId="1" xfId="0" applyNumberFormat="1" applyFont="1" applyFill="1" applyBorder="1" applyAlignment="1">
      <alignment horizontal="center" vertical="center" wrapText="1"/>
    </xf>
    <xf numFmtId="3" fontId="26" fillId="57" borderId="1" xfId="0" applyNumberFormat="1" applyFont="1" applyFill="1" applyBorder="1" applyAlignment="1">
      <alignment horizontal="center" vertical="center" wrapText="1"/>
    </xf>
    <xf numFmtId="164" fontId="26" fillId="57" borderId="1" xfId="5" applyNumberFormat="1" applyFont="1" applyFill="1" applyBorder="1" applyAlignment="1">
      <alignment horizontal="center" vertical="center" wrapText="1"/>
    </xf>
    <xf numFmtId="49" fontId="26" fillId="57" borderId="1" xfId="0" applyNumberFormat="1" applyFont="1" applyFill="1" applyBorder="1" applyAlignment="1">
      <alignment horizontal="center" vertical="center" wrapText="1"/>
    </xf>
    <xf numFmtId="0" fontId="26" fillId="39" borderId="1" xfId="0" applyFont="1" applyFill="1" applyBorder="1" applyAlignment="1">
      <alignment horizontal="center" vertical="center" wrapText="1"/>
    </xf>
    <xf numFmtId="0" fontId="39" fillId="37" borderId="0" xfId="0" applyFont="1" applyFill="1"/>
    <xf numFmtId="0" fontId="39" fillId="0" borderId="0" xfId="0" applyFont="1"/>
    <xf numFmtId="0" fontId="39" fillId="2" borderId="0" xfId="0" applyFont="1" applyFill="1"/>
    <xf numFmtId="0" fontId="40" fillId="43" borderId="0" xfId="0" applyFont="1" applyFill="1"/>
    <xf numFmtId="0" fontId="41" fillId="0" borderId="0" xfId="0" applyFont="1"/>
    <xf numFmtId="0" fontId="39" fillId="44" borderId="0" xfId="0" applyFont="1" applyFill="1"/>
    <xf numFmtId="0" fontId="41" fillId="46" borderId="0" xfId="0" applyFont="1" applyFill="1"/>
    <xf numFmtId="0" fontId="39" fillId="47" borderId="0" xfId="0" applyFont="1" applyFill="1"/>
    <xf numFmtId="0" fontId="39" fillId="48" borderId="0" xfId="0" applyFont="1" applyFill="1"/>
    <xf numFmtId="0" fontId="39" fillId="49" borderId="0" xfId="0" applyFont="1" applyFill="1"/>
    <xf numFmtId="0" fontId="39" fillId="50" borderId="0" xfId="0" applyFont="1" applyFill="1"/>
    <xf numFmtId="0" fontId="39" fillId="51" borderId="0" xfId="0" applyFont="1" applyFill="1"/>
    <xf numFmtId="0" fontId="39" fillId="35" borderId="0" xfId="0" applyFont="1" applyFill="1"/>
    <xf numFmtId="0" fontId="39" fillId="53" borderId="0" xfId="0" applyFont="1" applyFill="1"/>
    <xf numFmtId="0" fontId="0" fillId="39" borderId="0" xfId="0" applyFont="1" applyFill="1" applyAlignment="1">
      <alignment wrapText="1"/>
    </xf>
    <xf numFmtId="0" fontId="25" fillId="0" borderId="0" xfId="0" applyFont="1" applyAlignment="1">
      <alignment wrapText="1"/>
    </xf>
    <xf numFmtId="0" fontId="0" fillId="57" borderId="0" xfId="0" applyFont="1" applyFill="1" applyAlignment="1">
      <alignment wrapText="1"/>
    </xf>
    <xf numFmtId="0" fontId="0" fillId="44" borderId="0" xfId="0" applyFont="1" applyFill="1" applyAlignment="1">
      <alignment wrapText="1"/>
    </xf>
    <xf numFmtId="0" fontId="0" fillId="0" borderId="0" xfId="0" applyFont="1" applyAlignment="1">
      <alignment wrapText="1"/>
    </xf>
    <xf numFmtId="0" fontId="0" fillId="56" borderId="0" xfId="0" applyFont="1" applyFill="1" applyAlignment="1">
      <alignment wrapText="1"/>
    </xf>
    <xf numFmtId="0" fontId="0" fillId="54" borderId="0" xfId="0" applyFont="1" applyFill="1" applyAlignment="1">
      <alignment wrapText="1"/>
    </xf>
    <xf numFmtId="0" fontId="0" fillId="55" borderId="0" xfId="0" applyFont="1" applyFill="1" applyAlignment="1">
      <alignment wrapText="1"/>
    </xf>
    <xf numFmtId="0" fontId="0" fillId="0" borderId="0" xfId="0" applyAlignment="1">
      <alignment wrapText="1"/>
    </xf>
  </cellXfs>
  <cellStyles count="117">
    <cellStyle name="20% - Accent1" xfId="23" builtinId="30" customBuiltin="1"/>
    <cellStyle name="20% - Accent1 2" xfId="54" xr:uid="{00000000-0005-0000-0000-000001000000}"/>
    <cellStyle name="20% - Accent1 3" xfId="70" xr:uid="{00000000-0005-0000-0000-000002000000}"/>
    <cellStyle name="20% - Accent1 4" xfId="84" xr:uid="{00000000-0005-0000-0000-000003000000}"/>
    <cellStyle name="20% - Accent2" xfId="27" builtinId="34" customBuiltin="1"/>
    <cellStyle name="20% - Accent2 2" xfId="56" xr:uid="{00000000-0005-0000-0000-000005000000}"/>
    <cellStyle name="20% - Accent2 3" xfId="72" xr:uid="{00000000-0005-0000-0000-000006000000}"/>
    <cellStyle name="20% - Accent2 4" xfId="86" xr:uid="{00000000-0005-0000-0000-000007000000}"/>
    <cellStyle name="20% - Accent3" xfId="31" builtinId="38" customBuiltin="1"/>
    <cellStyle name="20% - Accent3 2" xfId="58" xr:uid="{00000000-0005-0000-0000-000009000000}"/>
    <cellStyle name="20% - Accent3 3" xfId="74" xr:uid="{00000000-0005-0000-0000-00000A000000}"/>
    <cellStyle name="20% - Accent3 4" xfId="88" xr:uid="{00000000-0005-0000-0000-00000B000000}"/>
    <cellStyle name="20% - Accent4" xfId="35" builtinId="42" customBuiltin="1"/>
    <cellStyle name="20% - Accent4 2" xfId="60" xr:uid="{00000000-0005-0000-0000-00000D000000}"/>
    <cellStyle name="20% - Accent4 3" xfId="76" xr:uid="{00000000-0005-0000-0000-00000E000000}"/>
    <cellStyle name="20% - Accent4 4" xfId="90" xr:uid="{00000000-0005-0000-0000-00000F000000}"/>
    <cellStyle name="20% - Accent5" xfId="39" builtinId="46" customBuiltin="1"/>
    <cellStyle name="20% - Accent5 2" xfId="62" xr:uid="{00000000-0005-0000-0000-000011000000}"/>
    <cellStyle name="20% - Accent5 3" xfId="78" xr:uid="{00000000-0005-0000-0000-000012000000}"/>
    <cellStyle name="20% - Accent5 4" xfId="92" xr:uid="{00000000-0005-0000-0000-000013000000}"/>
    <cellStyle name="20% - Accent6" xfId="43" builtinId="50" customBuiltin="1"/>
    <cellStyle name="20% - Accent6 2" xfId="64" xr:uid="{00000000-0005-0000-0000-000015000000}"/>
    <cellStyle name="20% - Accent6 3" xfId="80" xr:uid="{00000000-0005-0000-0000-000016000000}"/>
    <cellStyle name="20% - Accent6 4" xfId="94" xr:uid="{00000000-0005-0000-0000-000017000000}"/>
    <cellStyle name="40% - Accent1" xfId="24" builtinId="31" customBuiltin="1"/>
    <cellStyle name="40% - Accent1 2" xfId="55" xr:uid="{00000000-0005-0000-0000-000019000000}"/>
    <cellStyle name="40% - Accent1 3" xfId="71" xr:uid="{00000000-0005-0000-0000-00001A000000}"/>
    <cellStyle name="40% - Accent1 4" xfId="85" xr:uid="{00000000-0005-0000-0000-00001B000000}"/>
    <cellStyle name="40% - Accent2" xfId="28" builtinId="35" customBuiltin="1"/>
    <cellStyle name="40% - Accent2 2" xfId="57" xr:uid="{00000000-0005-0000-0000-00001D000000}"/>
    <cellStyle name="40% - Accent2 3" xfId="73" xr:uid="{00000000-0005-0000-0000-00001E000000}"/>
    <cellStyle name="40% - Accent2 4" xfId="87" xr:uid="{00000000-0005-0000-0000-00001F000000}"/>
    <cellStyle name="40% - Accent3" xfId="32" builtinId="39" customBuiltin="1"/>
    <cellStyle name="40% - Accent3 2" xfId="59" xr:uid="{00000000-0005-0000-0000-000021000000}"/>
    <cellStyle name="40% - Accent3 3" xfId="75" xr:uid="{00000000-0005-0000-0000-000022000000}"/>
    <cellStyle name="40% - Accent3 4" xfId="89" xr:uid="{00000000-0005-0000-0000-000023000000}"/>
    <cellStyle name="40% - Accent4" xfId="36" builtinId="43" customBuiltin="1"/>
    <cellStyle name="40% - Accent4 2" xfId="61" xr:uid="{00000000-0005-0000-0000-000025000000}"/>
    <cellStyle name="40% - Accent4 3" xfId="77" xr:uid="{00000000-0005-0000-0000-000026000000}"/>
    <cellStyle name="40% - Accent4 4" xfId="91" xr:uid="{00000000-0005-0000-0000-000027000000}"/>
    <cellStyle name="40% - Accent5" xfId="40" builtinId="47" customBuiltin="1"/>
    <cellStyle name="40% - Accent5 2" xfId="63" xr:uid="{00000000-0005-0000-0000-000029000000}"/>
    <cellStyle name="40% - Accent5 3" xfId="79" xr:uid="{00000000-0005-0000-0000-00002A000000}"/>
    <cellStyle name="40% - Accent5 4" xfId="93" xr:uid="{00000000-0005-0000-0000-00002B000000}"/>
    <cellStyle name="40% - Accent6" xfId="44" builtinId="51" customBuiltin="1"/>
    <cellStyle name="40% - Accent6 2" xfId="65" xr:uid="{00000000-0005-0000-0000-00002D000000}"/>
    <cellStyle name="40% - Accent6 3" xfId="81" xr:uid="{00000000-0005-0000-0000-00002E000000}"/>
    <cellStyle name="40% - Accent6 4" xfId="95" xr:uid="{00000000-0005-0000-0000-00002F000000}"/>
    <cellStyle name="60% - Accent1" xfId="25" builtinId="32" customBuiltin="1"/>
    <cellStyle name="60% - Accent2" xfId="29" builtinId="36" customBuiltin="1"/>
    <cellStyle name="60% - Accent3" xfId="33" builtinId="40" customBuiltin="1"/>
    <cellStyle name="60% - Accent4" xfId="37" builtinId="44" customBuiltin="1"/>
    <cellStyle name="60% - Accent5" xfId="41" builtinId="48" customBuiltin="1"/>
    <cellStyle name="60% - Accent6" xfId="45" builtinId="52" customBuiltin="1"/>
    <cellStyle name="Accent1" xfId="22" builtinId="29" customBuiltin="1"/>
    <cellStyle name="Accent2" xfId="26" builtinId="33" customBuiltin="1"/>
    <cellStyle name="Accent3" xfId="30" builtinId="37" customBuiltin="1"/>
    <cellStyle name="Accent4" xfId="34" builtinId="41" customBuiltin="1"/>
    <cellStyle name="Accent5" xfId="38" builtinId="45" customBuiltin="1"/>
    <cellStyle name="Accent6" xfId="42" builtinId="49" customBuiltin="1"/>
    <cellStyle name="Bad" xfId="12" builtinId="27" customBuiltin="1"/>
    <cellStyle name="Calculation" xfId="16" builtinId="22" customBuiltin="1"/>
    <cellStyle name="Check Cell" xfId="18" builtinId="23" customBuiltin="1"/>
    <cellStyle name="Comma" xfId="1" builtinId="3"/>
    <cellStyle name="Currency" xfId="5" builtinId="4"/>
    <cellStyle name="Currency 2" xfId="113" xr:uid="{89EC6534-57AB-4F2A-96EA-7D038A02C4C6}"/>
    <cellStyle name="Explanatory Text" xfId="20" builtinId="53" customBuiltin="1"/>
    <cellStyle name="Good" xfId="11" builtinId="26" customBuiltin="1"/>
    <cellStyle name="Heading 1" xfId="7" builtinId="16" customBuiltin="1"/>
    <cellStyle name="Heading 2" xfId="8" builtinId="17" customBuiltin="1"/>
    <cellStyle name="Heading 3" xfId="9" builtinId="18" customBuiltin="1"/>
    <cellStyle name="Heading 4" xfId="10" builtinId="19" customBuiltin="1"/>
    <cellStyle name="Input" xfId="14" builtinId="20" customBuiltin="1"/>
    <cellStyle name="Linked Cell" xfId="17" builtinId="24" customBuiltin="1"/>
    <cellStyle name="Neutral" xfId="13" builtinId="28" customBuiltin="1"/>
    <cellStyle name="Normal" xfId="0" builtinId="0"/>
    <cellStyle name="Normal 15" xfId="100" xr:uid="{086624BC-4F57-46CB-B072-0A7CD69F023E}"/>
    <cellStyle name="Normal 16" xfId="99" xr:uid="{3F617EA5-D55A-4FF3-8290-CC4E65CB233F}"/>
    <cellStyle name="Normal 2" xfId="3" xr:uid="{00000000-0005-0000-0000-00004B000000}"/>
    <cellStyle name="Normal 2 2" xfId="48" xr:uid="{00000000-0005-0000-0000-00004C000000}"/>
    <cellStyle name="Normal 2 3" xfId="98" xr:uid="{ED578F0C-5301-4CBD-9FB0-EEDF2B58526B}"/>
    <cellStyle name="Normal 3" xfId="4" xr:uid="{00000000-0005-0000-0000-00004D000000}"/>
    <cellStyle name="Normal 3 2" xfId="66" xr:uid="{00000000-0005-0000-0000-00004E000000}"/>
    <cellStyle name="Normal 3 3" xfId="49" xr:uid="{00000000-0005-0000-0000-00004F000000}"/>
    <cellStyle name="Normal 3 4" xfId="97" xr:uid="{00000000-0005-0000-0000-000050000000}"/>
    <cellStyle name="Normal 38" xfId="115" xr:uid="{83447684-2184-45F4-908E-82E97786AFDB}"/>
    <cellStyle name="Normal 4" xfId="6" xr:uid="{00000000-0005-0000-0000-000051000000}"/>
    <cellStyle name="Normal 4 2" xfId="51" xr:uid="{00000000-0005-0000-0000-000052000000}"/>
    <cellStyle name="Normal 40" xfId="114" xr:uid="{7F8CF1C7-C065-474B-82AE-3FD19C713CB6}"/>
    <cellStyle name="Normal 47" xfId="112" xr:uid="{20DA9A36-865F-420A-8B8F-EB328BDBE28A}"/>
    <cellStyle name="Normal 5" xfId="52" xr:uid="{00000000-0005-0000-0000-000053000000}"/>
    <cellStyle name="Normal 51" xfId="109" xr:uid="{E0341391-1D81-4DAE-A3FA-1DEEB49228F5}"/>
    <cellStyle name="Normal 52" xfId="104" xr:uid="{1A4928E6-561F-4ACC-B935-8A325688AD7A}"/>
    <cellStyle name="Normal 54" xfId="105" xr:uid="{E3FF34C8-FB66-4CA1-9D35-ED4BF13B66D6}"/>
    <cellStyle name="Normal 56" xfId="101" xr:uid="{E388B2E5-1535-45CC-9862-FF20364402E3}"/>
    <cellStyle name="Normal 58" xfId="103" xr:uid="{86A89FF2-2A3E-4C60-AC2B-692C1627DAC1}"/>
    <cellStyle name="Normal 6" xfId="68" xr:uid="{00000000-0005-0000-0000-000054000000}"/>
    <cellStyle name="Normal 60" xfId="102" xr:uid="{DDFC846B-8CCA-4C82-B837-32EEBB490DE3}"/>
    <cellStyle name="Normal 61" xfId="106" xr:uid="{76EDC1EF-0D3F-4154-ACBE-ADA1366CF207}"/>
    <cellStyle name="Normal 65" xfId="107" xr:uid="{E1269C28-A1FD-4B50-BE67-6C6494D3F020}"/>
    <cellStyle name="Normal 7" xfId="82" xr:uid="{00000000-0005-0000-0000-000055000000}"/>
    <cellStyle name="Normal 70" xfId="111" xr:uid="{A6708CBF-A3A1-408B-A438-356EE02A7058}"/>
    <cellStyle name="Normal 78" xfId="110" xr:uid="{8659285C-8013-4AA5-A5F1-EB31B01FB5BE}"/>
    <cellStyle name="Normal 8" xfId="47" xr:uid="{00000000-0005-0000-0000-000056000000}"/>
    <cellStyle name="Normal 83" xfId="108" xr:uid="{2ED41830-72C6-4AD8-80D9-B8FEEFF05535}"/>
    <cellStyle name="Normal 84" xfId="116" xr:uid="{FC98A7B9-D0A0-4757-AE3D-CB268C0281B4}"/>
    <cellStyle name="Normal 9" xfId="96" xr:uid="{00000000-0005-0000-0000-000057000000}"/>
    <cellStyle name="Note 2" xfId="50" xr:uid="{00000000-0005-0000-0000-000058000000}"/>
    <cellStyle name="Note 2 2" xfId="67" xr:uid="{00000000-0005-0000-0000-000059000000}"/>
    <cellStyle name="Note 3" xfId="53" xr:uid="{00000000-0005-0000-0000-00005A000000}"/>
    <cellStyle name="Note 4" xfId="69" xr:uid="{00000000-0005-0000-0000-00005B000000}"/>
    <cellStyle name="Note 5" xfId="83" xr:uid="{00000000-0005-0000-0000-00005C000000}"/>
    <cellStyle name="Output" xfId="15" builtinId="21" customBuiltin="1"/>
    <cellStyle name="Percent" xfId="2" builtinId="5"/>
    <cellStyle name="Title 2" xfId="46" xr:uid="{00000000-0005-0000-0000-00005F000000}"/>
    <cellStyle name="Total" xfId="21" builtinId="25" customBuiltin="1"/>
    <cellStyle name="Warning Text" xfId="19" builtinId="11" customBuiltin="1"/>
  </cellStyles>
  <dxfs count="46">
    <dxf>
      <numFmt numFmtId="3" formatCode="#,##0"/>
    </dxf>
    <dxf>
      <numFmt numFmtId="3" formatCode="#,##0"/>
    </dxf>
    <dxf>
      <numFmt numFmtId="3" formatCode="#,##0"/>
    </dxf>
    <dxf>
      <numFmt numFmtId="3" formatCode="#,##0"/>
    </dxf>
    <dxf>
      <numFmt numFmtId="3" formatCode="#,##0"/>
    </dxf>
    <dxf>
      <numFmt numFmtId="3" formatCode="#,##0"/>
    </dxf>
    <dxf>
      <numFmt numFmtId="164" formatCode="&quot;$&quot;#,##0"/>
    </dxf>
    <dxf>
      <numFmt numFmtId="3" formatCode="#,##0"/>
    </dxf>
    <dxf>
      <numFmt numFmtId="164" formatCode="&quot;$&quot;#,##0"/>
    </dxf>
    <dxf>
      <numFmt numFmtId="164" formatCode="&quot;$&quot;#,##0"/>
    </dxf>
    <dxf>
      <numFmt numFmtId="164" formatCode="&quot;$&quot;#,##0"/>
    </dxf>
    <dxf>
      <fill>
        <patternFill>
          <bgColor theme="7" tint="0.59999389629810485"/>
        </patternFill>
      </fill>
    </dxf>
    <dxf>
      <fill>
        <patternFill>
          <bgColor theme="7" tint="0.59999389629810485"/>
        </patternFill>
      </fill>
    </dxf>
    <dxf>
      <fill>
        <patternFill>
          <bgColor theme="7" tint="0.59999389629810485"/>
        </patternFill>
      </fill>
    </dxf>
    <dxf>
      <fill>
        <patternFill>
          <bgColor theme="7" tint="0.59999389629810485"/>
        </patternFill>
      </fill>
    </dxf>
    <dxf>
      <alignment wrapText="1"/>
    </dxf>
    <dxf>
      <font>
        <sz val="10"/>
      </font>
    </dxf>
    <dxf>
      <font>
        <sz val="10"/>
      </font>
    </dxf>
    <dxf>
      <font>
        <sz val="10"/>
      </font>
    </dxf>
    <dxf>
      <font>
        <sz val="10"/>
      </font>
    </dxf>
    <dxf>
      <font>
        <sz val="10"/>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alignment wrapText="1"/>
    </dxf>
    <dxf>
      <fill>
        <patternFill patternType="solid">
          <bgColor theme="7" tint="0.39997558519241921"/>
        </patternFill>
      </fill>
    </dxf>
    <dxf>
      <fill>
        <patternFill patternType="solid">
          <bgColor theme="7" tint="0.39997558519241921"/>
        </patternFill>
      </fill>
    </dxf>
    <dxf>
      <fill>
        <patternFill patternType="solid">
          <bgColor theme="7" tint="0.39997558519241921"/>
        </patternFill>
      </fill>
    </dxf>
    <dxf>
      <fill>
        <patternFill patternType="solid">
          <bgColor theme="7" tint="0.39997558519241921"/>
        </patternFill>
      </fill>
    </dxf>
    <dxf>
      <alignment horizontal="center" readingOrder="0"/>
    </dxf>
    <dxf>
      <numFmt numFmtId="3"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i val="0"/>
        <color rgb="FF9C0006"/>
      </font>
    </dxf>
    <dxf>
      <font>
        <color rgb="FF9C0006"/>
      </font>
    </dxf>
    <dxf>
      <font>
        <color rgb="FF9C0006"/>
      </font>
    </dxf>
    <dxf>
      <font>
        <color rgb="FF9C0006"/>
      </font>
    </dxf>
    <dxf>
      <font>
        <color rgb="FF9C0006"/>
      </font>
    </dxf>
    <dxf>
      <font>
        <color rgb="FF9C0006"/>
      </font>
    </dxf>
    <dxf>
      <font>
        <b/>
        <i val="0"/>
        <color rgb="FFFF0000"/>
      </font>
    </dxf>
    <dxf>
      <font>
        <b/>
        <i val="0"/>
        <color rgb="FFFF0000"/>
      </font>
    </dxf>
  </dxfs>
  <tableStyles count="0" defaultTableStyle="TableStyleMedium2" defaultPivotStyle="PivotStyleLight16"/>
  <colors>
    <mruColors>
      <color rgb="FFFFCCFF"/>
      <color rgb="FFCCCCFF"/>
      <color rgb="FFFF00FF"/>
      <color rgb="FF000000"/>
      <color rgb="FFFF7C80"/>
      <color rgb="FFADE2ED"/>
      <color rgb="FF9DC3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pivotCacheDefinition" Target="pivotCache/pivotCacheDefinition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2.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pivotCacheDefinition" Target="pivotCache/pivotCacheDefinition4.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lgn="ctr">
              <a:defRPr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r>
              <a:rPr lang="en-US"/>
              <a:t>IRL</a:t>
            </a:r>
            <a:r>
              <a:rPr lang="en-US" baseline="0"/>
              <a:t> - Northern Indian River Lagoon </a:t>
            </a:r>
            <a:r>
              <a:rPr lang="en-US"/>
              <a:t>Zone A TN Project Reductions</a:t>
            </a:r>
          </a:p>
        </c:rich>
      </c:tx>
      <c:layout>
        <c:manualLayout>
          <c:xMode val="edge"/>
          <c:yMode val="edge"/>
          <c:x val="0.14057291666666666"/>
          <c:y val="6.3836477987421383E-2"/>
        </c:manualLayout>
      </c:layout>
      <c:overlay val="0"/>
      <c:spPr>
        <a:noFill/>
        <a:ln>
          <a:noFill/>
        </a:ln>
        <a:effectLst/>
      </c:spPr>
      <c:txPr>
        <a:bodyPr rot="0" spcFirstLastPara="1" vertOverflow="ellipsis" vert="horz" wrap="square" anchor="ctr" anchorCtr="1"/>
        <a:lstStyle/>
        <a:p>
          <a:pPr algn="ctr">
            <a:defRPr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autoTitleDeleted val="0"/>
    <c:plotArea>
      <c:layout>
        <c:manualLayout>
          <c:layoutTarget val="inner"/>
          <c:xMode val="edge"/>
          <c:yMode val="edge"/>
          <c:x val="0.1074753937007874"/>
          <c:y val="0.18120016837517955"/>
          <c:w val="0.86995516185476818"/>
          <c:h val="0.74559191303917194"/>
        </c:manualLayout>
      </c:layout>
      <c:lineChart>
        <c:grouping val="standard"/>
        <c:varyColors val="0"/>
        <c:ser>
          <c:idx val="2"/>
          <c:order val="0"/>
          <c:tx>
            <c:strRef>
              <c:f>'TN Progress Charts'!$F$2</c:f>
              <c:strCache>
                <c:ptCount val="1"/>
                <c:pt idx="0">
                  <c:v>Cumulative TN Reductions (lbs/yr)</c:v>
                </c:pt>
              </c:strCache>
            </c:strRef>
          </c:tx>
          <c:spPr>
            <a:ln w="28575" cap="rnd">
              <a:solidFill>
                <a:sysClr val="windowText" lastClr="000000"/>
              </a:solidFill>
              <a:round/>
            </a:ln>
            <a:effectLst/>
          </c:spPr>
          <c:marker>
            <c:symbol val="circle"/>
            <c:size val="5"/>
            <c:spPr>
              <a:solidFill>
                <a:sysClr val="windowText" lastClr="000000"/>
              </a:solidFill>
              <a:ln w="9525">
                <a:solidFill>
                  <a:sysClr val="windowText" lastClr="000000"/>
                </a:solidFill>
              </a:ln>
              <a:effectLst/>
            </c:spPr>
          </c:marker>
          <c:cat>
            <c:numRef>
              <c:extLst>
                <c:ext xmlns:c15="http://schemas.microsoft.com/office/drawing/2012/chart" uri="{02D57815-91ED-43cb-92C2-25804820EDAC}">
                  <c15:fullRef>
                    <c15:sqref>'TN Progress Charts'!$E$3:$E$24</c15:sqref>
                  </c15:fullRef>
                </c:ext>
              </c:extLst>
              <c:f>'TN Progress Charts'!$E$4:$E$24</c:f>
              <c:numCache>
                <c:formatCode>General</c:formatCode>
                <c:ptCount val="21"/>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pt idx="14">
                  <c:v>2027</c:v>
                </c:pt>
                <c:pt idx="15">
                  <c:v>2028</c:v>
                </c:pt>
                <c:pt idx="16">
                  <c:v>2029</c:v>
                </c:pt>
                <c:pt idx="17">
                  <c:v>2030</c:v>
                </c:pt>
                <c:pt idx="18">
                  <c:v>2031</c:v>
                </c:pt>
                <c:pt idx="19">
                  <c:v>2032</c:v>
                </c:pt>
                <c:pt idx="20">
                  <c:v>2033</c:v>
                </c:pt>
              </c:numCache>
            </c:numRef>
          </c:cat>
          <c:val>
            <c:numRef>
              <c:extLst>
                <c:ext xmlns:c15="http://schemas.microsoft.com/office/drawing/2012/chart" uri="{02D57815-91ED-43cb-92C2-25804820EDAC}">
                  <c15:fullRef>
                    <c15:sqref>'TN Progress Charts'!$F$3:$F$24</c15:sqref>
                  </c15:fullRef>
                </c:ext>
              </c:extLst>
              <c:f>'TN Progress Charts'!$F$4:$F$24</c:f>
              <c:numCache>
                <c:formatCode>#,##0</c:formatCode>
                <c:ptCount val="21"/>
                <c:pt idx="0">
                  <c:v>21477</c:v>
                </c:pt>
                <c:pt idx="1">
                  <c:v>28783</c:v>
                </c:pt>
                <c:pt idx="2">
                  <c:v>29502.41</c:v>
                </c:pt>
                <c:pt idx="3">
                  <c:v>31061.91</c:v>
                </c:pt>
                <c:pt idx="4">
                  <c:v>31061.91</c:v>
                </c:pt>
                <c:pt idx="5">
                  <c:v>32796.910000000003</c:v>
                </c:pt>
                <c:pt idx="6">
                  <c:v>32796.910000000003</c:v>
                </c:pt>
              </c:numCache>
            </c:numRef>
          </c:val>
          <c:smooth val="0"/>
          <c:extLst>
            <c:ext xmlns:c16="http://schemas.microsoft.com/office/drawing/2014/chart" uri="{C3380CC4-5D6E-409C-BE32-E72D297353CC}">
              <c16:uniqueId val="{00000008-7758-4670-96DB-20F48322D525}"/>
            </c:ext>
          </c:extLst>
        </c:ser>
        <c:ser>
          <c:idx val="3"/>
          <c:order val="1"/>
          <c:tx>
            <c:strRef>
              <c:f>'TN Progress Charts'!$G$2</c:f>
              <c:strCache>
                <c:ptCount val="1"/>
                <c:pt idx="0">
                  <c:v>5-Year Milestone</c:v>
                </c:pt>
              </c:strCache>
            </c:strRef>
          </c:tx>
          <c:spPr>
            <a:ln w="28575" cap="rnd">
              <a:solidFill>
                <a:schemeClr val="accent4"/>
              </a:solidFill>
              <a:round/>
            </a:ln>
            <a:effectLst/>
          </c:spPr>
          <c:marker>
            <c:symbol val="circle"/>
            <c:size val="5"/>
            <c:spPr>
              <a:solidFill>
                <a:sysClr val="windowText" lastClr="000000"/>
              </a:solidFill>
              <a:ln w="9525">
                <a:solidFill>
                  <a:srgbClr val="000000"/>
                </a:solidFill>
              </a:ln>
              <a:effectLst/>
            </c:spPr>
          </c:marker>
          <c:dLbls>
            <c:dLbl>
              <c:idx val="5"/>
              <c:layout>
                <c:manualLayout>
                  <c:x val="-7.6388888888888895E-2"/>
                  <c:y val="-5.5555555555555552E-2"/>
                </c:manualLayout>
              </c:layout>
              <c:tx>
                <c:rich>
                  <a:bodyPr rot="0" spcFirstLastPara="1" vertOverflow="overflow" horzOverflow="overflow" vert="horz" wrap="square" lIns="38100" tIns="19050" rIns="38100" bIns="19050" anchor="ctr" anchorCtr="1">
                    <a:spAutoFit/>
                  </a:bodyPr>
                  <a:lstStyle/>
                  <a:p>
                    <a:pPr>
                      <a:defRPr sz="11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sz="1100"/>
                      <a:t>5-Year Milestone</a:t>
                    </a:r>
                  </a:p>
                  <a:p>
                    <a:pPr>
                      <a:defRPr sz="1100">
                        <a:solidFill>
                          <a:sysClr val="windowText" lastClr="000000"/>
                        </a:solidFill>
                        <a:latin typeface="Times New Roman" panose="02020603050405020304" pitchFamily="18" charset="0"/>
                        <a:cs typeface="Times New Roman" panose="02020603050405020304" pitchFamily="18" charset="0"/>
                      </a:defRPr>
                    </a:pPr>
                    <a:fld id="{D3C84EEC-A829-47E4-A1B8-96E9BF466315}" type="VALUE">
                      <a:rPr lang="en-US" sz="1100"/>
                      <a:pPr>
                        <a:defRPr sz="1100">
                          <a:solidFill>
                            <a:sysClr val="windowText" lastClr="000000"/>
                          </a:solidFill>
                          <a:latin typeface="Times New Roman" panose="02020603050405020304" pitchFamily="18" charset="0"/>
                          <a:cs typeface="Times New Roman" panose="02020603050405020304" pitchFamily="18" charset="0"/>
                        </a:defRPr>
                      </a:pPr>
                      <a:t>[VALUE]</a:t>
                    </a:fld>
                    <a:endParaRPr lang="en-US"/>
                  </a:p>
                </c:rich>
              </c:tx>
              <c:spPr>
                <a:noFill/>
                <a:ln>
                  <a:noFill/>
                </a:ln>
                <a:effectLst/>
              </c:spPr>
              <c:txPr>
                <a:bodyPr rot="0" spcFirstLastPara="1" vertOverflow="overflow" horzOverflow="overflow" vert="horz" wrap="square" lIns="38100" tIns="19050" rIns="38100" bIns="19050" anchor="ctr" anchorCtr="1">
                  <a:spAutoFit/>
                </a:bodyPr>
                <a:lstStyle/>
                <a:p>
                  <a:pPr>
                    <a:defRPr sz="11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9-7758-4670-96DB-20F48322D525}"/>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'TN Progress Charts'!$E$3:$E$24</c15:sqref>
                  </c15:fullRef>
                </c:ext>
              </c:extLst>
              <c:f>'TN Progress Charts'!$E$4:$E$24</c:f>
              <c:numCache>
                <c:formatCode>General</c:formatCode>
                <c:ptCount val="21"/>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pt idx="14">
                  <c:v>2027</c:v>
                </c:pt>
                <c:pt idx="15">
                  <c:v>2028</c:v>
                </c:pt>
                <c:pt idx="16">
                  <c:v>2029</c:v>
                </c:pt>
                <c:pt idx="17">
                  <c:v>2030</c:v>
                </c:pt>
                <c:pt idx="18">
                  <c:v>2031</c:v>
                </c:pt>
                <c:pt idx="19">
                  <c:v>2032</c:v>
                </c:pt>
                <c:pt idx="20">
                  <c:v>2033</c:v>
                </c:pt>
              </c:numCache>
            </c:numRef>
          </c:cat>
          <c:val>
            <c:numRef>
              <c:extLst>
                <c:ext xmlns:c15="http://schemas.microsoft.com/office/drawing/2012/chart" uri="{02D57815-91ED-43cb-92C2-25804820EDAC}">
                  <c15:fullRef>
                    <c15:sqref>'TN Progress Charts'!$G$3:$G$24</c15:sqref>
                  </c15:fullRef>
                </c:ext>
              </c:extLst>
              <c:f>'TN Progress Charts'!$G$4:$G$24</c:f>
              <c:numCache>
                <c:formatCode>#,##0</c:formatCode>
                <c:ptCount val="21"/>
              </c:numCache>
            </c:numRef>
          </c:val>
          <c:smooth val="0"/>
          <c:extLst>
            <c:ext xmlns:c16="http://schemas.microsoft.com/office/drawing/2014/chart" uri="{C3380CC4-5D6E-409C-BE32-E72D297353CC}">
              <c16:uniqueId val="{00000009-7758-4670-96DB-20F48322D525}"/>
            </c:ext>
          </c:extLst>
        </c:ser>
        <c:ser>
          <c:idx val="0"/>
          <c:order val="2"/>
          <c:tx>
            <c:strRef>
              <c:f>'TN Progress Charts'!$H$2</c:f>
              <c:strCache>
                <c:ptCount val="1"/>
                <c:pt idx="0">
                  <c:v>10-Year Milestone</c:v>
                </c:pt>
              </c:strCache>
            </c:strRef>
          </c:tx>
          <c:spPr>
            <a:ln w="28575" cap="rnd">
              <a:solidFill>
                <a:schemeClr val="accent1"/>
              </a:solidFill>
              <a:round/>
            </a:ln>
            <a:effectLst/>
          </c:spPr>
          <c:marker>
            <c:symbol val="circle"/>
            <c:size val="5"/>
            <c:spPr>
              <a:solidFill>
                <a:sysClr val="windowText" lastClr="000000"/>
              </a:solidFill>
              <a:ln w="9525">
                <a:solidFill>
                  <a:sysClr val="windowText" lastClr="000000"/>
                </a:solidFill>
              </a:ln>
              <a:effectLst/>
            </c:spPr>
          </c:marker>
          <c:dLbls>
            <c:dLbl>
              <c:idx val="10"/>
              <c:layout>
                <c:manualLayout>
                  <c:x val="-8.6605971128608919E-2"/>
                  <c:y val="-5.6541557305336831E-2"/>
                </c:manualLayout>
              </c:layout>
              <c:tx>
                <c:rich>
                  <a:bodyPr/>
                  <a:lstStyle/>
                  <a:p>
                    <a:r>
                      <a:rPr lang="en-US"/>
                      <a:t>10-Year Milestone</a:t>
                    </a:r>
                  </a:p>
                  <a:p>
                    <a:fld id="{3E0D2E29-507C-4122-9F13-D16DCA2706B3}" type="VALUE">
                      <a:rPr lang="en-US"/>
                      <a:pPr/>
                      <a:t>[VALUE]</a:t>
                    </a:fld>
                    <a:endParaRPr lang="en-US"/>
                  </a:p>
                </c:rich>
              </c:tx>
              <c:dLblPos val="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A-7758-4670-96DB-20F48322D525}"/>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'TN Progress Charts'!$E$3:$E$24</c15:sqref>
                  </c15:fullRef>
                </c:ext>
              </c:extLst>
              <c:f>'TN Progress Charts'!$E$4:$E$24</c:f>
              <c:numCache>
                <c:formatCode>General</c:formatCode>
                <c:ptCount val="21"/>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pt idx="14">
                  <c:v>2027</c:v>
                </c:pt>
                <c:pt idx="15">
                  <c:v>2028</c:v>
                </c:pt>
                <c:pt idx="16">
                  <c:v>2029</c:v>
                </c:pt>
                <c:pt idx="17">
                  <c:v>2030</c:v>
                </c:pt>
                <c:pt idx="18">
                  <c:v>2031</c:v>
                </c:pt>
                <c:pt idx="19">
                  <c:v>2032</c:v>
                </c:pt>
                <c:pt idx="20">
                  <c:v>2033</c:v>
                </c:pt>
              </c:numCache>
            </c:numRef>
          </c:cat>
          <c:val>
            <c:numRef>
              <c:extLst>
                <c:ext xmlns:c15="http://schemas.microsoft.com/office/drawing/2012/chart" uri="{02D57815-91ED-43cb-92C2-25804820EDAC}">
                  <c15:fullRef>
                    <c15:sqref>'TN Progress Charts'!$H$3:$H$24</c15:sqref>
                  </c15:fullRef>
                </c:ext>
              </c:extLst>
              <c:f>'TN Progress Charts'!$H$4:$H$24</c:f>
              <c:numCache>
                <c:formatCode>#,##0</c:formatCode>
                <c:ptCount val="21"/>
              </c:numCache>
            </c:numRef>
          </c:val>
          <c:smooth val="0"/>
          <c:extLst>
            <c:ext xmlns:c16="http://schemas.microsoft.com/office/drawing/2014/chart" uri="{C3380CC4-5D6E-409C-BE32-E72D297353CC}">
              <c16:uniqueId val="{0000000A-7758-4670-96DB-20F48322D525}"/>
            </c:ext>
          </c:extLst>
        </c:ser>
        <c:ser>
          <c:idx val="4"/>
          <c:order val="3"/>
          <c:tx>
            <c:strRef>
              <c:f>'TN Progress Charts'!$I$2</c:f>
              <c:strCache>
                <c:ptCount val="1"/>
                <c:pt idx="0">
                  <c:v>Total Reductions Required</c:v>
                </c:pt>
              </c:strCache>
            </c:strRef>
          </c:tx>
          <c:spPr>
            <a:ln w="28575" cap="rnd">
              <a:solidFill>
                <a:sysClr val="windowText" lastClr="000000"/>
              </a:solidFill>
              <a:prstDash val="sysDash"/>
              <a:round/>
            </a:ln>
            <a:effectLst/>
          </c:spPr>
          <c:marker>
            <c:symbol val="none"/>
          </c:marker>
          <c:dLbls>
            <c:dLbl>
              <c:idx val="15"/>
              <c:layout>
                <c:manualLayout>
                  <c:x val="0"/>
                  <c:y val="-6.4874890638670163E-2"/>
                </c:manualLayout>
              </c:layout>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7758-4670-96DB-20F48322D525}"/>
                </c:ext>
              </c:extLst>
            </c:dLbl>
            <c:spPr>
              <a:noFill/>
              <a:ln>
                <a:noFill/>
              </a:ln>
              <a:effectLst/>
            </c:spPr>
            <c:txPr>
              <a:bodyPr rot="0" spcFirstLastPara="1" vertOverflow="ellipsis" vert="horz" wrap="square" lIns="38100" tIns="19050" rIns="38100" bIns="19050" anchor="ctr" anchorCtr="0">
                <a:spAutoFit/>
              </a:bodyPr>
              <a:lstStyle/>
              <a:p>
                <a:pPr algn="ctr">
                  <a:defRPr lang="en-US" sz="11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'TN Progress Charts'!$E$3:$E$24</c15:sqref>
                  </c15:fullRef>
                </c:ext>
              </c:extLst>
              <c:f>'TN Progress Charts'!$E$4:$E$24</c:f>
              <c:numCache>
                <c:formatCode>General</c:formatCode>
                <c:ptCount val="21"/>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pt idx="14">
                  <c:v>2027</c:v>
                </c:pt>
                <c:pt idx="15">
                  <c:v>2028</c:v>
                </c:pt>
                <c:pt idx="16">
                  <c:v>2029</c:v>
                </c:pt>
                <c:pt idx="17">
                  <c:v>2030</c:v>
                </c:pt>
                <c:pt idx="18">
                  <c:v>2031</c:v>
                </c:pt>
                <c:pt idx="19">
                  <c:v>2032</c:v>
                </c:pt>
                <c:pt idx="20">
                  <c:v>2033</c:v>
                </c:pt>
              </c:numCache>
            </c:numRef>
          </c:cat>
          <c:val>
            <c:numRef>
              <c:extLst>
                <c:ext xmlns:c15="http://schemas.microsoft.com/office/drawing/2012/chart" uri="{02D57815-91ED-43cb-92C2-25804820EDAC}">
                  <c15:fullRef>
                    <c15:sqref>'TN Progress Charts'!$I$3:$I$24</c15:sqref>
                  </c15:fullRef>
                </c:ext>
              </c:extLst>
              <c:f>'TN Progress Charts'!$I$4:$I$24</c:f>
              <c:numCache>
                <c:formatCode>#,##0</c:formatCode>
                <c:ptCount val="21"/>
                <c:pt idx="0">
                  <c:v>98681</c:v>
                </c:pt>
                <c:pt idx="1">
                  <c:v>98681</c:v>
                </c:pt>
                <c:pt idx="2">
                  <c:v>98681</c:v>
                </c:pt>
                <c:pt idx="3">
                  <c:v>98681</c:v>
                </c:pt>
                <c:pt idx="4">
                  <c:v>98681</c:v>
                </c:pt>
                <c:pt idx="5">
                  <c:v>98681</c:v>
                </c:pt>
                <c:pt idx="6">
                  <c:v>98681</c:v>
                </c:pt>
                <c:pt idx="7">
                  <c:v>98681</c:v>
                </c:pt>
                <c:pt idx="8">
                  <c:v>98681</c:v>
                </c:pt>
                <c:pt idx="9">
                  <c:v>98681</c:v>
                </c:pt>
                <c:pt idx="10">
                  <c:v>98681</c:v>
                </c:pt>
                <c:pt idx="11">
                  <c:v>98681</c:v>
                </c:pt>
                <c:pt idx="12">
                  <c:v>98681</c:v>
                </c:pt>
                <c:pt idx="13">
                  <c:v>98681</c:v>
                </c:pt>
                <c:pt idx="14">
                  <c:v>98681</c:v>
                </c:pt>
                <c:pt idx="15">
                  <c:v>98681</c:v>
                </c:pt>
                <c:pt idx="16">
                  <c:v>98681</c:v>
                </c:pt>
                <c:pt idx="17">
                  <c:v>98681</c:v>
                </c:pt>
                <c:pt idx="18">
                  <c:v>98681</c:v>
                </c:pt>
                <c:pt idx="19">
                  <c:v>98681</c:v>
                </c:pt>
                <c:pt idx="20">
                  <c:v>98681</c:v>
                </c:pt>
              </c:numCache>
            </c:numRef>
          </c:val>
          <c:smooth val="0"/>
          <c:extLst>
            <c:ext xmlns:c16="http://schemas.microsoft.com/office/drawing/2014/chart" uri="{C3380CC4-5D6E-409C-BE32-E72D297353CC}">
              <c16:uniqueId val="{0000000B-7758-4670-96DB-20F48322D525}"/>
            </c:ext>
          </c:extLst>
        </c:ser>
        <c:dLbls>
          <c:showLegendKey val="0"/>
          <c:showVal val="0"/>
          <c:showCatName val="0"/>
          <c:showSerName val="0"/>
          <c:showPercent val="0"/>
          <c:showBubbleSize val="0"/>
        </c:dLbls>
        <c:marker val="1"/>
        <c:smooth val="0"/>
        <c:axId val="397599824"/>
        <c:axId val="397600152"/>
        <c:extLst/>
      </c:lineChart>
      <c:catAx>
        <c:axId val="397599824"/>
        <c:scaling>
          <c:orientation val="minMax"/>
        </c:scaling>
        <c:delete val="0"/>
        <c:axPos val="b"/>
        <c:title>
          <c:tx>
            <c:rich>
              <a:bodyPr rot="0" spcFirstLastPara="1" vertOverflow="ellipsis" vert="horz" wrap="square" anchor="ctr" anchorCtr="1"/>
              <a:lstStyle/>
              <a:p>
                <a:pP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sz="900" b="1">
                    <a:solidFill>
                      <a:sysClr val="windowText" lastClr="000000"/>
                    </a:solidFill>
                    <a:latin typeface="Times New Roman" panose="02020603050405020304" pitchFamily="18" charset="0"/>
                    <a:cs typeface="Times New Roman" panose="02020603050405020304" pitchFamily="18" charset="0"/>
                  </a:rPr>
                  <a:t>Year</a:t>
                </a:r>
              </a:p>
            </c:rich>
          </c:tx>
          <c:overlay val="0"/>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numFmt formatCode="General" sourceLinked="0"/>
        <c:majorTickMark val="in"/>
        <c:minorTickMark val="none"/>
        <c:tickLblPos val="nextTo"/>
        <c:spPr>
          <a:noFill/>
          <a:ln w="9525" cap="flat" cmpd="sng" algn="ctr">
            <a:solidFill>
              <a:sysClr val="windowText" lastClr="000000"/>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397600152"/>
        <c:crosses val="autoZero"/>
        <c:auto val="0"/>
        <c:lblAlgn val="ctr"/>
        <c:lblOffset val="100"/>
        <c:noMultiLvlLbl val="0"/>
      </c:catAx>
      <c:valAx>
        <c:axId val="397600152"/>
        <c:scaling>
          <c:orientation val="minMax"/>
          <c:min val="10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sz="900" b="1">
                    <a:solidFill>
                      <a:sysClr val="windowText" lastClr="000000"/>
                    </a:solidFill>
                    <a:latin typeface="Times New Roman" panose="02020603050405020304" pitchFamily="18" charset="0"/>
                    <a:cs typeface="Times New Roman" panose="02020603050405020304" pitchFamily="18" charset="0"/>
                  </a:rPr>
                  <a:t>Cumulative TN Reductions (lbs/yr)</a:t>
                </a:r>
              </a:p>
            </c:rich>
          </c:tx>
          <c:layout>
            <c:manualLayout>
              <c:xMode val="edge"/>
              <c:yMode val="edge"/>
              <c:x val="1.7013888888888891E-2"/>
              <c:y val="0.26990748031496059"/>
            </c:manualLayout>
          </c:layout>
          <c:overlay val="0"/>
          <c:spPr>
            <a:noFill/>
            <a:ln>
              <a:noFill/>
            </a:ln>
            <a:effectLst/>
          </c:spPr>
          <c:txPr>
            <a:bodyPr rot="-5400000" spcFirstLastPara="1" vertOverflow="ellipsis" vert="horz" wrap="square" anchor="ctr" anchorCtr="1"/>
            <a:lstStyle/>
            <a:p>
              <a:pPr algn="ct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397599824"/>
        <c:crosses val="autoZero"/>
        <c:crossBetween val="midCat"/>
        <c:majorUnit val="10000"/>
        <c:minorUnit val="5000"/>
      </c:valAx>
      <c:spPr>
        <a:noFill/>
        <a:ln>
          <a:noFill/>
        </a:ln>
        <a:effectLst/>
      </c:spPr>
    </c:plotArea>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r>
              <a:rPr lang="en-US"/>
              <a:t>IRL - Northern</a:t>
            </a:r>
            <a:r>
              <a:rPr lang="en-US" baseline="0"/>
              <a:t> Indian River Lagoon</a:t>
            </a:r>
            <a:r>
              <a:rPr lang="en-US"/>
              <a:t> Zone B TN Project Reductions</a:t>
            </a:r>
          </a:p>
        </c:rich>
      </c:tx>
      <c:layout>
        <c:manualLayout>
          <c:xMode val="edge"/>
          <c:yMode val="edge"/>
          <c:x val="0.14166666666666666"/>
          <c:y val="6.2893081761006289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autoTitleDeleted val="0"/>
    <c:plotArea>
      <c:layout>
        <c:manualLayout>
          <c:layoutTarget val="inner"/>
          <c:xMode val="edge"/>
          <c:yMode val="edge"/>
          <c:x val="0.10894247594050743"/>
          <c:y val="0.18107966457023059"/>
          <c:w val="0.85633530183727036"/>
          <c:h val="0.74251390745968071"/>
        </c:manualLayout>
      </c:layout>
      <c:lineChart>
        <c:grouping val="standard"/>
        <c:varyColors val="0"/>
        <c:ser>
          <c:idx val="3"/>
          <c:order val="0"/>
          <c:tx>
            <c:strRef>
              <c:f>'TN Progress Charts'!$F$28</c:f>
              <c:strCache>
                <c:ptCount val="1"/>
                <c:pt idx="0">
                  <c:v>Cumulative TN Reductions (lbs/yr)</c:v>
                </c:pt>
              </c:strCache>
            </c:strRef>
          </c:tx>
          <c:spPr>
            <a:ln w="28575" cap="rnd">
              <a:solidFill>
                <a:sysClr val="windowText" lastClr="000000"/>
              </a:solidFill>
              <a:round/>
            </a:ln>
            <a:effectLst/>
          </c:spPr>
          <c:marker>
            <c:symbol val="circle"/>
            <c:size val="5"/>
            <c:spPr>
              <a:solidFill>
                <a:sysClr val="windowText" lastClr="000000"/>
              </a:solidFill>
              <a:ln w="9525">
                <a:solidFill>
                  <a:srgbClr val="000000"/>
                </a:solidFill>
              </a:ln>
              <a:effectLst/>
            </c:spPr>
          </c:marker>
          <c:dLbls>
            <c:delete val="1"/>
          </c:dLbls>
          <c:cat>
            <c:numRef>
              <c:extLst>
                <c:ext xmlns:c15="http://schemas.microsoft.com/office/drawing/2012/chart" uri="{02D57815-91ED-43cb-92C2-25804820EDAC}">
                  <c15:fullRef>
                    <c15:sqref>'TN Progress Charts'!$E$29:$E$50</c15:sqref>
                  </c15:fullRef>
                </c:ext>
              </c:extLst>
              <c:f>'TN Progress Charts'!$E$30:$E$50</c:f>
              <c:numCache>
                <c:formatCode>General</c:formatCode>
                <c:ptCount val="21"/>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pt idx="14">
                  <c:v>2027</c:v>
                </c:pt>
                <c:pt idx="15">
                  <c:v>2028</c:v>
                </c:pt>
                <c:pt idx="16">
                  <c:v>2029</c:v>
                </c:pt>
                <c:pt idx="17">
                  <c:v>2030</c:v>
                </c:pt>
                <c:pt idx="18">
                  <c:v>2031</c:v>
                </c:pt>
                <c:pt idx="19">
                  <c:v>2032</c:v>
                </c:pt>
                <c:pt idx="20">
                  <c:v>2033</c:v>
                </c:pt>
              </c:numCache>
            </c:numRef>
          </c:cat>
          <c:val>
            <c:numRef>
              <c:extLst>
                <c:ext xmlns:c15="http://schemas.microsoft.com/office/drawing/2012/chart" uri="{02D57815-91ED-43cb-92C2-25804820EDAC}">
                  <c15:fullRef>
                    <c15:sqref>'TN Progress Charts'!$F$29:$F$50</c15:sqref>
                  </c15:fullRef>
                </c:ext>
              </c:extLst>
              <c:f>'TN Progress Charts'!$F$30:$F$50</c:f>
              <c:numCache>
                <c:formatCode>#,##0</c:formatCode>
                <c:ptCount val="21"/>
                <c:pt idx="0">
                  <c:v>39665</c:v>
                </c:pt>
                <c:pt idx="1">
                  <c:v>45146.04</c:v>
                </c:pt>
                <c:pt idx="2">
                  <c:v>56187.16</c:v>
                </c:pt>
                <c:pt idx="3">
                  <c:v>56918.83</c:v>
                </c:pt>
                <c:pt idx="4">
                  <c:v>63862.350000000006</c:v>
                </c:pt>
                <c:pt idx="5">
                  <c:v>64335.100000000006</c:v>
                </c:pt>
                <c:pt idx="6">
                  <c:v>64335.100000000006</c:v>
                </c:pt>
              </c:numCache>
            </c:numRef>
          </c:val>
          <c:smooth val="0"/>
          <c:extLst>
            <c:ext xmlns:c16="http://schemas.microsoft.com/office/drawing/2014/chart" uri="{C3380CC4-5D6E-409C-BE32-E72D297353CC}">
              <c16:uniqueId val="{00000009-7758-4670-96DB-20F48322D525}"/>
            </c:ext>
          </c:extLst>
        </c:ser>
        <c:ser>
          <c:idx val="0"/>
          <c:order val="1"/>
          <c:tx>
            <c:strRef>
              <c:f>'TN Progress Charts'!$G$28</c:f>
              <c:strCache>
                <c:ptCount val="1"/>
                <c:pt idx="0">
                  <c:v>5-Year Milestone</c:v>
                </c:pt>
              </c:strCache>
            </c:strRef>
          </c:tx>
          <c:spPr>
            <a:ln w="28575" cap="rnd">
              <a:solidFill>
                <a:schemeClr val="accent1"/>
              </a:solidFill>
              <a:round/>
            </a:ln>
            <a:effectLst/>
          </c:spPr>
          <c:marker>
            <c:symbol val="circle"/>
            <c:size val="5"/>
            <c:spPr>
              <a:solidFill>
                <a:sysClr val="windowText" lastClr="000000"/>
              </a:solidFill>
              <a:ln w="9525">
                <a:solidFill>
                  <a:sysClr val="windowText" lastClr="000000"/>
                </a:solidFill>
              </a:ln>
              <a:effectLst/>
            </c:spPr>
          </c:marker>
          <c:dLbls>
            <c:dLbl>
              <c:idx val="5"/>
              <c:layout>
                <c:manualLayout>
                  <c:x val="-7.9861111111111105E-2"/>
                  <c:y val="-5.8333333333333334E-2"/>
                </c:manualLayout>
              </c:layout>
              <c:tx>
                <c:rich>
                  <a:bodyPr/>
                  <a:lstStyle/>
                  <a:p>
                    <a:r>
                      <a:rPr lang="en-US">
                        <a:solidFill>
                          <a:sysClr val="windowText" lastClr="000000"/>
                        </a:solidFill>
                        <a:latin typeface="Times New Roman" panose="02020603050405020304" pitchFamily="18" charset="0"/>
                        <a:cs typeface="Times New Roman" panose="02020603050405020304" pitchFamily="18" charset="0"/>
                      </a:rPr>
                      <a:t>5-Year Milestone</a:t>
                    </a:r>
                  </a:p>
                  <a:p>
                    <a:fld id="{32F9D507-482E-4471-BB04-4F0DE4EACDC4}" type="VALUE">
                      <a:rPr lang="en-US">
                        <a:solidFill>
                          <a:sysClr val="windowText" lastClr="000000"/>
                        </a:solidFill>
                        <a:latin typeface="Times New Roman" panose="02020603050405020304" pitchFamily="18" charset="0"/>
                        <a:cs typeface="Times New Roman" panose="02020603050405020304" pitchFamily="18" charset="0"/>
                      </a:rPr>
                      <a:pPr/>
                      <a:t>[VALUE]</a:t>
                    </a:fld>
                    <a:endParaRPr lang="en-US"/>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2-B0F2-475C-9118-F3992FD76585}"/>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'TN Progress Charts'!$E$29:$E$50</c15:sqref>
                  </c15:fullRef>
                </c:ext>
              </c:extLst>
              <c:f>'TN Progress Charts'!$E$30:$E$50</c:f>
              <c:numCache>
                <c:formatCode>General</c:formatCode>
                <c:ptCount val="21"/>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pt idx="14">
                  <c:v>2027</c:v>
                </c:pt>
                <c:pt idx="15">
                  <c:v>2028</c:v>
                </c:pt>
                <c:pt idx="16">
                  <c:v>2029</c:v>
                </c:pt>
                <c:pt idx="17">
                  <c:v>2030</c:v>
                </c:pt>
                <c:pt idx="18">
                  <c:v>2031</c:v>
                </c:pt>
                <c:pt idx="19">
                  <c:v>2032</c:v>
                </c:pt>
                <c:pt idx="20">
                  <c:v>2033</c:v>
                </c:pt>
              </c:numCache>
            </c:numRef>
          </c:cat>
          <c:val>
            <c:numRef>
              <c:extLst>
                <c:ext xmlns:c15="http://schemas.microsoft.com/office/drawing/2012/chart" uri="{02D57815-91ED-43cb-92C2-25804820EDAC}">
                  <c15:fullRef>
                    <c15:sqref>'TN Progress Charts'!$G$29:$G$50</c15:sqref>
                  </c15:fullRef>
                </c:ext>
              </c:extLst>
              <c:f>'TN Progress Charts'!$G$30:$G$50</c:f>
              <c:numCache>
                <c:formatCode>#,##0</c:formatCode>
                <c:ptCount val="21"/>
              </c:numCache>
            </c:numRef>
          </c:val>
          <c:smooth val="0"/>
          <c:extLst>
            <c:ext xmlns:c16="http://schemas.microsoft.com/office/drawing/2014/chart" uri="{C3380CC4-5D6E-409C-BE32-E72D297353CC}">
              <c16:uniqueId val="{0000000A-7758-4670-96DB-20F48322D525}"/>
            </c:ext>
          </c:extLst>
        </c:ser>
        <c:ser>
          <c:idx val="4"/>
          <c:order val="2"/>
          <c:tx>
            <c:strRef>
              <c:f>'TN Progress Charts'!$H$28</c:f>
              <c:strCache>
                <c:ptCount val="1"/>
                <c:pt idx="0">
                  <c:v>10-Year Milestone</c:v>
                </c:pt>
              </c:strCache>
            </c:strRef>
          </c:tx>
          <c:spPr>
            <a:ln w="28575" cap="rnd">
              <a:solidFill>
                <a:schemeClr val="accent5"/>
              </a:solidFill>
              <a:round/>
            </a:ln>
            <a:effectLst/>
          </c:spPr>
          <c:marker>
            <c:symbol val="circle"/>
            <c:size val="5"/>
            <c:spPr>
              <a:solidFill>
                <a:sysClr val="windowText" lastClr="000000"/>
              </a:solidFill>
              <a:ln w="9525">
                <a:solidFill>
                  <a:srgbClr val="000000"/>
                </a:solidFill>
              </a:ln>
              <a:effectLst/>
            </c:spPr>
          </c:marker>
          <c:dLbls>
            <c:dLbl>
              <c:idx val="10"/>
              <c:layout>
                <c:manualLayout>
                  <c:x val="-7.9861111111111105E-2"/>
                  <c:y val="-5.7854111986001752E-2"/>
                </c:manualLayout>
              </c:layout>
              <c:tx>
                <c:rich>
                  <a:bodyPr rot="0" spcFirstLastPara="1" vertOverflow="ellipsis" vert="horz" wrap="square" lIns="38100" tIns="19050" rIns="38100" bIns="19050" anchor="b" anchorCtr="1">
                    <a:spAutoFit/>
                  </a:bodyPr>
                  <a:lstStyle/>
                  <a:p>
                    <a:pPr>
                      <a:defRPr sz="11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sz="1100"/>
                      <a:t>10-Year Milestone</a:t>
                    </a:r>
                  </a:p>
                  <a:p>
                    <a:pPr>
                      <a:defRPr sz="1100">
                        <a:solidFill>
                          <a:sysClr val="windowText" lastClr="000000"/>
                        </a:solidFill>
                        <a:latin typeface="Times New Roman" panose="02020603050405020304" pitchFamily="18" charset="0"/>
                        <a:cs typeface="Times New Roman" panose="02020603050405020304" pitchFamily="18" charset="0"/>
                      </a:defRPr>
                    </a:pPr>
                    <a:fld id="{B13232C1-C4AF-4449-977B-EC0CB3B9021D}" type="VALUE">
                      <a:rPr lang="en-US" sz="1100"/>
                      <a:pPr>
                        <a:defRPr sz="1100">
                          <a:solidFill>
                            <a:sysClr val="windowText" lastClr="000000"/>
                          </a:solidFill>
                          <a:latin typeface="Times New Roman" panose="02020603050405020304" pitchFamily="18" charset="0"/>
                          <a:cs typeface="Times New Roman" panose="02020603050405020304" pitchFamily="18" charset="0"/>
                        </a:defRPr>
                      </a:pPr>
                      <a:t>[VALUE]</a:t>
                    </a:fld>
                    <a:endParaRPr lang="en-US"/>
                  </a:p>
                </c:rich>
              </c:tx>
              <c:spPr>
                <a:noFill/>
                <a:ln>
                  <a:noFill/>
                </a:ln>
                <a:effectLst/>
              </c:spPr>
              <c:txPr>
                <a:bodyPr rot="0" spcFirstLastPara="1" vertOverflow="ellipsis" vert="horz" wrap="square" lIns="38100" tIns="19050" rIns="38100" bIns="19050" anchor="b" anchorCtr="1">
                  <a:spAutoFit/>
                </a:bodyPr>
                <a:lstStyle/>
                <a:p>
                  <a:pPr>
                    <a:defRPr sz="11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3-B0F2-475C-9118-F3992FD76585}"/>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'TN Progress Charts'!$E$29:$E$50</c15:sqref>
                  </c15:fullRef>
                </c:ext>
              </c:extLst>
              <c:f>'TN Progress Charts'!$E$30:$E$50</c:f>
              <c:numCache>
                <c:formatCode>General</c:formatCode>
                <c:ptCount val="21"/>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pt idx="14">
                  <c:v>2027</c:v>
                </c:pt>
                <c:pt idx="15">
                  <c:v>2028</c:v>
                </c:pt>
                <c:pt idx="16">
                  <c:v>2029</c:v>
                </c:pt>
                <c:pt idx="17">
                  <c:v>2030</c:v>
                </c:pt>
                <c:pt idx="18">
                  <c:v>2031</c:v>
                </c:pt>
                <c:pt idx="19">
                  <c:v>2032</c:v>
                </c:pt>
                <c:pt idx="20">
                  <c:v>2033</c:v>
                </c:pt>
              </c:numCache>
            </c:numRef>
          </c:cat>
          <c:val>
            <c:numRef>
              <c:extLst>
                <c:ext xmlns:c15="http://schemas.microsoft.com/office/drawing/2012/chart" uri="{02D57815-91ED-43cb-92C2-25804820EDAC}">
                  <c15:fullRef>
                    <c15:sqref>'TN Progress Charts'!$H$29:$H$50</c15:sqref>
                  </c15:fullRef>
                </c:ext>
              </c:extLst>
              <c:f>'TN Progress Charts'!$H$30:$H$50</c:f>
              <c:numCache>
                <c:formatCode>#,##0</c:formatCode>
                <c:ptCount val="21"/>
              </c:numCache>
            </c:numRef>
          </c:val>
          <c:smooth val="0"/>
          <c:extLst>
            <c:ext xmlns:c16="http://schemas.microsoft.com/office/drawing/2014/chart" uri="{C3380CC4-5D6E-409C-BE32-E72D297353CC}">
              <c16:uniqueId val="{0000000B-7758-4670-96DB-20F48322D525}"/>
            </c:ext>
          </c:extLst>
        </c:ser>
        <c:ser>
          <c:idx val="1"/>
          <c:order val="3"/>
          <c:tx>
            <c:strRef>
              <c:f>'TN Progress Charts'!$I$28</c:f>
              <c:strCache>
                <c:ptCount val="1"/>
                <c:pt idx="0">
                  <c:v>Total Reductions Required</c:v>
                </c:pt>
              </c:strCache>
            </c:strRef>
          </c:tx>
          <c:spPr>
            <a:ln w="28575" cap="rnd">
              <a:solidFill>
                <a:sysClr val="windowText" lastClr="000000"/>
              </a:solidFill>
              <a:prstDash val="sysDash"/>
              <a:round/>
            </a:ln>
            <a:effectLst/>
          </c:spPr>
          <c:marker>
            <c:symbol val="none"/>
          </c:marker>
          <c:dPt>
            <c:idx val="15"/>
            <c:marker>
              <c:symbol val="none"/>
            </c:marker>
            <c:bubble3D val="0"/>
            <c:spPr>
              <a:ln w="28575" cap="rnd">
                <a:solidFill>
                  <a:sysClr val="windowText" lastClr="000000"/>
                </a:solidFill>
                <a:prstDash val="sysDash"/>
                <a:round/>
              </a:ln>
              <a:effectLst/>
            </c:spPr>
            <c:extLst>
              <c:ext xmlns:c16="http://schemas.microsoft.com/office/drawing/2014/chart" uri="{C3380CC4-5D6E-409C-BE32-E72D297353CC}">
                <c16:uniqueId val="{0000000A-B0F2-475C-9118-F3992FD76585}"/>
              </c:ext>
            </c:extLst>
          </c:dPt>
          <c:dLbls>
            <c:dLbl>
              <c:idx val="15"/>
              <c:layout>
                <c:manualLayout>
                  <c:x val="9.375E-2"/>
                  <c:y val="-5.8333333333333334E-2"/>
                </c:manualLayout>
              </c:layout>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B0F2-475C-9118-F3992FD76585}"/>
                </c:ext>
              </c:extLst>
            </c:dLbl>
            <c:spPr>
              <a:noFill/>
              <a:ln>
                <a:noFill/>
              </a:ln>
              <a:effectLst/>
            </c:spPr>
            <c:txPr>
              <a:bodyPr rot="0" spcFirstLastPara="1" vertOverflow="ellipsis" vert="horz" wrap="square" lIns="38100" tIns="19050" rIns="38100" bIns="19050" anchor="b" anchorCtr="1">
                <a:spAutoFit/>
              </a:bodyPr>
              <a:lstStyle/>
              <a:p>
                <a:pPr>
                  <a:defRPr sz="11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'TN Progress Charts'!$E$29:$E$50</c15:sqref>
                  </c15:fullRef>
                </c:ext>
              </c:extLst>
              <c:f>'TN Progress Charts'!$E$30:$E$50</c:f>
              <c:numCache>
                <c:formatCode>General</c:formatCode>
                <c:ptCount val="21"/>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pt idx="14">
                  <c:v>2027</c:v>
                </c:pt>
                <c:pt idx="15">
                  <c:v>2028</c:v>
                </c:pt>
                <c:pt idx="16">
                  <c:v>2029</c:v>
                </c:pt>
                <c:pt idx="17">
                  <c:v>2030</c:v>
                </c:pt>
                <c:pt idx="18">
                  <c:v>2031</c:v>
                </c:pt>
                <c:pt idx="19">
                  <c:v>2032</c:v>
                </c:pt>
                <c:pt idx="20">
                  <c:v>2033</c:v>
                </c:pt>
              </c:numCache>
            </c:numRef>
          </c:cat>
          <c:val>
            <c:numRef>
              <c:extLst>
                <c:ext xmlns:c15="http://schemas.microsoft.com/office/drawing/2012/chart" uri="{02D57815-91ED-43cb-92C2-25804820EDAC}">
                  <c15:fullRef>
                    <c15:sqref>'TN Progress Charts'!$I$29:$I$50</c15:sqref>
                  </c15:fullRef>
                </c:ext>
              </c:extLst>
              <c:f>'TN Progress Charts'!$I$30:$I$50</c:f>
              <c:numCache>
                <c:formatCode>#,##0</c:formatCode>
                <c:ptCount val="21"/>
                <c:pt idx="0">
                  <c:v>123183</c:v>
                </c:pt>
                <c:pt idx="1">
                  <c:v>123183</c:v>
                </c:pt>
                <c:pt idx="2">
                  <c:v>123183</c:v>
                </c:pt>
                <c:pt idx="3">
                  <c:v>123183</c:v>
                </c:pt>
                <c:pt idx="4">
                  <c:v>123183</c:v>
                </c:pt>
                <c:pt idx="5">
                  <c:v>123183</c:v>
                </c:pt>
                <c:pt idx="6">
                  <c:v>123183</c:v>
                </c:pt>
                <c:pt idx="7">
                  <c:v>123183</c:v>
                </c:pt>
                <c:pt idx="8">
                  <c:v>123183</c:v>
                </c:pt>
                <c:pt idx="9">
                  <c:v>123183</c:v>
                </c:pt>
                <c:pt idx="10">
                  <c:v>123183</c:v>
                </c:pt>
                <c:pt idx="11">
                  <c:v>123183</c:v>
                </c:pt>
                <c:pt idx="12">
                  <c:v>123183</c:v>
                </c:pt>
                <c:pt idx="13">
                  <c:v>123183</c:v>
                </c:pt>
                <c:pt idx="14">
                  <c:v>123183</c:v>
                </c:pt>
                <c:pt idx="15">
                  <c:v>123183</c:v>
                </c:pt>
                <c:pt idx="16">
                  <c:v>123183</c:v>
                </c:pt>
                <c:pt idx="17">
                  <c:v>123183</c:v>
                </c:pt>
                <c:pt idx="18">
                  <c:v>123183</c:v>
                </c:pt>
                <c:pt idx="19">
                  <c:v>123183</c:v>
                </c:pt>
                <c:pt idx="20">
                  <c:v>123183</c:v>
                </c:pt>
              </c:numCache>
            </c:numRef>
          </c:val>
          <c:smooth val="0"/>
          <c:extLst>
            <c:ext xmlns:c16="http://schemas.microsoft.com/office/drawing/2014/chart" uri="{C3380CC4-5D6E-409C-BE32-E72D297353CC}">
              <c16:uniqueId val="{00000009-B0F2-475C-9118-F3992FD76585}"/>
            </c:ext>
          </c:extLst>
        </c:ser>
        <c:dLbls>
          <c:showLegendKey val="0"/>
          <c:showVal val="1"/>
          <c:showCatName val="0"/>
          <c:showSerName val="0"/>
          <c:showPercent val="0"/>
          <c:showBubbleSize val="0"/>
        </c:dLbls>
        <c:marker val="1"/>
        <c:smooth val="0"/>
        <c:axId val="397599824"/>
        <c:axId val="397600152"/>
        <c:extLst/>
      </c:lineChart>
      <c:catAx>
        <c:axId val="397599824"/>
        <c:scaling>
          <c:orientation val="minMax"/>
        </c:scaling>
        <c:delete val="0"/>
        <c:axPos val="b"/>
        <c:title>
          <c:tx>
            <c:rich>
              <a:bodyPr rot="0" spcFirstLastPara="1" vertOverflow="ellipsis" vert="horz" wrap="square" anchor="ctr" anchorCtr="1"/>
              <a:lstStyle/>
              <a:p>
                <a:pP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sz="900" b="1">
                    <a:solidFill>
                      <a:sysClr val="windowText" lastClr="000000"/>
                    </a:solidFill>
                    <a:latin typeface="Times New Roman" panose="02020603050405020304" pitchFamily="18" charset="0"/>
                    <a:cs typeface="Times New Roman" panose="02020603050405020304" pitchFamily="18" charset="0"/>
                  </a:rPr>
                  <a:t>Year</a:t>
                </a:r>
              </a:p>
            </c:rich>
          </c:tx>
          <c:overlay val="0"/>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numFmt formatCode="General" sourceLinked="0"/>
        <c:majorTickMark val="in"/>
        <c:minorTickMark val="none"/>
        <c:tickLblPos val="nextTo"/>
        <c:spPr>
          <a:noFill/>
          <a:ln w="9525" cap="flat" cmpd="sng" algn="ctr">
            <a:solidFill>
              <a:sysClr val="windowText" lastClr="000000"/>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397600152"/>
        <c:crosses val="autoZero"/>
        <c:auto val="0"/>
        <c:lblAlgn val="ctr"/>
        <c:lblOffset val="100"/>
        <c:noMultiLvlLbl val="0"/>
      </c:catAx>
      <c:valAx>
        <c:axId val="397600152"/>
        <c:scaling>
          <c:orientation val="minMax"/>
          <c:min val="10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sz="900">
                    <a:solidFill>
                      <a:sysClr val="windowText" lastClr="000000"/>
                    </a:solidFill>
                  </a:rPr>
                  <a:t>Cumulative TN Reductions (lbs/yr)</a:t>
                </a:r>
              </a:p>
            </c:rich>
          </c:tx>
          <c:layout>
            <c:manualLayout>
              <c:xMode val="edge"/>
              <c:yMode val="edge"/>
              <c:x val="1.8750000000000003E-2"/>
              <c:y val="0.30324081364829397"/>
            </c:manualLayout>
          </c:layout>
          <c:overlay val="0"/>
          <c:spPr>
            <a:noFill/>
            <a:ln>
              <a:noFill/>
            </a:ln>
            <a:effectLst/>
          </c:spPr>
          <c:txPr>
            <a:bodyPr rot="-5400000" spcFirstLastPara="1" vertOverflow="ellipsis" vert="horz" wrap="square" anchor="ctr" anchorCtr="1"/>
            <a:lstStyle/>
            <a:p>
              <a:pP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397599824"/>
        <c:crosses val="autoZero"/>
        <c:crossBetween val="midCat"/>
        <c:majorUnit val="10000"/>
        <c:minorUnit val="5000"/>
      </c:valAx>
      <c:spPr>
        <a:noFill/>
        <a:ln>
          <a:noFill/>
        </a:ln>
        <a:effectLst/>
      </c:spPr>
    </c:plotArea>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r>
              <a:rPr lang="en-US"/>
              <a:t>IRL</a:t>
            </a:r>
            <a:r>
              <a:rPr lang="en-US" baseline="0"/>
              <a:t> - Northern Indian River Lagoon</a:t>
            </a:r>
            <a:r>
              <a:rPr lang="en-US"/>
              <a:t> Zone A TP Project Reductions</a:t>
            </a:r>
          </a:p>
        </c:rich>
      </c:tx>
      <c:layout>
        <c:manualLayout>
          <c:xMode val="edge"/>
          <c:yMode val="edge"/>
          <c:x val="0.14435763888888889"/>
          <c:y val="6.2893081761006289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autoTitleDeleted val="0"/>
    <c:plotArea>
      <c:layout>
        <c:manualLayout>
          <c:layoutTarget val="inner"/>
          <c:xMode val="edge"/>
          <c:yMode val="edge"/>
          <c:x val="0.10112997594050743"/>
          <c:y val="0.17321802935010483"/>
          <c:w val="0.86414780183727036"/>
          <c:h val="0.75299608775318183"/>
        </c:manualLayout>
      </c:layout>
      <c:lineChart>
        <c:grouping val="standard"/>
        <c:varyColors val="0"/>
        <c:ser>
          <c:idx val="2"/>
          <c:order val="0"/>
          <c:tx>
            <c:strRef>
              <c:f>'TP Progress Charts'!$F$3</c:f>
              <c:strCache>
                <c:ptCount val="1"/>
                <c:pt idx="0">
                  <c:v>Cumulative TP Reductions (lbs/yr)</c:v>
                </c:pt>
              </c:strCache>
            </c:strRef>
          </c:tx>
          <c:spPr>
            <a:ln w="28575" cap="rnd">
              <a:solidFill>
                <a:sysClr val="windowText" lastClr="000000"/>
              </a:solidFill>
              <a:round/>
            </a:ln>
            <a:effectLst/>
          </c:spPr>
          <c:marker>
            <c:symbol val="circle"/>
            <c:size val="5"/>
            <c:spPr>
              <a:solidFill>
                <a:sysClr val="windowText" lastClr="000000"/>
              </a:solidFill>
              <a:ln w="9525">
                <a:solidFill>
                  <a:sysClr val="windowText" lastClr="000000"/>
                </a:solidFill>
              </a:ln>
              <a:effectLst/>
            </c:spPr>
          </c:marker>
          <c:cat>
            <c:numRef>
              <c:extLst>
                <c:ext xmlns:c15="http://schemas.microsoft.com/office/drawing/2012/chart" uri="{02D57815-91ED-43cb-92C2-25804820EDAC}">
                  <c15:fullRef>
                    <c15:sqref>'TP Progress Charts'!$E$4:$E$25</c15:sqref>
                  </c15:fullRef>
                </c:ext>
              </c:extLst>
              <c:f>'TP Progress Charts'!$E$5:$E$25</c:f>
              <c:numCache>
                <c:formatCode>General</c:formatCode>
                <c:ptCount val="21"/>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pt idx="14">
                  <c:v>2027</c:v>
                </c:pt>
                <c:pt idx="15">
                  <c:v>2028</c:v>
                </c:pt>
                <c:pt idx="16">
                  <c:v>2029</c:v>
                </c:pt>
                <c:pt idx="17">
                  <c:v>2030</c:v>
                </c:pt>
                <c:pt idx="18">
                  <c:v>2031</c:v>
                </c:pt>
                <c:pt idx="19">
                  <c:v>2032</c:v>
                </c:pt>
                <c:pt idx="20">
                  <c:v>2033</c:v>
                </c:pt>
              </c:numCache>
            </c:numRef>
          </c:cat>
          <c:val>
            <c:numRef>
              <c:extLst>
                <c:ext xmlns:c15="http://schemas.microsoft.com/office/drawing/2012/chart" uri="{02D57815-91ED-43cb-92C2-25804820EDAC}">
                  <c15:fullRef>
                    <c15:sqref>'TP Progress Charts'!$F$4:$F$25</c15:sqref>
                  </c15:fullRef>
                </c:ext>
              </c:extLst>
              <c:f>'TP Progress Charts'!$F$5:$F$25</c:f>
              <c:numCache>
                <c:formatCode>#,##0</c:formatCode>
                <c:ptCount val="21"/>
                <c:pt idx="0">
                  <c:v>7184.5999999999995</c:v>
                </c:pt>
                <c:pt idx="1">
                  <c:v>10000.200000000001</c:v>
                </c:pt>
                <c:pt idx="2">
                  <c:v>10087.280000000001</c:v>
                </c:pt>
                <c:pt idx="3">
                  <c:v>10555.18</c:v>
                </c:pt>
                <c:pt idx="4">
                  <c:v>10555.18</c:v>
                </c:pt>
                <c:pt idx="5">
                  <c:v>10820.18</c:v>
                </c:pt>
                <c:pt idx="6">
                  <c:v>10820.18</c:v>
                </c:pt>
              </c:numCache>
            </c:numRef>
          </c:val>
          <c:smooth val="0"/>
          <c:extLst>
            <c:ext xmlns:c16="http://schemas.microsoft.com/office/drawing/2014/chart" uri="{C3380CC4-5D6E-409C-BE32-E72D297353CC}">
              <c16:uniqueId val="{00000008-7758-4670-96DB-20F48322D525}"/>
            </c:ext>
          </c:extLst>
        </c:ser>
        <c:ser>
          <c:idx val="3"/>
          <c:order val="1"/>
          <c:tx>
            <c:strRef>
              <c:f>'TP Progress Charts'!$G$3</c:f>
              <c:strCache>
                <c:ptCount val="1"/>
                <c:pt idx="0">
                  <c:v>5-Year Milestone</c:v>
                </c:pt>
              </c:strCache>
            </c:strRef>
          </c:tx>
          <c:spPr>
            <a:ln w="28575" cap="rnd">
              <a:solidFill>
                <a:schemeClr val="accent4"/>
              </a:solidFill>
              <a:round/>
            </a:ln>
            <a:effectLst/>
          </c:spPr>
          <c:marker>
            <c:symbol val="circle"/>
            <c:size val="5"/>
            <c:spPr>
              <a:solidFill>
                <a:sysClr val="windowText" lastClr="000000"/>
              </a:solidFill>
              <a:ln w="9525">
                <a:solidFill>
                  <a:srgbClr val="000000"/>
                </a:solidFill>
              </a:ln>
              <a:effectLst/>
            </c:spPr>
          </c:marker>
          <c:dLbls>
            <c:dLbl>
              <c:idx val="5"/>
              <c:layout>
                <c:manualLayout>
                  <c:x val="-7.8125E-2"/>
                  <c:y val="-5.8333333333333334E-2"/>
                </c:manualLayout>
              </c:layout>
              <c:tx>
                <c:rich>
                  <a:bodyPr rot="0" spcFirstLastPara="1" vertOverflow="ellipsis" vert="horz" wrap="square" lIns="38100" tIns="19050" rIns="38100" bIns="19050" anchor="ctr" anchorCtr="1">
                    <a:spAutoFit/>
                  </a:bodyPr>
                  <a:lstStyle/>
                  <a:p>
                    <a:pPr>
                      <a:defRPr sz="11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sz="1100"/>
                      <a:t>5-Year</a:t>
                    </a:r>
                    <a:r>
                      <a:rPr lang="en-US" sz="1100" baseline="0"/>
                      <a:t> Milestone</a:t>
                    </a:r>
                  </a:p>
                  <a:p>
                    <a:pPr>
                      <a:defRPr sz="1100">
                        <a:solidFill>
                          <a:sysClr val="windowText" lastClr="000000"/>
                        </a:solidFill>
                        <a:latin typeface="Times New Roman" panose="02020603050405020304" pitchFamily="18" charset="0"/>
                        <a:cs typeface="Times New Roman" panose="02020603050405020304" pitchFamily="18" charset="0"/>
                      </a:defRPr>
                    </a:pPr>
                    <a:fld id="{93A4398A-0079-4EF6-8A29-681C108D48E7}" type="VALUE">
                      <a:rPr lang="en-US" sz="1100"/>
                      <a:pPr>
                        <a:defRPr sz="1100">
                          <a:solidFill>
                            <a:sysClr val="windowText" lastClr="000000"/>
                          </a:solidFill>
                          <a:latin typeface="Times New Roman" panose="02020603050405020304" pitchFamily="18" charset="0"/>
                          <a:cs typeface="Times New Roman" panose="02020603050405020304" pitchFamily="18" charset="0"/>
                        </a:defRPr>
                      </a:pPr>
                      <a:t>[VALUE]</a:t>
                    </a:fld>
                    <a:endParaRPr lang="en-US"/>
                  </a:p>
                </c:rich>
              </c:tx>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8-6D14-4A71-B6CC-52FA1A15437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'TP Progress Charts'!$E$4:$E$25</c15:sqref>
                  </c15:fullRef>
                </c:ext>
              </c:extLst>
              <c:f>'TP Progress Charts'!$E$5:$E$25</c:f>
              <c:numCache>
                <c:formatCode>General</c:formatCode>
                <c:ptCount val="21"/>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pt idx="14">
                  <c:v>2027</c:v>
                </c:pt>
                <c:pt idx="15">
                  <c:v>2028</c:v>
                </c:pt>
                <c:pt idx="16">
                  <c:v>2029</c:v>
                </c:pt>
                <c:pt idx="17">
                  <c:v>2030</c:v>
                </c:pt>
                <c:pt idx="18">
                  <c:v>2031</c:v>
                </c:pt>
                <c:pt idx="19">
                  <c:v>2032</c:v>
                </c:pt>
                <c:pt idx="20">
                  <c:v>2033</c:v>
                </c:pt>
              </c:numCache>
            </c:numRef>
          </c:cat>
          <c:val>
            <c:numRef>
              <c:extLst>
                <c:ext xmlns:c15="http://schemas.microsoft.com/office/drawing/2012/chart" uri="{02D57815-91ED-43cb-92C2-25804820EDAC}">
                  <c15:fullRef>
                    <c15:sqref>'TP Progress Charts'!$G$4:$G$25</c15:sqref>
                  </c15:fullRef>
                </c:ext>
              </c:extLst>
              <c:f>'TP Progress Charts'!$G$5:$G$25</c:f>
              <c:numCache>
                <c:formatCode>#,##0</c:formatCode>
                <c:ptCount val="21"/>
              </c:numCache>
            </c:numRef>
          </c:val>
          <c:smooth val="0"/>
          <c:extLst>
            <c:ext xmlns:c16="http://schemas.microsoft.com/office/drawing/2014/chart" uri="{C3380CC4-5D6E-409C-BE32-E72D297353CC}">
              <c16:uniqueId val="{00000009-7758-4670-96DB-20F48322D525}"/>
            </c:ext>
          </c:extLst>
        </c:ser>
        <c:ser>
          <c:idx val="0"/>
          <c:order val="2"/>
          <c:tx>
            <c:strRef>
              <c:f>'TP Progress Charts'!$H$3</c:f>
              <c:strCache>
                <c:ptCount val="1"/>
                <c:pt idx="0">
                  <c:v>10-Year Milestone</c:v>
                </c:pt>
              </c:strCache>
            </c:strRef>
          </c:tx>
          <c:spPr>
            <a:ln w="28575" cap="rnd">
              <a:solidFill>
                <a:schemeClr val="accent1"/>
              </a:solidFill>
              <a:round/>
            </a:ln>
            <a:effectLst/>
          </c:spPr>
          <c:marker>
            <c:symbol val="circle"/>
            <c:size val="5"/>
            <c:spPr>
              <a:solidFill>
                <a:sysClr val="windowText" lastClr="000000"/>
              </a:solidFill>
              <a:ln w="9525">
                <a:solidFill>
                  <a:sysClr val="windowText" lastClr="000000"/>
                </a:solidFill>
              </a:ln>
              <a:effectLst/>
            </c:spPr>
          </c:marker>
          <c:dLbls>
            <c:dLbl>
              <c:idx val="10"/>
              <c:layout>
                <c:manualLayout>
                  <c:x val="-8.6605971128609058E-2"/>
                  <c:y val="-6.7652668416447945E-2"/>
                </c:manualLayout>
              </c:layout>
              <c:tx>
                <c:rich>
                  <a:bodyPr/>
                  <a:lstStyle/>
                  <a:p>
                    <a:r>
                      <a:rPr lang="en-US"/>
                      <a:t>10-Year Milestone</a:t>
                    </a:r>
                  </a:p>
                  <a:p>
                    <a:fld id="{94D67A40-8537-4133-9809-F7B76F81A2E4}" type="VALUE">
                      <a:rPr lang="en-US"/>
                      <a:pPr/>
                      <a:t>[VALUE]</a:t>
                    </a:fld>
                    <a:endParaRPr lang="en-US"/>
                  </a:p>
                </c:rich>
              </c:tx>
              <c:dLblPos val="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9-6D14-4A71-B6CC-52FA1A15437F}"/>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'TP Progress Charts'!$E$4:$E$25</c15:sqref>
                  </c15:fullRef>
                </c:ext>
              </c:extLst>
              <c:f>'TP Progress Charts'!$E$5:$E$25</c:f>
              <c:numCache>
                <c:formatCode>General</c:formatCode>
                <c:ptCount val="21"/>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pt idx="14">
                  <c:v>2027</c:v>
                </c:pt>
                <c:pt idx="15">
                  <c:v>2028</c:v>
                </c:pt>
                <c:pt idx="16">
                  <c:v>2029</c:v>
                </c:pt>
                <c:pt idx="17">
                  <c:v>2030</c:v>
                </c:pt>
                <c:pt idx="18">
                  <c:v>2031</c:v>
                </c:pt>
                <c:pt idx="19">
                  <c:v>2032</c:v>
                </c:pt>
                <c:pt idx="20">
                  <c:v>2033</c:v>
                </c:pt>
              </c:numCache>
            </c:numRef>
          </c:cat>
          <c:val>
            <c:numRef>
              <c:extLst>
                <c:ext xmlns:c15="http://schemas.microsoft.com/office/drawing/2012/chart" uri="{02D57815-91ED-43cb-92C2-25804820EDAC}">
                  <c15:fullRef>
                    <c15:sqref>'TP Progress Charts'!$H$4:$H$25</c15:sqref>
                  </c15:fullRef>
                </c:ext>
              </c:extLst>
              <c:f>'TP Progress Charts'!$H$5:$H$25</c:f>
              <c:numCache>
                <c:formatCode>#,##0</c:formatCode>
                <c:ptCount val="21"/>
              </c:numCache>
            </c:numRef>
          </c:val>
          <c:smooth val="0"/>
          <c:extLst>
            <c:ext xmlns:c16="http://schemas.microsoft.com/office/drawing/2014/chart" uri="{C3380CC4-5D6E-409C-BE32-E72D297353CC}">
              <c16:uniqueId val="{0000000A-7758-4670-96DB-20F48322D525}"/>
            </c:ext>
          </c:extLst>
        </c:ser>
        <c:ser>
          <c:idx val="4"/>
          <c:order val="3"/>
          <c:tx>
            <c:strRef>
              <c:f>'TP Progress Charts'!$I$3</c:f>
              <c:strCache>
                <c:ptCount val="1"/>
                <c:pt idx="0">
                  <c:v>Total Reductions Required</c:v>
                </c:pt>
              </c:strCache>
            </c:strRef>
          </c:tx>
          <c:spPr>
            <a:ln w="28575" cap="rnd">
              <a:solidFill>
                <a:sysClr val="windowText" lastClr="000000"/>
              </a:solidFill>
              <a:prstDash val="sysDash"/>
              <a:round/>
            </a:ln>
            <a:effectLst/>
          </c:spPr>
          <c:marker>
            <c:symbol val="none"/>
          </c:marker>
          <c:dLbls>
            <c:dLbl>
              <c:idx val="15"/>
              <c:layout>
                <c:manualLayout>
                  <c:x val="-6.4304461942257221E-4"/>
                  <c:y val="-6.702887139107612E-2"/>
                </c:manualLayout>
              </c:layout>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6D14-4A71-B6CC-52FA1A15437F}"/>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'TP Progress Charts'!$E$4:$E$25</c15:sqref>
                  </c15:fullRef>
                </c:ext>
              </c:extLst>
              <c:f>'TP Progress Charts'!$E$5:$E$25</c:f>
              <c:numCache>
                <c:formatCode>General</c:formatCode>
                <c:ptCount val="21"/>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pt idx="14">
                  <c:v>2027</c:v>
                </c:pt>
                <c:pt idx="15">
                  <c:v>2028</c:v>
                </c:pt>
                <c:pt idx="16">
                  <c:v>2029</c:v>
                </c:pt>
                <c:pt idx="17">
                  <c:v>2030</c:v>
                </c:pt>
                <c:pt idx="18">
                  <c:v>2031</c:v>
                </c:pt>
                <c:pt idx="19">
                  <c:v>2032</c:v>
                </c:pt>
                <c:pt idx="20">
                  <c:v>2033</c:v>
                </c:pt>
              </c:numCache>
            </c:numRef>
          </c:cat>
          <c:val>
            <c:numRef>
              <c:extLst>
                <c:ext xmlns:c15="http://schemas.microsoft.com/office/drawing/2012/chart" uri="{02D57815-91ED-43cb-92C2-25804820EDAC}">
                  <c15:fullRef>
                    <c15:sqref>'TP Progress Charts'!$I$4:$I$25</c15:sqref>
                  </c15:fullRef>
                </c:ext>
              </c:extLst>
              <c:f>'TP Progress Charts'!$I$5:$I$25</c:f>
              <c:numCache>
                <c:formatCode>#,##0</c:formatCode>
                <c:ptCount val="21"/>
                <c:pt idx="0">
                  <c:v>19336</c:v>
                </c:pt>
                <c:pt idx="1">
                  <c:v>19336</c:v>
                </c:pt>
                <c:pt idx="2">
                  <c:v>19336</c:v>
                </c:pt>
                <c:pt idx="3">
                  <c:v>19336</c:v>
                </c:pt>
                <c:pt idx="4">
                  <c:v>19336</c:v>
                </c:pt>
                <c:pt idx="5">
                  <c:v>19336</c:v>
                </c:pt>
                <c:pt idx="6">
                  <c:v>19336</c:v>
                </c:pt>
                <c:pt idx="7">
                  <c:v>19336</c:v>
                </c:pt>
                <c:pt idx="8">
                  <c:v>19336</c:v>
                </c:pt>
                <c:pt idx="9">
                  <c:v>19336</c:v>
                </c:pt>
                <c:pt idx="10">
                  <c:v>19336</c:v>
                </c:pt>
                <c:pt idx="11">
                  <c:v>19336</c:v>
                </c:pt>
                <c:pt idx="12">
                  <c:v>19336</c:v>
                </c:pt>
                <c:pt idx="13">
                  <c:v>19336</c:v>
                </c:pt>
                <c:pt idx="14">
                  <c:v>19336</c:v>
                </c:pt>
                <c:pt idx="15">
                  <c:v>19336</c:v>
                </c:pt>
                <c:pt idx="16">
                  <c:v>19336</c:v>
                </c:pt>
                <c:pt idx="17">
                  <c:v>19336</c:v>
                </c:pt>
                <c:pt idx="18">
                  <c:v>19336</c:v>
                </c:pt>
                <c:pt idx="19">
                  <c:v>19336</c:v>
                </c:pt>
                <c:pt idx="20">
                  <c:v>19336</c:v>
                </c:pt>
              </c:numCache>
            </c:numRef>
          </c:val>
          <c:smooth val="0"/>
          <c:extLst>
            <c:ext xmlns:c16="http://schemas.microsoft.com/office/drawing/2014/chart" uri="{C3380CC4-5D6E-409C-BE32-E72D297353CC}">
              <c16:uniqueId val="{0000000B-7758-4670-96DB-20F48322D525}"/>
            </c:ext>
          </c:extLst>
        </c:ser>
        <c:dLbls>
          <c:showLegendKey val="0"/>
          <c:showVal val="0"/>
          <c:showCatName val="0"/>
          <c:showSerName val="0"/>
          <c:showPercent val="0"/>
          <c:showBubbleSize val="0"/>
        </c:dLbls>
        <c:marker val="1"/>
        <c:smooth val="0"/>
        <c:axId val="397599824"/>
        <c:axId val="397600152"/>
        <c:extLst/>
      </c:lineChart>
      <c:catAx>
        <c:axId val="397599824"/>
        <c:scaling>
          <c:orientation val="minMax"/>
        </c:scaling>
        <c:delete val="0"/>
        <c:axPos val="b"/>
        <c:title>
          <c:tx>
            <c:rich>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r>
                  <a:rPr lang="en-US" sz="900" b="1">
                    <a:solidFill>
                      <a:sysClr val="windowText" lastClr="000000"/>
                    </a:solidFill>
                    <a:latin typeface="Times New Roman" panose="02020603050405020304" pitchFamily="18" charset="0"/>
                    <a:cs typeface="Times New Roman" panose="02020603050405020304" pitchFamily="18" charset="0"/>
                  </a:rPr>
                  <a:t>Year</a:t>
                </a:r>
              </a:p>
            </c:rich>
          </c:tx>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title>
        <c:numFmt formatCode="General" sourceLinked="0"/>
        <c:majorTickMark val="in"/>
        <c:minorTickMark val="none"/>
        <c:tickLblPos val="nextTo"/>
        <c:spPr>
          <a:noFill/>
          <a:ln w="9525" cap="flat" cmpd="sng" algn="ctr">
            <a:solidFill>
              <a:sysClr val="windowText" lastClr="000000"/>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397600152"/>
        <c:crosses val="autoZero"/>
        <c:auto val="0"/>
        <c:lblAlgn val="ctr"/>
        <c:lblOffset val="100"/>
        <c:noMultiLvlLbl val="0"/>
      </c:catAx>
      <c:valAx>
        <c:axId val="397600152"/>
        <c:scaling>
          <c:orientation val="minMax"/>
          <c:min val="2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sz="900">
                    <a:solidFill>
                      <a:sysClr val="windowText" lastClr="000000"/>
                    </a:solidFill>
                  </a:rPr>
                  <a:t>Cumulative TP Reductions (lbs/yr)</a:t>
                </a:r>
              </a:p>
            </c:rich>
          </c:tx>
          <c:layout>
            <c:manualLayout>
              <c:xMode val="edge"/>
              <c:yMode val="edge"/>
              <c:x val="1.5277777777777779E-2"/>
              <c:y val="0.2560185914260717"/>
            </c:manualLayout>
          </c:layout>
          <c:overlay val="0"/>
          <c:spPr>
            <a:noFill/>
            <a:ln>
              <a:noFill/>
            </a:ln>
            <a:effectLst/>
          </c:spPr>
          <c:txPr>
            <a:bodyPr rot="-5400000" spcFirstLastPara="1" vertOverflow="ellipsis" vert="horz" wrap="square" anchor="ctr" anchorCtr="1"/>
            <a:lstStyle/>
            <a:p>
              <a:pP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397599824"/>
        <c:crosses val="autoZero"/>
        <c:crossBetween val="midCat"/>
      </c:valAx>
      <c:spPr>
        <a:noFill/>
        <a:ln>
          <a:noFill/>
        </a:ln>
        <a:effectLst/>
      </c:spPr>
    </c:plotArea>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r>
              <a:rPr lang="en-US"/>
              <a:t>IRL - Northern Indian River Lagoon Zone B TP Project Reductions</a:t>
            </a:r>
          </a:p>
        </c:rich>
      </c:tx>
      <c:layout>
        <c:manualLayout>
          <c:xMode val="edge"/>
          <c:yMode val="edge"/>
          <c:x val="0.14021694553805775"/>
          <c:y val="6.5513626834381555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autoTitleDeleted val="0"/>
    <c:plotArea>
      <c:layout>
        <c:manualLayout>
          <c:layoutTarget val="inner"/>
          <c:xMode val="edge"/>
          <c:yMode val="edge"/>
          <c:x val="0.10313511592300963"/>
          <c:y val="0.18937626900411031"/>
          <c:w val="0.87776766185476818"/>
          <c:h val="0.74097975371003155"/>
        </c:manualLayout>
      </c:layout>
      <c:lineChart>
        <c:grouping val="standard"/>
        <c:varyColors val="0"/>
        <c:ser>
          <c:idx val="2"/>
          <c:order val="0"/>
          <c:tx>
            <c:strRef>
              <c:f>'TP Progress Charts'!$F$29</c:f>
              <c:strCache>
                <c:ptCount val="1"/>
                <c:pt idx="0">
                  <c:v>Cumulative TP Reductions (lbs/yr)</c:v>
                </c:pt>
              </c:strCache>
            </c:strRef>
          </c:tx>
          <c:spPr>
            <a:ln w="28575" cap="rnd">
              <a:solidFill>
                <a:sysClr val="windowText" lastClr="000000"/>
              </a:solidFill>
              <a:round/>
            </a:ln>
            <a:effectLst/>
          </c:spPr>
          <c:marker>
            <c:symbol val="circle"/>
            <c:size val="5"/>
            <c:spPr>
              <a:solidFill>
                <a:sysClr val="windowText" lastClr="000000"/>
              </a:solidFill>
              <a:ln w="9525">
                <a:solidFill>
                  <a:sysClr val="windowText" lastClr="000000"/>
                </a:solidFill>
              </a:ln>
              <a:effectLst/>
            </c:spPr>
          </c:marker>
          <c:cat>
            <c:numRef>
              <c:extLst>
                <c:ext xmlns:c15="http://schemas.microsoft.com/office/drawing/2012/chart" uri="{02D57815-91ED-43cb-92C2-25804820EDAC}">
                  <c15:fullRef>
                    <c15:sqref>'TP Progress Charts'!$E$30:$E$51</c15:sqref>
                  </c15:fullRef>
                </c:ext>
              </c:extLst>
              <c:f>'TP Progress Charts'!$E$31:$E$51</c:f>
              <c:numCache>
                <c:formatCode>General</c:formatCode>
                <c:ptCount val="21"/>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pt idx="14">
                  <c:v>2027</c:v>
                </c:pt>
                <c:pt idx="15">
                  <c:v>2028</c:v>
                </c:pt>
                <c:pt idx="16">
                  <c:v>2029</c:v>
                </c:pt>
                <c:pt idx="17">
                  <c:v>2030</c:v>
                </c:pt>
                <c:pt idx="18">
                  <c:v>2031</c:v>
                </c:pt>
                <c:pt idx="19">
                  <c:v>2032</c:v>
                </c:pt>
                <c:pt idx="20">
                  <c:v>2033</c:v>
                </c:pt>
              </c:numCache>
            </c:numRef>
          </c:cat>
          <c:val>
            <c:numRef>
              <c:extLst>
                <c:ext xmlns:c15="http://schemas.microsoft.com/office/drawing/2012/chart" uri="{02D57815-91ED-43cb-92C2-25804820EDAC}">
                  <c15:fullRef>
                    <c15:sqref>'TP Progress Charts'!$F$30:$F$51</c15:sqref>
                  </c15:fullRef>
                </c:ext>
              </c:extLst>
              <c:f>'TP Progress Charts'!$F$31:$F$51</c:f>
              <c:numCache>
                <c:formatCode>#,##0</c:formatCode>
                <c:ptCount val="21"/>
                <c:pt idx="0">
                  <c:v>12061.300000000001</c:v>
                </c:pt>
                <c:pt idx="1">
                  <c:v>13750.2</c:v>
                </c:pt>
                <c:pt idx="2">
                  <c:v>16983.45</c:v>
                </c:pt>
                <c:pt idx="3">
                  <c:v>17257.690000000002</c:v>
                </c:pt>
                <c:pt idx="4">
                  <c:v>18750.980000000003</c:v>
                </c:pt>
                <c:pt idx="5">
                  <c:v>18829.100000000002</c:v>
                </c:pt>
                <c:pt idx="6">
                  <c:v>18829.100000000002</c:v>
                </c:pt>
              </c:numCache>
            </c:numRef>
          </c:val>
          <c:smooth val="0"/>
          <c:extLst>
            <c:ext xmlns:c16="http://schemas.microsoft.com/office/drawing/2014/chart" uri="{C3380CC4-5D6E-409C-BE32-E72D297353CC}">
              <c16:uniqueId val="{00000008-7758-4670-96DB-20F48322D525}"/>
            </c:ext>
          </c:extLst>
        </c:ser>
        <c:ser>
          <c:idx val="3"/>
          <c:order val="1"/>
          <c:tx>
            <c:strRef>
              <c:f>'TP Progress Charts'!$G$29</c:f>
              <c:strCache>
                <c:ptCount val="1"/>
                <c:pt idx="0">
                  <c:v>5-Year Milestone</c:v>
                </c:pt>
              </c:strCache>
            </c:strRef>
          </c:tx>
          <c:spPr>
            <a:ln w="28575" cap="rnd">
              <a:solidFill>
                <a:schemeClr val="accent4"/>
              </a:solidFill>
              <a:round/>
            </a:ln>
            <a:effectLst/>
          </c:spPr>
          <c:marker>
            <c:symbol val="circle"/>
            <c:size val="5"/>
            <c:spPr>
              <a:solidFill>
                <a:sysClr val="windowText" lastClr="000000"/>
              </a:solidFill>
              <a:ln w="9525">
                <a:solidFill>
                  <a:srgbClr val="000000"/>
                </a:solidFill>
              </a:ln>
              <a:effectLst/>
            </c:spPr>
          </c:marker>
          <c:dLbls>
            <c:dLbl>
              <c:idx val="5"/>
              <c:layout>
                <c:manualLayout>
                  <c:x val="-7.4652777777777776E-2"/>
                  <c:y val="-5.00000000000001E-2"/>
                </c:manualLayout>
              </c:layout>
              <c:tx>
                <c:rich>
                  <a:bodyPr/>
                  <a:lstStyle/>
                  <a:p>
                    <a:r>
                      <a:rPr lang="en-US">
                        <a:solidFill>
                          <a:sysClr val="windowText" lastClr="000000"/>
                        </a:solidFill>
                        <a:latin typeface="Times New Roman" panose="02020603050405020304" pitchFamily="18" charset="0"/>
                        <a:cs typeface="Times New Roman" panose="02020603050405020304" pitchFamily="18" charset="0"/>
                      </a:rPr>
                      <a:t>5-Year Milestone</a:t>
                    </a:r>
                  </a:p>
                  <a:p>
                    <a:fld id="{0F72D3D1-A6E2-4A89-9FF3-36F0571A6FE4}" type="VALUE">
                      <a:rPr lang="en-US">
                        <a:solidFill>
                          <a:sysClr val="windowText" lastClr="000000"/>
                        </a:solidFill>
                        <a:latin typeface="Times New Roman" panose="02020603050405020304" pitchFamily="18" charset="0"/>
                        <a:cs typeface="Times New Roman" panose="02020603050405020304" pitchFamily="18" charset="0"/>
                      </a:rPr>
                      <a:pPr/>
                      <a:t>[VALUE]</a:t>
                    </a:fld>
                    <a:endParaRPr lang="en-US"/>
                  </a:p>
                </c:rich>
              </c:tx>
              <c:dLblPos val="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8-7507-4441-86B4-4544E7F8AFE5}"/>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en-US"/>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'TP Progress Charts'!$E$30:$E$51</c15:sqref>
                  </c15:fullRef>
                </c:ext>
              </c:extLst>
              <c:f>'TP Progress Charts'!$E$31:$E$51</c:f>
              <c:numCache>
                <c:formatCode>General</c:formatCode>
                <c:ptCount val="21"/>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pt idx="14">
                  <c:v>2027</c:v>
                </c:pt>
                <c:pt idx="15">
                  <c:v>2028</c:v>
                </c:pt>
                <c:pt idx="16">
                  <c:v>2029</c:v>
                </c:pt>
                <c:pt idx="17">
                  <c:v>2030</c:v>
                </c:pt>
                <c:pt idx="18">
                  <c:v>2031</c:v>
                </c:pt>
                <c:pt idx="19">
                  <c:v>2032</c:v>
                </c:pt>
                <c:pt idx="20">
                  <c:v>2033</c:v>
                </c:pt>
              </c:numCache>
            </c:numRef>
          </c:cat>
          <c:val>
            <c:numRef>
              <c:extLst>
                <c:ext xmlns:c15="http://schemas.microsoft.com/office/drawing/2012/chart" uri="{02D57815-91ED-43cb-92C2-25804820EDAC}">
                  <c15:fullRef>
                    <c15:sqref>'TP Progress Charts'!$G$30:$G$51</c15:sqref>
                  </c15:fullRef>
                </c:ext>
              </c:extLst>
              <c:f>'TP Progress Charts'!$G$31:$G$51</c:f>
              <c:numCache>
                <c:formatCode>#,##0</c:formatCode>
                <c:ptCount val="21"/>
              </c:numCache>
            </c:numRef>
          </c:val>
          <c:smooth val="0"/>
          <c:extLst>
            <c:ext xmlns:c16="http://schemas.microsoft.com/office/drawing/2014/chart" uri="{C3380CC4-5D6E-409C-BE32-E72D297353CC}">
              <c16:uniqueId val="{00000009-7758-4670-96DB-20F48322D525}"/>
            </c:ext>
          </c:extLst>
        </c:ser>
        <c:ser>
          <c:idx val="0"/>
          <c:order val="2"/>
          <c:tx>
            <c:strRef>
              <c:f>'TP Progress Charts'!$H$29</c:f>
              <c:strCache>
                <c:ptCount val="1"/>
                <c:pt idx="0">
                  <c:v>10-Year Milestone</c:v>
                </c:pt>
              </c:strCache>
            </c:strRef>
          </c:tx>
          <c:spPr>
            <a:ln w="28575" cap="rnd">
              <a:solidFill>
                <a:schemeClr val="accent1"/>
              </a:solidFill>
              <a:round/>
            </a:ln>
            <a:effectLst/>
          </c:spPr>
          <c:marker>
            <c:symbol val="circle"/>
            <c:size val="5"/>
            <c:spPr>
              <a:solidFill>
                <a:sysClr val="windowText" lastClr="000000"/>
              </a:solidFill>
              <a:ln w="9525">
                <a:solidFill>
                  <a:sysClr val="windowText" lastClr="000000"/>
                </a:solidFill>
              </a:ln>
              <a:effectLst/>
            </c:spPr>
          </c:marker>
          <c:dLbls>
            <c:dLbl>
              <c:idx val="10"/>
              <c:layout>
                <c:manualLayout>
                  <c:x val="-8.3337707786526688E-2"/>
                  <c:y val="-4.8763779527559052E-2"/>
                </c:manualLayout>
              </c:layout>
              <c:tx>
                <c:rich>
                  <a:bodyPr/>
                  <a:lstStyle/>
                  <a:p>
                    <a:r>
                      <a:rPr lang="en-US">
                        <a:solidFill>
                          <a:sysClr val="windowText" lastClr="000000"/>
                        </a:solidFill>
                        <a:latin typeface="Times New Roman" panose="02020603050405020304" pitchFamily="18" charset="0"/>
                        <a:cs typeface="Times New Roman" panose="02020603050405020304" pitchFamily="18" charset="0"/>
                      </a:rPr>
                      <a:t>10-Year Milestone</a:t>
                    </a:r>
                  </a:p>
                  <a:p>
                    <a:fld id="{D7088D3E-7EA8-4185-B986-29CDFCF1DF1A}" type="VALUE">
                      <a:rPr lang="en-US">
                        <a:solidFill>
                          <a:sysClr val="windowText" lastClr="000000"/>
                        </a:solidFill>
                        <a:latin typeface="Times New Roman" panose="02020603050405020304" pitchFamily="18" charset="0"/>
                        <a:cs typeface="Times New Roman" panose="02020603050405020304" pitchFamily="18" charset="0"/>
                      </a:rPr>
                      <a:pPr/>
                      <a:t>[VALUE]</a:t>
                    </a:fld>
                    <a:endParaRPr lang="en-US"/>
                  </a:p>
                </c:rich>
              </c:tx>
              <c:dLblPos val="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9-7507-4441-86B4-4544E7F8AFE5}"/>
                </c:ext>
              </c:extLst>
            </c:dLbl>
            <c:spPr>
              <a:noFill/>
              <a:ln>
                <a:noFill/>
              </a:ln>
              <a:effectLst/>
            </c:spPr>
            <c:txPr>
              <a:bodyPr rot="0" spcFirstLastPara="1" vertOverflow="ellipsis" vert="horz" wrap="square" lIns="38100" tIns="19050" rIns="38100" bIns="19050" anchor="ctr" anchorCtr="0">
                <a:spAutoFit/>
              </a:bodyPr>
              <a:lstStyle/>
              <a:p>
                <a:pPr algn="ctr">
                  <a:defRPr lang="en-US" sz="1050" b="0" i="0" u="none" strike="noStrike" kern="1200" baseline="0">
                    <a:solidFill>
                      <a:schemeClr val="tx1">
                        <a:lumMod val="75000"/>
                        <a:lumOff val="25000"/>
                      </a:schemeClr>
                    </a:solidFill>
                    <a:latin typeface="+mn-lt"/>
                    <a:ea typeface="+mn-ea"/>
                    <a:cs typeface="+mn-cs"/>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'TP Progress Charts'!$E$30:$E$51</c15:sqref>
                  </c15:fullRef>
                </c:ext>
              </c:extLst>
              <c:f>'TP Progress Charts'!$E$31:$E$51</c:f>
              <c:numCache>
                <c:formatCode>General</c:formatCode>
                <c:ptCount val="21"/>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pt idx="14">
                  <c:v>2027</c:v>
                </c:pt>
                <c:pt idx="15">
                  <c:v>2028</c:v>
                </c:pt>
                <c:pt idx="16">
                  <c:v>2029</c:v>
                </c:pt>
                <c:pt idx="17">
                  <c:v>2030</c:v>
                </c:pt>
                <c:pt idx="18">
                  <c:v>2031</c:v>
                </c:pt>
                <c:pt idx="19">
                  <c:v>2032</c:v>
                </c:pt>
                <c:pt idx="20">
                  <c:v>2033</c:v>
                </c:pt>
              </c:numCache>
            </c:numRef>
          </c:cat>
          <c:val>
            <c:numRef>
              <c:extLst>
                <c:ext xmlns:c15="http://schemas.microsoft.com/office/drawing/2012/chart" uri="{02D57815-91ED-43cb-92C2-25804820EDAC}">
                  <c15:fullRef>
                    <c15:sqref>'TP Progress Charts'!$H$30:$H$51</c15:sqref>
                  </c15:fullRef>
                </c:ext>
              </c:extLst>
              <c:f>'TP Progress Charts'!$H$31:$H$51</c:f>
              <c:numCache>
                <c:formatCode>#,##0</c:formatCode>
                <c:ptCount val="21"/>
              </c:numCache>
            </c:numRef>
          </c:val>
          <c:smooth val="0"/>
          <c:extLst>
            <c:ext xmlns:c16="http://schemas.microsoft.com/office/drawing/2014/chart" uri="{C3380CC4-5D6E-409C-BE32-E72D297353CC}">
              <c16:uniqueId val="{0000000A-7758-4670-96DB-20F48322D525}"/>
            </c:ext>
          </c:extLst>
        </c:ser>
        <c:ser>
          <c:idx val="4"/>
          <c:order val="3"/>
          <c:tx>
            <c:strRef>
              <c:f>'TP Progress Charts'!$I$29</c:f>
              <c:strCache>
                <c:ptCount val="1"/>
                <c:pt idx="0">
                  <c:v>Total Reductions Required</c:v>
                </c:pt>
              </c:strCache>
            </c:strRef>
          </c:tx>
          <c:spPr>
            <a:ln w="28575" cap="rnd">
              <a:solidFill>
                <a:sysClr val="windowText" lastClr="000000"/>
              </a:solidFill>
              <a:prstDash val="sysDash"/>
              <a:round/>
            </a:ln>
            <a:effectLst/>
          </c:spPr>
          <c:marker>
            <c:symbol val="none"/>
          </c:marker>
          <c:dLbls>
            <c:dLbl>
              <c:idx val="15"/>
              <c:layout>
                <c:manualLayout>
                  <c:x val="8.0954177602799521E-2"/>
                  <c:y val="-5.4709469008681608E-2"/>
                </c:manualLayout>
              </c:layout>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7507-4441-86B4-4544E7F8AFE5}"/>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'TP Progress Charts'!$E$30:$E$51</c15:sqref>
                  </c15:fullRef>
                </c:ext>
              </c:extLst>
              <c:f>'TP Progress Charts'!$E$31:$E$51</c:f>
              <c:numCache>
                <c:formatCode>General</c:formatCode>
                <c:ptCount val="21"/>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pt idx="14">
                  <c:v>2027</c:v>
                </c:pt>
                <c:pt idx="15">
                  <c:v>2028</c:v>
                </c:pt>
                <c:pt idx="16">
                  <c:v>2029</c:v>
                </c:pt>
                <c:pt idx="17">
                  <c:v>2030</c:v>
                </c:pt>
                <c:pt idx="18">
                  <c:v>2031</c:v>
                </c:pt>
                <c:pt idx="19">
                  <c:v>2032</c:v>
                </c:pt>
                <c:pt idx="20">
                  <c:v>2033</c:v>
                </c:pt>
              </c:numCache>
            </c:numRef>
          </c:cat>
          <c:val>
            <c:numRef>
              <c:extLst>
                <c:ext xmlns:c15="http://schemas.microsoft.com/office/drawing/2012/chart" uri="{02D57815-91ED-43cb-92C2-25804820EDAC}">
                  <c15:fullRef>
                    <c15:sqref>'TP Progress Charts'!$I$30:$I$51</c15:sqref>
                  </c15:fullRef>
                </c:ext>
              </c:extLst>
              <c:f>'TP Progress Charts'!$I$31:$I$51</c:f>
              <c:numCache>
                <c:formatCode>#,##0</c:formatCode>
                <c:ptCount val="21"/>
                <c:pt idx="0">
                  <c:v>32721</c:v>
                </c:pt>
                <c:pt idx="1">
                  <c:v>32721</c:v>
                </c:pt>
                <c:pt idx="2">
                  <c:v>32721</c:v>
                </c:pt>
                <c:pt idx="3">
                  <c:v>32721</c:v>
                </c:pt>
                <c:pt idx="4">
                  <c:v>32721</c:v>
                </c:pt>
                <c:pt idx="5">
                  <c:v>32721</c:v>
                </c:pt>
                <c:pt idx="6">
                  <c:v>32721</c:v>
                </c:pt>
                <c:pt idx="7">
                  <c:v>32721</c:v>
                </c:pt>
                <c:pt idx="8">
                  <c:v>32721</c:v>
                </c:pt>
                <c:pt idx="9">
                  <c:v>32721</c:v>
                </c:pt>
                <c:pt idx="10">
                  <c:v>32721</c:v>
                </c:pt>
                <c:pt idx="11">
                  <c:v>32721</c:v>
                </c:pt>
                <c:pt idx="12">
                  <c:v>32721</c:v>
                </c:pt>
                <c:pt idx="13">
                  <c:v>32721</c:v>
                </c:pt>
                <c:pt idx="14">
                  <c:v>32721</c:v>
                </c:pt>
                <c:pt idx="15">
                  <c:v>32721</c:v>
                </c:pt>
                <c:pt idx="16">
                  <c:v>32721</c:v>
                </c:pt>
                <c:pt idx="17">
                  <c:v>32721</c:v>
                </c:pt>
                <c:pt idx="18">
                  <c:v>32721</c:v>
                </c:pt>
                <c:pt idx="19">
                  <c:v>32721</c:v>
                </c:pt>
                <c:pt idx="20">
                  <c:v>32721</c:v>
                </c:pt>
              </c:numCache>
            </c:numRef>
          </c:val>
          <c:smooth val="0"/>
          <c:extLst>
            <c:ext xmlns:c16="http://schemas.microsoft.com/office/drawing/2014/chart" uri="{C3380CC4-5D6E-409C-BE32-E72D297353CC}">
              <c16:uniqueId val="{0000000B-7758-4670-96DB-20F48322D525}"/>
            </c:ext>
          </c:extLst>
        </c:ser>
        <c:dLbls>
          <c:showLegendKey val="0"/>
          <c:showVal val="0"/>
          <c:showCatName val="0"/>
          <c:showSerName val="0"/>
          <c:showPercent val="0"/>
          <c:showBubbleSize val="0"/>
        </c:dLbls>
        <c:marker val="1"/>
        <c:smooth val="0"/>
        <c:axId val="397599824"/>
        <c:axId val="397600152"/>
        <c:extLst/>
      </c:lineChart>
      <c:catAx>
        <c:axId val="397599824"/>
        <c:scaling>
          <c:orientation val="minMax"/>
        </c:scaling>
        <c:delete val="0"/>
        <c:axPos val="b"/>
        <c:title>
          <c:tx>
            <c:rich>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r>
                  <a:rPr lang="en-US" sz="900" b="1">
                    <a:solidFill>
                      <a:sysClr val="windowText" lastClr="000000"/>
                    </a:solidFill>
                    <a:latin typeface="Times New Roman" panose="02020603050405020304" pitchFamily="18" charset="0"/>
                    <a:cs typeface="Times New Roman" panose="02020603050405020304" pitchFamily="18" charset="0"/>
                  </a:rPr>
                  <a:t>Year</a:t>
                </a:r>
              </a:p>
            </c:rich>
          </c:tx>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title>
        <c:numFmt formatCode="General" sourceLinked="0"/>
        <c:majorTickMark val="in"/>
        <c:minorTickMark val="none"/>
        <c:tickLblPos val="nextTo"/>
        <c:spPr>
          <a:noFill/>
          <a:ln w="9525" cap="flat" cmpd="sng" algn="ctr">
            <a:solidFill>
              <a:sysClr val="windowText" lastClr="000000"/>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397600152"/>
        <c:crosses val="autoZero"/>
        <c:auto val="0"/>
        <c:lblAlgn val="ctr"/>
        <c:lblOffset val="100"/>
        <c:noMultiLvlLbl val="0"/>
      </c:catAx>
      <c:valAx>
        <c:axId val="397600152"/>
        <c:scaling>
          <c:orientation val="minMax"/>
          <c:min val="10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sz="900" b="1" i="0" kern="1200" baseline="0">
                    <a:solidFill>
                      <a:sysClr val="windowText" lastClr="000000"/>
                    </a:solidFill>
                    <a:effectLst/>
                    <a:latin typeface="Times New Roman" panose="02020603050405020304" pitchFamily="18" charset="0"/>
                    <a:cs typeface="Times New Roman" panose="02020603050405020304" pitchFamily="18" charset="0"/>
                  </a:rPr>
                  <a:t>Cumulative TP Reductions (lbs/yr)</a:t>
                </a:r>
                <a:endParaRPr lang="en-US" sz="900">
                  <a:solidFill>
                    <a:sysClr val="windowText" lastClr="000000"/>
                  </a:solidFill>
                  <a:effectLst/>
                </a:endParaRPr>
              </a:p>
            </c:rich>
          </c:tx>
          <c:layout>
            <c:manualLayout>
              <c:xMode val="edge"/>
              <c:yMode val="edge"/>
              <c:x val="1.3541666666666667E-2"/>
              <c:y val="0.26990748031496059"/>
            </c:manualLayout>
          </c:layout>
          <c:overlay val="0"/>
          <c:spPr>
            <a:noFill/>
            <a:ln>
              <a:noFill/>
            </a:ln>
            <a:effectLst/>
          </c:spPr>
          <c:txPr>
            <a:bodyPr rot="-5400000" spcFirstLastPara="1" vertOverflow="ellipsis" vert="horz" wrap="square" anchor="ctr" anchorCtr="1"/>
            <a:lstStyle/>
            <a:p>
              <a:pP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397599824"/>
        <c:crosses val="autoZero"/>
        <c:crossBetween val="midCat"/>
        <c:majorUnit val="2000"/>
      </c:valAx>
      <c:spPr>
        <a:noFill/>
        <a:ln>
          <a:noFill/>
        </a:ln>
        <a:effectLst/>
      </c:spPr>
    </c:plotArea>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10</xdr:col>
      <xdr:colOff>95250</xdr:colOff>
      <xdr:row>1</xdr:row>
      <xdr:rowOff>52385</xdr:rowOff>
    </xdr:from>
    <xdr:to>
      <xdr:col>24</xdr:col>
      <xdr:colOff>0</xdr:colOff>
      <xdr:row>24</xdr:row>
      <xdr:rowOff>164780</xdr:rowOff>
    </xdr:to>
    <xdr:graphicFrame macro="">
      <xdr:nvGraphicFramePr>
        <xdr:cNvPr id="2" name="Chart 1">
          <a:extLst>
            <a:ext uri="{FF2B5EF4-FFF2-40B4-BE49-F238E27FC236}">
              <a16:creationId xmlns:a16="http://schemas.microsoft.com/office/drawing/2014/main" id="{181B132A-4BDC-4907-8A87-BF7AC84D345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652462</xdr:colOff>
      <xdr:row>26</xdr:row>
      <xdr:rowOff>147637</xdr:rowOff>
    </xdr:from>
    <xdr:to>
      <xdr:col>23</xdr:col>
      <xdr:colOff>166687</xdr:colOff>
      <xdr:row>49</xdr:row>
      <xdr:rowOff>40957</xdr:rowOff>
    </xdr:to>
    <xdr:graphicFrame macro="">
      <xdr:nvGraphicFramePr>
        <xdr:cNvPr id="3" name="Chart 2">
          <a:extLst>
            <a:ext uri="{FF2B5EF4-FFF2-40B4-BE49-F238E27FC236}">
              <a16:creationId xmlns:a16="http://schemas.microsoft.com/office/drawing/2014/main" id="{341651DB-B494-464F-AD8F-C958BF10773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14287</xdr:colOff>
      <xdr:row>1</xdr:row>
      <xdr:rowOff>4762</xdr:rowOff>
    </xdr:from>
    <xdr:to>
      <xdr:col>22</xdr:col>
      <xdr:colOff>14287</xdr:colOff>
      <xdr:row>23</xdr:row>
      <xdr:rowOff>326707</xdr:rowOff>
    </xdr:to>
    <xdr:graphicFrame macro="">
      <xdr:nvGraphicFramePr>
        <xdr:cNvPr id="2" name="Chart 1">
          <a:extLst>
            <a:ext uri="{FF2B5EF4-FFF2-40B4-BE49-F238E27FC236}">
              <a16:creationId xmlns:a16="http://schemas.microsoft.com/office/drawing/2014/main" id="{A7609535-8E30-437B-BCD4-EE8C6DAD0BD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4762</xdr:colOff>
      <xdr:row>24</xdr:row>
      <xdr:rowOff>147637</xdr:rowOff>
    </xdr:from>
    <xdr:to>
      <xdr:col>22</xdr:col>
      <xdr:colOff>4762</xdr:colOff>
      <xdr:row>47</xdr:row>
      <xdr:rowOff>40957</xdr:rowOff>
    </xdr:to>
    <xdr:graphicFrame macro="">
      <xdr:nvGraphicFramePr>
        <xdr:cNvPr id="3" name="Chart 2">
          <a:extLst>
            <a:ext uri="{FF2B5EF4-FFF2-40B4-BE49-F238E27FC236}">
              <a16:creationId xmlns:a16="http://schemas.microsoft.com/office/drawing/2014/main" id="{76D97497-F92C-4D00-82DB-2A6D5429037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Heather%20York/Desktop/IRL%20BMAP/2017%20progress%20reports/BRL/project%20tables/Brevard%20County.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ileserver\DATA\FileServer%20Data\FDEP%20IRL\01%20BMAPs%20and%20Annual%20Reports\NIRL\2019%20Annual%20Report\Received\Titusville\Copy%20of%20Titusville_NIRL_Projects2019_Updated%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nderway"/>
      <sheetName val="Completed"/>
      <sheetName val="New"/>
      <sheetName val="Sheet4"/>
    </sheetNames>
    <sheetDataSet>
      <sheetData sheetId="0"/>
      <sheetData sheetId="1"/>
      <sheetData sheetId="2"/>
      <sheetData sheetId="3">
        <row r="1">
          <cell r="A1" t="str">
            <v>Agriculutral Projects</v>
          </cell>
        </row>
        <row r="2">
          <cell r="A2" t="str">
            <v>Education and Outreach Efforts</v>
          </cell>
        </row>
        <row r="3">
          <cell r="A3" t="str">
            <v>Housekeeping BMPs</v>
          </cell>
        </row>
        <row r="4">
          <cell r="A4" t="str">
            <v>Land Acquisition</v>
          </cell>
        </row>
        <row r="5">
          <cell r="A5" t="str">
            <v>Model-related Projects</v>
          </cell>
        </row>
        <row r="6">
          <cell r="A6" t="str">
            <v>Regulations, Ordinances, and Programs</v>
          </cell>
        </row>
        <row r="7">
          <cell r="A7" t="str">
            <v>Restoration Project</v>
          </cell>
        </row>
        <row r="8">
          <cell r="A8" t="str">
            <v>Studies, Research, Assessments, and Planning Efforts</v>
          </cell>
        </row>
        <row r="9">
          <cell r="A9" t="str">
            <v>Stormwater Chemical Treatment</v>
          </cell>
        </row>
        <row r="10">
          <cell r="A10" t="str">
            <v>Stormwater LID</v>
          </cell>
        </row>
        <row r="11">
          <cell r="A11" t="str">
            <v>Stormwater Management Systems</v>
          </cell>
        </row>
        <row r="12">
          <cell r="A12" t="str">
            <v>Stormwater Reuse</v>
          </cell>
        </row>
        <row r="13">
          <cell r="A13" t="str">
            <v>Surface Water Quality Iprovement Project</v>
          </cell>
        </row>
        <row r="14">
          <cell r="A14" t="str">
            <v>Wastewater - Centralized/Sewered</v>
          </cell>
        </row>
        <row r="15">
          <cell r="A15" t="str">
            <v>Wastewater - OSTDS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 Types and Menus"/>
    </sheetNames>
    <sheetDataSet>
      <sheetData sheetId="0" refreshError="1"/>
    </sheetDataSet>
  </externalBook>
</externalLink>
</file>

<file path=xl/persons/person.xml><?xml version="1.0" encoding="utf-8"?>
<personList xmlns="http://schemas.microsoft.com/office/spreadsheetml/2018/threadedcomments" xmlns:x="http://schemas.openxmlformats.org/spreadsheetml/2006/main">
  <person displayName="Tina Gordon" id="{B4B03F61-DF8A-4099-B19F-58EB4D9CF272}" userId="Tina Gordon" providerId="None"/>
  <person displayName="Christopher Caschera" id="{910663B4-CF32-481E-AE93-7D7730B9169C}" userId="Christopher Caschera" providerId="None"/>
</personList>
</file>

<file path=xl/pivotCache/_rels/pivotCacheDefinition1.xml.rels><?xml version="1.0" encoding="UTF-8" standalone="yes"?>
<Relationships xmlns="http://schemas.openxmlformats.org/package/2006/relationships"><Relationship Id="rId2" Type="http://schemas.openxmlformats.org/officeDocument/2006/relationships/externalLinkPath" Target="file:///Y:\FileServer%20Data\FDEP%20IRL\Project%20Metrics%20Workbooks\Current%20Versions\NIRL_metrics_071618.xlsx" TargetMode="External"/><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Tina Gordon" refreshedDate="43196.694814699076" createdVersion="5" refreshedVersion="5" minRefreshableVersion="3" recordCount="258" xr:uid="{00000000-000A-0000-FFFF-FFFF00000000}">
  <cacheSource type="worksheet">
    <worksheetSource ref="A1:Q1048576" sheet="NIRL STAR Table" r:id="rId2"/>
  </cacheSource>
  <cacheFields count="17">
    <cacheField name="Lead Entity" numFmtId="0">
      <sharedItems containsBlank="1"/>
    </cacheField>
    <cacheField name="Partners" numFmtId="0">
      <sharedItems containsBlank="1"/>
    </cacheField>
    <cacheField name="Project Number " numFmtId="0">
      <sharedItems containsBlank="1"/>
    </cacheField>
    <cacheField name="Project Name" numFmtId="0">
      <sharedItems containsBlank="1"/>
    </cacheField>
    <cacheField name="Project Description" numFmtId="0">
      <sharedItems containsBlank="1"/>
    </cacheField>
    <cacheField name="Project Type" numFmtId="0">
      <sharedItems containsBlank="1"/>
    </cacheField>
    <cacheField name="Project Status" numFmtId="0">
      <sharedItems containsBlank="1" count="5">
        <s v="Completed"/>
        <s v="Planned"/>
        <s v="Canceled"/>
        <s v="Underway"/>
        <m/>
      </sharedItems>
    </cacheField>
    <cacheField name="Estimated Completion Date" numFmtId="0">
      <sharedItems containsBlank="1" containsMixedTypes="1" containsNumber="1" containsInteger="1" minValue="1984" maxValue="2022"/>
    </cacheField>
    <cacheField name="TN Reduction (lbs/yr)" numFmtId="0">
      <sharedItems containsBlank="1" containsMixedTypes="1" containsNumber="1" minValue="0" maxValue="10948"/>
    </cacheField>
    <cacheField name="TP Reduction (lbs/yr)" numFmtId="0">
      <sharedItems containsBlank="1" containsMixedTypes="1" containsNumber="1" minValue="0" maxValue="3217.9"/>
    </cacheField>
    <cacheField name="Location" numFmtId="0">
      <sharedItems containsBlank="1"/>
    </cacheField>
    <cacheField name="Acres Treated" numFmtId="0">
      <sharedItems containsBlank="1" containsMixedTypes="1" containsNumber="1" minValue="0.1" maxValue="6232.9"/>
    </cacheField>
    <cacheField name="Cost Estimate" numFmtId="0">
      <sharedItems containsBlank="1" containsMixedTypes="1" containsNumber="1" minValue="2000" maxValue="26250000"/>
    </cacheField>
    <cacheField name="Cost Annual O&amp;M" numFmtId="0">
      <sharedItems containsBlank="1" containsMixedTypes="1" containsNumber="1" minValue="0" maxValue="276303.28000000003"/>
    </cacheField>
    <cacheField name="Funding Source" numFmtId="0">
      <sharedItems containsBlank="1"/>
    </cacheField>
    <cacheField name="Funding Amount " numFmtId="0">
      <sharedItems containsBlank="1" containsMixedTypes="1" containsNumber="1" containsInteger="1" minValue="2000" maxValue="26250000"/>
    </cacheField>
    <cacheField name="DEP Contract Agreement Number" numFmtId="0">
      <sharedItems containsBlank="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Tina Gordon" refreshedDate="43903.43560138889" createdVersion="6" refreshedVersion="6" minRefreshableVersion="3" recordCount="300" xr:uid="{00000000-000A-0000-FFFF-FFFF27000000}">
  <cacheSource type="worksheet">
    <worksheetSource ref="B1:X1048576" sheet="NIRL All Projects"/>
  </cacheSource>
  <cacheFields count="23">
    <cacheField name="LeadEntity" numFmtId="0">
      <sharedItems containsBlank="1" count="18">
        <s v="Brevard County"/>
        <s v="City of Cocoa"/>
        <s v="City of Edgewater"/>
        <s v="City of Melbourne"/>
        <s v="City of Rockledge"/>
        <s v="City of Titusville"/>
        <s v="FDACS"/>
        <s v="FDOT District 5"/>
        <s v="Kennedy Space Center"/>
        <s v="Town of Indialantic"/>
        <s v="Town of Palm Shores"/>
        <s v="Volusia County"/>
        <m/>
        <s v="Rockledge" u="1"/>
        <s v="City of Oak Hill (De Minimus)" u="1"/>
        <s v="Melbourne" u="1"/>
        <s v="Town of Indian Harbour Beach - De Minimus" u="1"/>
        <s v="Titusville" u="1"/>
      </sharedItems>
    </cacheField>
    <cacheField name="Partners" numFmtId="0">
      <sharedItems containsBlank="1"/>
    </cacheField>
    <cacheField name="ProjectNumber" numFmtId="0">
      <sharedItems containsBlank="1"/>
    </cacheField>
    <cacheField name="ProjectName" numFmtId="0">
      <sharedItems containsBlank="1"/>
    </cacheField>
    <cacheField name="ProjectDescription" numFmtId="0">
      <sharedItems containsBlank="1"/>
    </cacheField>
    <cacheField name="ProjectType" numFmtId="0">
      <sharedItems containsBlank="1"/>
    </cacheField>
    <cacheField name="ProjectStatus" numFmtId="0">
      <sharedItems containsBlank="1" count="5">
        <s v="Completed"/>
        <s v="Underway"/>
        <s v="Canceled"/>
        <s v="Planned"/>
        <m/>
      </sharedItems>
    </cacheField>
    <cacheField name="EstimatedCompletionDate" numFmtId="0">
      <sharedItems containsBlank="1" containsMixedTypes="1" containsNumber="1" containsInteger="1" minValue="1984" maxValue="2027"/>
    </cacheField>
    <cacheField name="TNReduction(lbs/yr)" numFmtId="3">
      <sharedItems containsBlank="1" containsMixedTypes="1" containsNumber="1" minValue="0" maxValue="10948"/>
    </cacheField>
    <cacheField name="TPReduction(lbs/yr)" numFmtId="3">
      <sharedItems containsBlank="1" containsMixedTypes="1" containsNumber="1" minValue="0" maxValue="3217.9"/>
    </cacheField>
    <cacheField name="Location" numFmtId="0">
      <sharedItems containsBlank="1" count="6">
        <s v="A"/>
        <s v="B"/>
        <s v="N/A"/>
        <m/>
        <s v="A &amp; B" u="1"/>
        <s v="unknown" u="1"/>
      </sharedItems>
    </cacheField>
    <cacheField name="AcresTreated" numFmtId="3">
      <sharedItems containsBlank="1" containsMixedTypes="1" containsNumber="1" minValue="0.1" maxValue="6232.9"/>
    </cacheField>
    <cacheField name="CostEstimate" numFmtId="164">
      <sharedItems containsBlank="1" containsMixedTypes="1" containsNumber="1" minValue="2000" maxValue="26250000"/>
    </cacheField>
    <cacheField name="CostAnnualO&amp;M" numFmtId="164">
      <sharedItems containsBlank="1" containsMixedTypes="1" containsNumber="1" minValue="0" maxValue="335000"/>
    </cacheField>
    <cacheField name="FundingSource" numFmtId="164">
      <sharedItems containsBlank="1"/>
    </cacheField>
    <cacheField name="FundingAmount" numFmtId="164">
      <sharedItems containsBlank="1" containsMixedTypes="1" containsNumber="1" containsInteger="1" minValue="18344" maxValue="8000000"/>
    </cacheField>
    <cacheField name="DEPContractAgreementNumber" numFmtId="0">
      <sharedItems containsBlank="1"/>
    </cacheField>
    <cacheField name="Structural, Non-structural, or Trade" numFmtId="0">
      <sharedItems containsBlank="1"/>
    </cacheField>
    <cacheField name="Year Project Added" numFmtId="0">
      <sharedItems containsBlank="1" containsMixedTypes="1" containsNumber="1" containsInteger="1" minValue="2013" maxValue="2019" count="9">
        <n v="2013"/>
        <n v="2015"/>
        <n v="2019"/>
        <s v="N/A"/>
        <n v="2014"/>
        <n v="2016"/>
        <n v="2017"/>
        <n v="2018"/>
        <m/>
      </sharedItems>
    </cacheField>
    <cacheField name="BMAP" numFmtId="0">
      <sharedItems containsBlank="1"/>
    </cacheField>
    <cacheField name="Latitude" numFmtId="0">
      <sharedItems containsBlank="1" containsMixedTypes="1" containsNumber="1" minValue="-80.654976000000005" maxValue="29.42"/>
    </cacheField>
    <cacheField name="Longitude" numFmtId="0">
      <sharedItems containsBlank="1" containsMixedTypes="1" containsNumber="1" minValue="-80.827464000000006" maxValue="80.816109999999995"/>
    </cacheField>
    <cacheField name="Start Date" numFmtId="0">
      <sharedItems containsBlank="1" containsMixedTypes="1" containsNumber="1" containsInteger="1" minValue="1986" maxValue="2020"/>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hris Caschera" refreshedDate="43917.538254629631" createdVersion="6" refreshedVersion="6" minRefreshableVersion="3" recordCount="300" xr:uid="{7C9E8381-8101-4157-8807-7FDD9AD17D28}">
  <cacheSource type="worksheet">
    <worksheetSource ref="A1:A301" sheet="NIRL All Projects"/>
  </cacheSource>
  <cacheFields count="1">
    <cacheField name="ProjID" numFmtId="0">
      <sharedItems containsSemiMixedTypes="0" containsString="0" containsNumber="1" containsInteger="1" minValue="2761" maxValue="5373"/>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hris Caschera" refreshedDate="43927.687979629627" createdVersion="6" refreshedVersion="6" minRefreshableVersion="3" recordCount="301" xr:uid="{B18FE148-C022-4886-9EA3-DB8943C33A87}">
  <cacheSource type="worksheet">
    <worksheetSource ref="A1:X1048576" sheet="NIRL All Projects"/>
  </cacheSource>
  <cacheFields count="24">
    <cacheField name="ProjID" numFmtId="0">
      <sharedItems containsString="0" containsBlank="1" containsNumber="1" containsInteger="1" minValue="2761" maxValue="5373"/>
    </cacheField>
    <cacheField name="LeadEntity" numFmtId="0">
      <sharedItems containsBlank="1"/>
    </cacheField>
    <cacheField name="Partners" numFmtId="0">
      <sharedItems containsBlank="1"/>
    </cacheField>
    <cacheField name="ProjectNumber" numFmtId="0">
      <sharedItems containsBlank="1"/>
    </cacheField>
    <cacheField name="ProjectName" numFmtId="0">
      <sharedItems containsBlank="1"/>
    </cacheField>
    <cacheField name="ProjectDescription" numFmtId="0">
      <sharedItems containsBlank="1"/>
    </cacheField>
    <cacheField name="ProjectType" numFmtId="0">
      <sharedItems containsBlank="1"/>
    </cacheField>
    <cacheField name="ProjectStatus" numFmtId="0">
      <sharedItems containsBlank="1" count="5">
        <s v="Completed"/>
        <s v="Underway"/>
        <s v="Canceled"/>
        <s v="Planned"/>
        <m/>
      </sharedItems>
    </cacheField>
    <cacheField name="EstimatedCompletionDate" numFmtId="0">
      <sharedItems containsBlank="1" containsMixedTypes="1" containsNumber="1" containsInteger="1" minValue="1984" maxValue="2027" count="32">
        <n v="2014"/>
        <n v="2010"/>
        <s v="N/A"/>
        <s v="TBD"/>
        <n v="2005"/>
        <n v="2019"/>
        <n v="2003"/>
        <n v="2008"/>
        <n v="2000"/>
        <n v="2009"/>
        <n v="2004"/>
        <n v="2015"/>
        <n v="2020"/>
        <n v="2017"/>
        <s v="Prior to 2013"/>
        <n v="2022"/>
        <n v="2002"/>
        <n v="2013"/>
        <n v="2016"/>
        <n v="2018"/>
        <n v="2027"/>
        <n v="2021"/>
        <n v="2011"/>
        <n v="2007"/>
        <n v="1999"/>
        <n v="1996"/>
        <n v="1995"/>
        <n v="1997"/>
        <n v="1984"/>
        <n v="1992"/>
        <n v="2001"/>
        <m/>
      </sharedItems>
    </cacheField>
    <cacheField name="TNReduction(lbs/yr)" numFmtId="3">
      <sharedItems containsBlank="1" containsMixedTypes="1" containsNumber="1" minValue="0" maxValue="10948"/>
    </cacheField>
    <cacheField name="TPReduction(lbs/yr)" numFmtId="3">
      <sharedItems containsBlank="1" containsMixedTypes="1" containsNumber="1" minValue="0" maxValue="3217.9"/>
    </cacheField>
    <cacheField name="Location" numFmtId="0">
      <sharedItems containsBlank="1" count="5">
        <s v="A"/>
        <s v="B"/>
        <m/>
        <s v="N/A" u="1"/>
        <s v="unknown" u="1"/>
      </sharedItems>
    </cacheField>
    <cacheField name="AcresTreated" numFmtId="3">
      <sharedItems containsBlank="1" containsMixedTypes="1" containsNumber="1" minValue="0.1" maxValue="6232.9"/>
    </cacheField>
    <cacheField name="CostEstimate" numFmtId="164">
      <sharedItems containsBlank="1" containsMixedTypes="1" containsNumber="1" minValue="2000" maxValue="26250000"/>
    </cacheField>
    <cacheField name="CostAnnualO&amp;M" numFmtId="164">
      <sharedItems containsBlank="1" containsMixedTypes="1" containsNumber="1" minValue="0" maxValue="335000"/>
    </cacheField>
    <cacheField name="FundingSource" numFmtId="164">
      <sharedItems containsBlank="1"/>
    </cacheField>
    <cacheField name="FundingAmount" numFmtId="164">
      <sharedItems containsBlank="1" containsMixedTypes="1" containsNumber="1" containsInteger="1" minValue="18344" maxValue="8000000"/>
    </cacheField>
    <cacheField name="DEPContractAgreementNumber" numFmtId="0">
      <sharedItems containsBlank="1"/>
    </cacheField>
    <cacheField name="Structural, Non-structural, or Trade" numFmtId="0">
      <sharedItems containsBlank="1"/>
    </cacheField>
    <cacheField name="Year Project Added" numFmtId="0">
      <sharedItems containsBlank="1" containsMixedTypes="1" containsNumber="1" containsInteger="1" minValue="2013" maxValue="2019"/>
    </cacheField>
    <cacheField name="BMAP" numFmtId="0">
      <sharedItems containsBlank="1"/>
    </cacheField>
    <cacheField name="Latitude" numFmtId="0">
      <sharedItems containsBlank="1" containsMixedTypes="1" containsNumber="1" minValue="-80.654976000000005" maxValue="29.42"/>
    </cacheField>
    <cacheField name="Longitude" numFmtId="0">
      <sharedItems containsBlank="1" containsMixedTypes="1" containsNumber="1" minValue="-80.827464000000006" maxValue="80.816109999999995"/>
    </cacheField>
    <cacheField name="Start Date" numFmtId="0">
      <sharedItems containsBlank="1" containsMixedTypes="1" containsNumber="1" containsInteger="1" minValue="1986" maxValue="202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258">
  <r>
    <s v="Agriculture"/>
    <s v="N/A"/>
    <s v="Ag"/>
    <s v="Credit for Changes in Land Use"/>
    <s v="Credit for changes in land use"/>
    <s v="Land Use Change"/>
    <x v="0"/>
    <s v="Not Provided "/>
    <n v="5047"/>
    <n v="1420.3"/>
    <s v="A"/>
    <s v="Not Provided "/>
    <s v="N/A"/>
    <s v="N/A"/>
    <s v="N/A"/>
    <s v="N/A"/>
    <s v="N/A"/>
  </r>
  <r>
    <s v="Agriculture"/>
    <s v="N/A"/>
    <s v="Ag"/>
    <s v="Credit for Changes in Land Use"/>
    <s v="Credit for changes in land use"/>
    <s v="Land Use Change"/>
    <x v="0"/>
    <s v="Not Provided "/>
    <n v="4739"/>
    <n v="1029.4000000000001"/>
    <s v="B"/>
    <s v="Not Provided "/>
    <s v="N/A"/>
    <s v="N/A"/>
    <s v="N/A"/>
    <s v="N/A"/>
    <s v="N/A"/>
  </r>
  <r>
    <s v="Brevard County"/>
    <s v="N/A"/>
    <s v="BC-01"/>
    <s v="Old Dixie Highway 601"/>
    <s v="Sediment trap."/>
    <s v="BMP Cleanout"/>
    <x v="0"/>
    <n v="2014"/>
    <s v="Not Provided "/>
    <s v="Not Provided "/>
    <s v="A"/>
    <s v="Not Provided"/>
    <n v="2000"/>
    <n v="2000"/>
    <s v="County"/>
    <n v="2000"/>
    <s v="N/A"/>
  </r>
  <r>
    <s v="Brevard County"/>
    <s v="DEP/ Titusville"/>
    <s v="BC-02"/>
    <s v="Chain of Lakes Pond"/>
    <s v="Not Provided"/>
    <s v="Wet Detention Pond"/>
    <x v="0"/>
    <n v="2010"/>
    <n v="2699"/>
    <n v="1109.4000000000001"/>
    <s v="A"/>
    <n v="1072.5"/>
    <n v="2051405"/>
    <s v="Not Provided"/>
    <s v="DEP"/>
    <s v="Not Provided"/>
    <s v="WM804"/>
  </r>
  <r>
    <s v="Brevard County"/>
    <s v="West Melbourne/ Grant-Valkaria/ Malabar/ Melbourne/ Cocoa/ IHB/ Sat. Beach/ Cocoa Beach/ Cape Canaveral"/>
    <s v="BC-03"/>
    <s v="Education Efforts"/>
    <s v="FYN; landscape, irrigation, fertilizer, and pet waste ordinances; PSAs; pamphlets; website, Illicit Discharge Program."/>
    <s v="Education Efforts"/>
    <x v="0"/>
    <s v="N/A"/>
    <n v="1660"/>
    <n v="214"/>
    <s v="A"/>
    <s v="N/A"/>
    <s v="Not Provided"/>
    <s v="Not Provided"/>
    <s v="Not Provided"/>
    <s v="Not Provided"/>
    <s v="N/A"/>
  </r>
  <r>
    <s v="Brevard County"/>
    <s v="TBD"/>
    <s v="BC-04"/>
    <s v="Scottsmoor I"/>
    <s v="Advanced denitrification and baffle box treatment train."/>
    <s v="BMP Treatment Train"/>
    <x v="1"/>
    <s v="TBD"/>
    <s v="TBD"/>
    <s v="TBD"/>
    <s v="A"/>
    <n v="530.9"/>
    <n v="601664"/>
    <n v="1000"/>
    <s v="TBD"/>
    <s v="TBD"/>
    <s v="N/A"/>
  </r>
  <r>
    <s v="Brevard County"/>
    <s v="DEP/ City of Titusville"/>
    <s v="BC-05"/>
    <s v="Chain of Lakes Southern Expansion Phase 1"/>
    <s v="Not Provided"/>
    <s v="Wet Detention Pond"/>
    <x v="0"/>
    <n v="2014"/>
    <n v="1325"/>
    <n v="440.6"/>
    <s v="A"/>
    <n v="575.20000000000005"/>
    <n v="3200000"/>
    <n v="1000"/>
    <s v="DEP"/>
    <s v="Not Provided"/>
    <s v="S0620"/>
  </r>
  <r>
    <s v="Brevard County"/>
    <s v="Not Provided"/>
    <s v="BC-06"/>
    <s v="Chain of Lakes Reuse"/>
    <s v="Not Provided"/>
    <s v="Stormwater Reuse"/>
    <x v="0"/>
    <n v="2005"/>
    <n v="498"/>
    <n v="63.2"/>
    <s v="A"/>
    <s v="Not Provided"/>
    <s v="Not Provided"/>
    <s v="Not Provided"/>
    <s v="Not Provided"/>
    <s v="Not Provided"/>
    <s v="N/A"/>
  </r>
  <r>
    <s v="Brevard County"/>
    <s v="TBD"/>
    <s v="BC-07"/>
    <s v="Scottsmoor C"/>
    <s v="Advanced denitrification and baffle box treatment train."/>
    <s v="BMP Treatment Train"/>
    <x v="1"/>
    <s v="TBD"/>
    <s v="TBD"/>
    <s v="TBD"/>
    <s v="A"/>
    <n v="463"/>
    <s v="TBD"/>
    <s v="TBD"/>
    <s v="TBD"/>
    <s v="TBD"/>
    <s v="N/A"/>
  </r>
  <r>
    <s v="Brevard County"/>
    <s v="Not Provided"/>
    <s v="BC-08"/>
    <s v="Twin Lakes North"/>
    <s v="Not Provided"/>
    <s v="Baffle Box - 1st generation"/>
    <x v="0"/>
    <n v="2014"/>
    <n v="10"/>
    <n v="1"/>
    <s v="B"/>
    <n v="7.7"/>
    <s v="Not Provided"/>
    <s v="Not Provided"/>
    <s v="Not Provided"/>
    <s v="Not Provided"/>
    <s v="N/A"/>
  </r>
  <r>
    <s v="Brevard County"/>
    <s v="Not Provided"/>
    <s v="BC-09"/>
    <s v="Twin Lakes South"/>
    <s v="Not Provided"/>
    <s v="Baffle Box - 1st generation"/>
    <x v="0"/>
    <n v="2014"/>
    <n v="10"/>
    <n v="1"/>
    <s v="B"/>
    <n v="8.5"/>
    <n v="20082"/>
    <s v="Not Provided"/>
    <s v="Not Provided"/>
    <s v="Not Provided"/>
    <s v="N/A"/>
  </r>
  <r>
    <s v="Brevard County"/>
    <s v="DEP"/>
    <s v="BC-10"/>
    <s v="Lucas Place 640 Baffle Box"/>
    <s v="Not Provided"/>
    <s v="Baffle Box - 1st generation"/>
    <x v="0"/>
    <n v="2003"/>
    <n v="8"/>
    <n v="0.8"/>
    <s v="B"/>
    <n v="5.2"/>
    <n v="36835"/>
    <n v="1000"/>
    <s v="DEP/County"/>
    <s v="Not Provided"/>
    <s v="S0620"/>
  </r>
  <r>
    <s v="Brevard County"/>
    <s v="DEP"/>
    <s v="BC-11"/>
    <s v="Rockledge Drive 2055"/>
    <s v="Not Provided"/>
    <s v="Baffle Box - 1st generation"/>
    <x v="0"/>
    <n v="2008"/>
    <n v="2"/>
    <n v="0.1"/>
    <s v="B"/>
    <n v="2.4"/>
    <n v="61094"/>
    <n v="1000"/>
    <s v="DEP"/>
    <s v="Not Provided"/>
    <s v="S0620"/>
  </r>
  <r>
    <s v="Brevard County"/>
    <s v="Not Provided"/>
    <s v="BC-12"/>
    <s v="Rockledge and Riverwoods Baffle Box"/>
    <s v="Not Provided"/>
    <s v="Baffle Box - 1st generation"/>
    <x v="0"/>
    <n v="2000"/>
    <n v="3"/>
    <n v="0.3"/>
    <s v="B"/>
    <n v="3.8"/>
    <n v="47686"/>
    <n v="1000"/>
    <s v="Not Provided"/>
    <s v="Not Provided"/>
    <s v="N/A"/>
  </r>
  <r>
    <s v="Brevard County"/>
    <s v="DEP"/>
    <s v="BC-13"/>
    <s v="Anchor Lane"/>
    <s v="Not Provided"/>
    <s v="Baffle Box - 1st generation"/>
    <x v="0"/>
    <n v="2000"/>
    <n v="47"/>
    <n v="5.4"/>
    <s v="B"/>
    <n v="29.4"/>
    <n v="49560"/>
    <n v="1000"/>
    <s v="DEP"/>
    <s v="Not Provided"/>
    <s v="S0620"/>
  </r>
  <r>
    <s v="Brevard County"/>
    <s v="Not Provided"/>
    <s v="BC-14"/>
    <s v="Kelmore Baffle Box"/>
    <s v="Not Provided"/>
    <s v="Baffle Box - 1st generation"/>
    <x v="0"/>
    <n v="2003"/>
    <n v="10"/>
    <n v="1.8"/>
    <s v="B"/>
    <n v="9.6999999999999993"/>
    <n v="21817"/>
    <n v="1000"/>
    <s v="Not Provided"/>
    <s v="Not Provided"/>
    <s v="N/A"/>
  </r>
  <r>
    <s v="Brevard County"/>
    <s v="DEP"/>
    <s v="BC-15"/>
    <s v="Puesta Del Sol 735 Baffle Box"/>
    <s v="Not Provided"/>
    <s v="Baffle Box - 1st generation"/>
    <x v="0"/>
    <n v="2003"/>
    <n v="2"/>
    <n v="0.2"/>
    <s v="B"/>
    <n v="2.2000000000000002"/>
    <n v="24953"/>
    <n v="1000"/>
    <s v="DEP"/>
    <s v="Not Provided"/>
    <s v="S0620"/>
  </r>
  <r>
    <s v="Brevard County"/>
    <s v="SJRWMD"/>
    <s v="BC-16"/>
    <s v="Tequesta Harbor Baffle Box"/>
    <s v="Not Provided"/>
    <s v="Baffle Box - 1st generation"/>
    <x v="0"/>
    <n v="2009"/>
    <n v="21"/>
    <n v="2.4"/>
    <s v="B"/>
    <n v="13.1"/>
    <n v="27582"/>
    <n v="1000"/>
    <s v="Not Provided"/>
    <s v="Not Provided"/>
    <s v="N/A"/>
  </r>
  <r>
    <s v="Brevard County"/>
    <s v="NRCS"/>
    <s v="BC-17"/>
    <s v="Broadway Boulevard Pond"/>
    <s v="Not Provided"/>
    <s v="Wet Detention Pond"/>
    <x v="0"/>
    <n v="2000"/>
    <n v="272"/>
    <n v="55.7"/>
    <s v="B"/>
    <n v="85.7"/>
    <n v="553169"/>
    <s v="Not Provided"/>
    <s v="Not Provided"/>
    <s v="Not Provided"/>
    <s v="N/A"/>
  </r>
  <r>
    <s v="Brevard County"/>
    <s v="Not Provided"/>
    <s v="BC-18"/>
    <s v="Fairglen Elementary School Pond"/>
    <s v="Not Provided"/>
    <s v="Wet Detention Pond"/>
    <x v="0"/>
    <n v="2003"/>
    <n v="350"/>
    <n v="111.1"/>
    <s v="B"/>
    <n v="80.2"/>
    <n v="730869"/>
    <s v="Not Provided"/>
    <s v="Not Provided"/>
    <s v="Not Provided"/>
    <s v="N/A"/>
  </r>
  <r>
    <s v="Brevard County"/>
    <s v="DEP"/>
    <s v="BC-19"/>
    <s v="Lake George"/>
    <s v="Not Provided"/>
    <s v="Wet Detention Pond"/>
    <x v="0"/>
    <n v="2010"/>
    <n v="1261"/>
    <n v="414.6"/>
    <s v="B"/>
    <n v="719"/>
    <n v="347255"/>
    <n v="1000"/>
    <s v="DEP"/>
    <s v="Not Provided"/>
    <s v="LP8952"/>
  </r>
  <r>
    <s v="Brevard County"/>
    <s v="Not Provided"/>
    <s v="BC-20"/>
    <s v="Merritt Island Courthouse Pond"/>
    <s v="Not Provided"/>
    <s v="Wet Detention Pond"/>
    <x v="0"/>
    <n v="2003"/>
    <n v="8"/>
    <n v="2.5"/>
    <s v="B"/>
    <n v="7"/>
    <n v="95584"/>
    <s v="Not Provided"/>
    <s v="Not Provided"/>
    <s v="Not Provided"/>
    <s v="N/A"/>
  </r>
  <r>
    <s v="Brevard County"/>
    <s v="Not Provided"/>
    <s v="BC-21"/>
    <s v="Parkway Drive Phase 2 Pond "/>
    <s v="Not Provided"/>
    <s v="Wet Detention Pond"/>
    <x v="0"/>
    <n v="2004"/>
    <n v="4041"/>
    <n v="1598.9"/>
    <s v="B"/>
    <n v="1796.9"/>
    <n v="1817720"/>
    <s v="Not Provided"/>
    <s v="Not Provided"/>
    <s v="Not Provided"/>
    <s v="N/A"/>
  </r>
  <r>
    <s v="Brevard County"/>
    <s v="Not Provided"/>
    <s v="BC-22"/>
    <s v="Street Sweeping"/>
    <s v="Monthly Street Sweeping 786 curb lane miles"/>
    <s v="Street Sweeping"/>
    <x v="0"/>
    <s v="N/A"/>
    <n v="636"/>
    <n v="408"/>
    <s v="B"/>
    <s v="N/A"/>
    <s v="Not Provided"/>
    <s v="Not Provided"/>
    <s v="Not Provided"/>
    <s v="Not Provided"/>
    <s v="N/A"/>
  </r>
  <r>
    <s v="Brevard County"/>
    <s v="Not Provided"/>
    <s v="BC-23"/>
    <s v="Education Efforts"/>
    <s v="FYN; landscape, irrigation, fertilizer, and pet waste ordinances; PSAs; pamphlets; website, Illicit Discharge Program."/>
    <s v="Education Efforts"/>
    <x v="0"/>
    <s v="N/A"/>
    <n v="6339"/>
    <n v="1035"/>
    <s v="B"/>
    <s v="N/A"/>
    <s v="Not Provided"/>
    <s v="Not Provided"/>
    <s v="Not Provided"/>
    <s v="Not Provided"/>
    <s v="N/A"/>
  </r>
  <r>
    <s v="Brevard County"/>
    <s v="DEP"/>
    <s v="BC-24"/>
    <s v="Pine Island Phase I and II"/>
    <s v="Not Provided"/>
    <s v="Wet Detention Pond"/>
    <x v="0"/>
    <n v="2014"/>
    <n v="10948"/>
    <n v="3217.9"/>
    <s v="B"/>
    <n v="6232.9"/>
    <n v="4131255"/>
    <n v="34705"/>
    <s v="DEP"/>
    <s v="Not Provided"/>
    <s v="G0288 &amp; G0344"/>
  </r>
  <r>
    <s v="Brevard County"/>
    <s v="Not Provided"/>
    <s v="BC-25"/>
    <s v="Merritt Island Airport "/>
    <s v="Not Provided"/>
    <s v="Wet Detention Pond"/>
    <x v="2"/>
    <s v="N/A"/>
    <s v="N/A"/>
    <s v="N/A"/>
    <s v="N/A"/>
    <s v="N/A"/>
    <s v="N/A"/>
    <s v="N/A"/>
    <s v="N/A"/>
    <s v="N/A"/>
    <s v="N/A"/>
  </r>
  <r>
    <s v="Brevard County"/>
    <s v="DEP"/>
    <s v="BC-26"/>
    <s v="Pines Industrial"/>
    <s v="Not Provided"/>
    <s v="Wet Detention Pond"/>
    <x v="1"/>
    <s v="TBD"/>
    <n v="801.5"/>
    <n v="101"/>
    <s v="B"/>
    <n v="71"/>
    <n v="822000"/>
    <s v="TBD"/>
    <s v="DEP"/>
    <s v="Not Provided"/>
    <s v="NF003"/>
  </r>
  <r>
    <s v="Brevard County"/>
    <s v="DEP"/>
    <s v="BC-27"/>
    <s v="Johnson Junior High"/>
    <s v="Discharge regulation, phosphorus reduction, and denitrification."/>
    <s v="Floating Islands/ Managed Aquatic Plants Systems (MAPS)"/>
    <x v="1"/>
    <s v="TBD"/>
    <n v="187.14"/>
    <n v="27.04"/>
    <s v="B"/>
    <n v="133.4"/>
    <n v="484200"/>
    <s v="Not Provided"/>
    <s v="DEP"/>
    <s v="Not Provided"/>
    <s v="G0430"/>
  </r>
  <r>
    <s v="Brevard County"/>
    <s v="DEP"/>
    <s v="BC-28"/>
    <s v="Florida Boulevard"/>
    <s v="Not Provided"/>
    <s v="Floating Islands/ Managed Aquatic Plants Systems (MAPS)"/>
    <x v="0"/>
    <n v="2014"/>
    <n v="197"/>
    <n v="21"/>
    <s v="B"/>
    <n v="88.4"/>
    <n v="40772"/>
    <n v="18295"/>
    <s v="DEP"/>
    <s v="Not Provided"/>
    <s v="G0430"/>
  </r>
  <r>
    <s v="Brevard County"/>
    <s v="DEP"/>
    <s v="BC-29"/>
    <s v="Fairglen Elementary"/>
    <s v="Not Provided"/>
    <s v="Floating Islands/ Managed Aquatic Plants Systems (MAPS)"/>
    <x v="0"/>
    <n v="2017"/>
    <n v="123"/>
    <n v="12.2"/>
    <s v="B"/>
    <n v="80.2"/>
    <n v="34996"/>
    <n v="15703"/>
    <s v="DEP"/>
    <s v="Not Provided"/>
    <s v="G0430"/>
  </r>
  <r>
    <s v="Brevard County"/>
    <s v="DEP"/>
    <s v="BC-30"/>
    <s v="Port St. John B"/>
    <s v="Not Provided"/>
    <s v="Floating Islands/ Managed Aquatic Plants Systems (MAPS)"/>
    <x v="0"/>
    <s v="Not Provided "/>
    <n v="237"/>
    <n v="41.5"/>
    <s v="B"/>
    <n v="57.9"/>
    <n v="16308"/>
    <n v="7315"/>
    <s v="DEP"/>
    <s v="Not Provided"/>
    <s v="G0430"/>
  </r>
  <r>
    <s v="Brevard County"/>
    <s v="DEP"/>
    <s v="BC-31"/>
    <s v="Wickham Park North "/>
    <s v="Not Provided"/>
    <s v="Floating Islands/ Managed Aquatic Plants Systems (MAPS)"/>
    <x v="0"/>
    <n v="2017"/>
    <n v="2804"/>
    <n v="597.79999999999995"/>
    <s v="B"/>
    <n v="1796.9"/>
    <n v="75428"/>
    <n v="33846"/>
    <s v="DEP"/>
    <s v="Not Provided"/>
    <s v="G0430"/>
  </r>
  <r>
    <s v="Brevard County"/>
    <s v="DEP"/>
    <s v="BC-32"/>
    <s v="West Avenue 6600"/>
    <s v="Upgrading a 1st Generation to a 2nd generation baffle box by adding the nutrient separating screen."/>
    <s v="Baffle Box - Type 1 retrofit"/>
    <x v="0"/>
    <n v="2017"/>
    <n v="120"/>
    <n v="12"/>
    <s v="B"/>
    <n v="50.7"/>
    <n v="15000"/>
    <s v="Not Provided"/>
    <s v="DEP"/>
    <s v="Not Provided"/>
    <s v="S0648"/>
  </r>
  <r>
    <s v="Brevard County"/>
    <s v="DEP"/>
    <s v="BC-33"/>
    <s v="Lucas Place"/>
    <s v="Upgrading a 1st Generation to a 2nd generation baffle box by adding the nutrient separating screen."/>
    <s v="Baffle Box - Type 1 retrofit"/>
    <x v="0"/>
    <s v="Not Provided "/>
    <n v="8"/>
    <n v="0.7"/>
    <s v="B"/>
    <n v="2.7"/>
    <n v="12507"/>
    <s v="Not Provided"/>
    <s v="DEP"/>
    <s v="Not Provided"/>
    <s v="S0648"/>
  </r>
  <r>
    <s v="Brevard County"/>
    <s v="DEP"/>
    <s v="BC-34"/>
    <s v="Indian River Isles"/>
    <s v="Upgrading a 1st Generation to a 2nd generation baffle box by adding the nutrient separating screen."/>
    <s v="Baffle Box - Type 1 retrofit"/>
    <x v="0"/>
    <s v="Not Provided "/>
    <n v="63"/>
    <n v="7.8"/>
    <s v="B"/>
    <n v="7.3"/>
    <n v="30844"/>
    <s v="Not Provided"/>
    <s v="DEP"/>
    <s v="Not Provided"/>
    <s v="S0648"/>
  </r>
  <r>
    <s v="Brevard County"/>
    <s v="DEP"/>
    <s v="BC-35"/>
    <s v="Granada Street 1030 East"/>
    <s v="Upgrading a 1st Generation to a 2nd generation baffle box by adding the nutrient separating screen."/>
    <s v="Baffle Box - Type 1"/>
    <x v="0"/>
    <s v="Not Provided "/>
    <n v="99"/>
    <n v="16.399999999999999"/>
    <s v="B"/>
    <n v="38.6"/>
    <n v="15000"/>
    <s v="Not Provided"/>
    <s v="DEP"/>
    <s v="Not Provided"/>
    <s v="S0648"/>
  </r>
  <r>
    <s v="Brevard County"/>
    <s v="DEP"/>
    <s v="BC-36"/>
    <s v="Haverhill Avenue"/>
    <s v="Upgrading a 1st Generation to a 2nd generation baffle box by adding the nutrient separating screen."/>
    <s v="Baffle Box - Type 1 retrofit"/>
    <x v="0"/>
    <s v="Not Provided "/>
    <n v="80"/>
    <n v="8"/>
    <s v="B"/>
    <n v="47.5"/>
    <n v="35857"/>
    <s v="Not Provided"/>
    <s v="DEP"/>
    <s v="Not Provided"/>
    <s v="S0648"/>
  </r>
  <r>
    <s v="Brevard County"/>
    <s v="DEP"/>
    <s v="BC-37"/>
    <s v="Manth Avenue"/>
    <s v="Upgrading a 1st Generation to a 2nd generation baffle box by adding the nutrient separating screen."/>
    <s v="Baffle Box - Type 1 retrofit"/>
    <x v="0"/>
    <s v="Not Provided "/>
    <n v="226"/>
    <n v="29"/>
    <s v="B"/>
    <n v="69.099999999999994"/>
    <n v="12507"/>
    <s v="Not Provided"/>
    <s v="DEP"/>
    <s v="Not Provided"/>
    <s v="S0648"/>
  </r>
  <r>
    <s v="Brevard County"/>
    <s v="Not Provided"/>
    <s v="BC-38"/>
    <s v="Rockledge and Riverwoods Boulevard Rockledge"/>
    <s v="Upgrading a 1st Generation to a 2nd generation baffle box by adding the nutrient separating screen."/>
    <s v="Baffle Box - Type 1 retrofit"/>
    <x v="0"/>
    <s v="Not Provided "/>
    <n v="3"/>
    <n v="0.2"/>
    <s v="B"/>
    <n v="3.8"/>
    <n v="15000"/>
    <s v="Not Provided"/>
    <s v="Not Provided"/>
    <s v="Not Provided"/>
    <s v="N/A"/>
  </r>
  <r>
    <s v="Brevard County"/>
    <s v="DEP"/>
    <s v="BC-39"/>
    <s v="Alamanda Indian Harbour Beach"/>
    <s v="Upgrading a 1st Generation to a 2nd generation baffle box by adding the nutrient separating screen."/>
    <s v="Baffle Box - Type 1 retrofit"/>
    <x v="0"/>
    <s v="Not Provided "/>
    <n v="3"/>
    <n v="0.3"/>
    <s v="B"/>
    <n v="2.8"/>
    <n v="12507"/>
    <s v="Not Provided"/>
    <s v="DEP"/>
    <s v="Not Provided"/>
    <s v="S0648"/>
  </r>
  <r>
    <s v="Brevard County"/>
    <s v="DEP"/>
    <s v="BC-40"/>
    <s v="River Shore 1848 Indialantic"/>
    <s v="Upgrading a 1st Generation to a 2nd generation baffle box by adding the nutrient separating screen."/>
    <s v="Baffle Box - Type 1 retrofit"/>
    <x v="0"/>
    <s v="Not Provided "/>
    <n v="3"/>
    <n v="0.3"/>
    <s v="B"/>
    <n v="2.7"/>
    <n v="31751"/>
    <s v="Not Provided"/>
    <s v="DEP"/>
    <s v="Not Provided"/>
    <s v="S0648"/>
  </r>
  <r>
    <s v="Brevard County"/>
    <s v="DEP"/>
    <s v="BC-41"/>
    <s v="River Shore 1925 Indialantic"/>
    <s v="Upgrading a 1st Generation to a 2nd generation baffle box by adding the nutrient separating screen."/>
    <s v="Baffle Box - Type 1 retrofit"/>
    <x v="0"/>
    <s v="Not Provided "/>
    <n v="7"/>
    <n v="0.8"/>
    <s v="B"/>
    <n v="7.4"/>
    <n v="12507"/>
    <s v="Not Provided"/>
    <s v="DEP"/>
    <s v="Not Provided"/>
    <s v="S0648"/>
  </r>
  <r>
    <s v="Brevard County"/>
    <s v="DEP"/>
    <s v="BC-42"/>
    <s v="Cedar Lane Indialantic"/>
    <s v="Upgrading a 1st Generation to a 2nd generation baffle box by adding the nutrient separating screen."/>
    <s v="Baffle Box - Type 1 retrofit"/>
    <x v="0"/>
    <s v="Not Provided "/>
    <n v="6"/>
    <n v="0.6"/>
    <s v="B"/>
    <n v="3.8"/>
    <n v="12507"/>
    <s v="Not Provided"/>
    <s v="DEP"/>
    <s v="Not Provided"/>
    <s v="S0648"/>
  </r>
  <r>
    <s v="Brevard County"/>
    <s v="DEP"/>
    <s v="BC-43"/>
    <s v="Riverview 9856 Indialantic"/>
    <s v="Upgrading a 1st Generation to a 2nd generation baffle box by adding the nutrient separating screen."/>
    <s v="Baffle Box - Type 1 retrofit"/>
    <x v="0"/>
    <s v="Not Provided "/>
    <n v="9"/>
    <n v="0.9"/>
    <s v="B"/>
    <n v="5.7"/>
    <n v="15000"/>
    <s v="Not Provided"/>
    <s v="DEP"/>
    <s v="Not Provided"/>
    <s v="S0648"/>
  </r>
  <r>
    <s v="Brevard County"/>
    <s v="DEP"/>
    <s v="BC-44"/>
    <s v="Riverview 9864 Indialantic"/>
    <s v="Upgrading a 1st Generation to a 2nd generation baffle box by adding the nutrient separating screen."/>
    <s v="Baffle Box - Type 1 retrofit"/>
    <x v="0"/>
    <s v="Not Provided "/>
    <n v="202"/>
    <n v="33.4"/>
    <s v="B"/>
    <n v="98.5"/>
    <n v="15000"/>
    <s v="Not Provided"/>
    <s v="DEP"/>
    <s v="Not Provided"/>
    <s v="S0648"/>
  </r>
  <r>
    <s v="Brevard County"/>
    <s v="DEP"/>
    <s v="BC-45"/>
    <s v="Oak Ridge Indialantic"/>
    <s v="Upgrading a 1st Generation to a 2nd generation baffle box by adding the nutrient separating screen."/>
    <s v="Baffle Box - Type 1 retrofit"/>
    <x v="0"/>
    <s v="Not Provided "/>
    <n v="257"/>
    <n v="38.799999999999997"/>
    <s v="B"/>
    <n v="126.5"/>
    <n v="15000"/>
    <s v="Not Provided"/>
    <s v="DEP"/>
    <s v="Not Provided"/>
    <s v="S0648"/>
  </r>
  <r>
    <s v="Brevard County"/>
    <s v="SOIRL"/>
    <s v="BC-46"/>
    <s v="Kingsmill-Aurora Phase 2"/>
    <s v="Not Provided"/>
    <s v="Wet Detention Pond"/>
    <x v="1"/>
    <s v="TBD"/>
    <n v="4059"/>
    <n v="1589.8"/>
    <s v="B"/>
    <n v="1220.4000000000001"/>
    <n v="1600000"/>
    <n v="1000"/>
    <s v="SOIRL"/>
    <s v="TBD"/>
    <s v="N/A"/>
  </r>
  <r>
    <s v="Brevard County"/>
    <s v="NA"/>
    <s v="BC-47"/>
    <s v="Sediment Trap, Grated Inlet Basket, Inlet Weir Cleaning"/>
    <s v="Not Provided"/>
    <s v="BMP Cleanout"/>
    <x v="0"/>
    <s v="Not Provided "/>
    <s v="TBD"/>
    <s v="TBD"/>
    <s v="B"/>
    <s v="N/A"/>
    <n v="392105"/>
    <n v="250000"/>
    <s v="Not Provided"/>
    <n v="250000"/>
    <s v="N/A"/>
  </r>
  <r>
    <s v="Brevard County"/>
    <s v="DEP"/>
    <s v="BC-48"/>
    <s v="Merritt Ridge 3A"/>
    <s v="Alum pond. "/>
    <s v="Floating Islands/ Managed Aquatic Plants Systems (MAPS)"/>
    <x v="0"/>
    <s v="Not Provided "/>
    <n v="138"/>
    <n v="27"/>
    <s v="B"/>
    <n v="32.1"/>
    <n v="100362"/>
    <s v="Not Provided"/>
    <s v="DEP/County"/>
    <s v="Not Provided"/>
    <s v="G0430"/>
  </r>
  <r>
    <s v="Brevard County"/>
    <s v="DEP"/>
    <s v="BC-49"/>
    <s v="Lake George"/>
    <s v="Construction of a regional wet detention pond "/>
    <s v="Wet Detention Pond"/>
    <x v="0"/>
    <n v="2017"/>
    <n v="505"/>
    <n v="51.3"/>
    <s v="B"/>
    <n v="719"/>
    <n v="51200"/>
    <s v="Not Provided"/>
    <s v="DEP/County"/>
    <s v="Not Provided"/>
    <s v="LP852"/>
  </r>
  <r>
    <s v="Brevard County"/>
    <s v="Not Provided"/>
    <s v="BC-50"/>
    <s v="Wickham Park"/>
    <s v="The provided treatment volume is .17 ac-It,"/>
    <s v="Stormwater Reuse"/>
    <x v="0"/>
    <n v="2010"/>
    <n v="75"/>
    <n v="4.5999999999999996"/>
    <s v="B"/>
    <s v="Not Provided"/>
    <s v="Not Provided"/>
    <s v="Not Provided"/>
    <s v="Not Provided"/>
    <s v="Not Provided"/>
    <s v="N/A"/>
  </r>
  <r>
    <s v="Brevard County"/>
    <s v="Not Provided"/>
    <s v="BC-51"/>
    <s v="Ellington Park"/>
    <s v="Construction of a Wet Detention Pond"/>
    <s v="Stormwater Reuse"/>
    <x v="0"/>
    <n v="2005"/>
    <n v="409"/>
    <n v="87"/>
    <s v="B"/>
    <s v="Not Provided"/>
    <s v="Not Provided"/>
    <s v="Not Provided"/>
    <s v="Not Provided"/>
    <s v="Not Provided"/>
    <s v="N/A"/>
  </r>
  <r>
    <s v="Brevard County"/>
    <s v="Not Provided"/>
    <s v="BC-52"/>
    <s v="Rockledge Barton Park Reuse"/>
    <s v="Barton Park Pond was constructed by Rockledge. Brevard Parks withdraws water for irrigation for Rockledge Park."/>
    <s v="Stormwater Reuse"/>
    <x v="0"/>
    <n v="2009"/>
    <n v="262"/>
    <n v="24.1"/>
    <s v="B"/>
    <s v="Not Provided"/>
    <s v="Not Provided"/>
    <s v="Not Provided"/>
    <s v="Not Provided"/>
    <s v="Not Provided"/>
    <s v="N/A"/>
  </r>
  <r>
    <s v="Brevard County"/>
    <s v="Not Provided"/>
    <s v="BC-53"/>
    <s v="Florida Boulevard Pond"/>
    <s v="Construction of a wet detention pond."/>
    <s v="Wet Detention Pond"/>
    <x v="0"/>
    <n v="2002"/>
    <n v="545"/>
    <n v="185.4"/>
    <s v="B"/>
    <n v="88.4"/>
    <n v="350384"/>
    <s v="Not Provided"/>
    <s v="Not Provided"/>
    <s v="Not Provided"/>
    <s v="N/A"/>
  </r>
  <r>
    <s v="Brevard County"/>
    <s v="DEP"/>
    <s v="BC-54"/>
    <s v="McGiver South"/>
    <s v="Upgrading a 1st Generation to a 2nd generation baffle box by adding the nutrient separating screen."/>
    <s v="Baffle Box - Type 1 retrofit"/>
    <x v="0"/>
    <s v="Not Provided "/>
    <n v="6"/>
    <n v="0.7"/>
    <s v="B"/>
    <n v="2.8"/>
    <n v="12507"/>
    <s v="Not Provided"/>
    <s v="DEP"/>
    <s v="Not Provided"/>
    <s v="S0648"/>
  </r>
  <r>
    <s v="Brevard County"/>
    <s v="DEP"/>
    <s v="BC-55"/>
    <s v="651 Franklyn"/>
    <s v="Upgrading a 1st Generation to a 2nd generation baffle box by adding the nutrient separating screen."/>
    <s v="Baffle Box - Type 1 retrofit"/>
    <x v="0"/>
    <s v="Not Provided "/>
    <n v="15"/>
    <n v="1.6"/>
    <s v="B"/>
    <n v="13.7"/>
    <n v="12507"/>
    <s v="Not Provided"/>
    <s v="DEP"/>
    <s v="Not Provided"/>
    <s v="S0648"/>
  </r>
  <r>
    <s v="Brevard County"/>
    <s v="Not Provided"/>
    <s v="BC-56"/>
    <s v="Fountainhead "/>
    <s v="Removing vegetation from a wet detention pond."/>
    <s v="Aquatic Vegetation Harvesting"/>
    <x v="0"/>
    <n v="2014"/>
    <n v="401"/>
    <n v="64.7"/>
    <s v="B"/>
    <n v="125.45797899999999"/>
    <n v="39274"/>
    <s v="Not Provided"/>
    <s v="Not Provided"/>
    <s v="Not Provided"/>
    <s v="N/A"/>
  </r>
  <r>
    <s v="Brevard County"/>
    <s v="DEP"/>
    <s v="BC-57"/>
    <s v="Fiske"/>
    <s v="Upgrading a 1st Generation to a 2nd generation baffle box by adding the nutrient separating screen."/>
    <s v="Baffle Box - Type 1 retrofit"/>
    <x v="0"/>
    <s v="Not Provided "/>
    <n v="317.2"/>
    <n v="55.7"/>
    <s v="B"/>
    <n v="126.2"/>
    <n v="12507"/>
    <s v="Not Provided"/>
    <s v="DEP"/>
    <s v="Not Provided"/>
    <s v="S0648"/>
  </r>
  <r>
    <s v="Brevard County"/>
    <s v="Not Provided"/>
    <s v="BC-58"/>
    <s v="Street Sweeping"/>
    <s v="Monthly street sweeping."/>
    <s v="Street Sweeping"/>
    <x v="0"/>
    <s v="N/A"/>
    <n v="110"/>
    <n v="71"/>
    <s v="A"/>
    <s v="N/A"/>
    <s v="Not Provided"/>
    <s v="Not Provided"/>
    <s v="County"/>
    <s v="Not Provided"/>
    <s v="N/A"/>
  </r>
  <r>
    <s v="Brevard County"/>
    <s v="N/A"/>
    <s v="BC-59"/>
    <s v="Baffle Box/Sediment Trap Cleaning"/>
    <s v="Quarterly baffle box/sediment trap cleaning."/>
    <s v="BMP Cleanout"/>
    <x v="0"/>
    <n v="2015"/>
    <s v="Not Provided "/>
    <s v="Not Provided "/>
    <s v="A"/>
    <s v="N/A"/>
    <n v="250000"/>
    <n v="250000"/>
    <s v="County"/>
    <n v="250000"/>
    <s v="N/A"/>
  </r>
  <r>
    <s v="Brevard County"/>
    <s v="DEP"/>
    <s v="BC-60"/>
    <s v="Huntington Road"/>
    <s v="Not Provided"/>
    <s v="Floating Islands/ Managed Aquatic Plants Systems (MAPS)"/>
    <x v="0"/>
    <n v="2016"/>
    <n v="520"/>
    <n v="47"/>
    <s v="A"/>
    <n v="354.64151299999997"/>
    <n v="45788"/>
    <n v="9997.5"/>
    <s v="DEP/County"/>
    <s v="Not Provided"/>
    <s v="G0430"/>
  </r>
  <r>
    <s v="Brevard County"/>
    <s v="DEP"/>
    <s v="BC-61"/>
    <s v="Port St. John C"/>
    <s v="Not Provided"/>
    <s v="Floating Islands/ Managed Aquatic Plants Systems (MAPS)"/>
    <x v="0"/>
    <n v="2016"/>
    <n v="62"/>
    <n v="10.5"/>
    <s v="B"/>
    <n v="19.988123999999999"/>
    <n v="14062"/>
    <n v="3070.5"/>
    <s v="DEP/County"/>
    <s v="Not Provided"/>
    <s v="G0430"/>
  </r>
  <r>
    <s v="Brevard County"/>
    <s v="DEP"/>
    <s v="BC-62"/>
    <s v="Shoreview Circle"/>
    <s v="Upgrading a 1st Generation to a 2nd generation baffle box by adding the nutrient separating screen."/>
    <s v="Baffle Box - Type 1 retrofit"/>
    <x v="0"/>
    <s v="Not Provided "/>
    <s v="Not Provided "/>
    <s v="Not Provided "/>
    <s v="B"/>
    <s v="Not Provided "/>
    <s v="Not Provided"/>
    <s v="Not Provided"/>
    <s v="DEP"/>
    <s v="Not Provided"/>
    <s v="S0648"/>
  </r>
  <r>
    <s v="Brevard County"/>
    <s v="DEP"/>
    <s v="BC-63"/>
    <s v="Granada West"/>
    <s v="Upgrading a 1st Generation to a 2nd generation baffle box by adding the nutrient separating screen."/>
    <s v="Baffle Box - Type 1 retrofit"/>
    <x v="0"/>
    <s v="Not Provided "/>
    <s v="Not Provided "/>
    <s v="Not Provided "/>
    <s v="B"/>
    <s v="Not Provided "/>
    <s v="Not Provided"/>
    <s v="Not Provided"/>
    <s v="DEP"/>
    <s v="Not Provided"/>
    <s v="S0649"/>
  </r>
  <r>
    <s v="Brevard County"/>
    <s v="DEP"/>
    <s v="BC-64"/>
    <s v="Shoreview Lane"/>
    <s v="Upgrading a 1st Generation to a 2nd generation baffle box by adding the nutrient separating screen."/>
    <s v="Baffle Box - Type 1 retrofit"/>
    <x v="0"/>
    <s v="Not Provided "/>
    <s v="Not Provided "/>
    <s v="Not Provided "/>
    <s v="B"/>
    <s v="Not Provided "/>
    <s v="Not Provided"/>
    <s v="Not Provided"/>
    <s v="DEP"/>
    <s v="Not Provided"/>
    <s v="S0650"/>
  </r>
  <r>
    <s v="Brevard County"/>
    <s v="DEP"/>
    <s v="BC-65"/>
    <s v="Sunset Park North"/>
    <s v="Upgrading a 1st Generation to a 2nd generation baffle box by adding the nutrient separating screen."/>
    <s v="Baffle Box - Type 1 retrofit"/>
    <x v="0"/>
    <s v="Not Provided "/>
    <s v="Not Provided "/>
    <s v="Not Provided "/>
    <s v="B"/>
    <s v="Not Provided "/>
    <s v="Not Provided"/>
    <s v="Not Provided"/>
    <s v="DEP"/>
    <s v="Not Provided"/>
    <s v="S0651"/>
  </r>
  <r>
    <s v="Brevard County"/>
    <s v="DEP"/>
    <s v="BC-66"/>
    <s v="Oak Street"/>
    <s v="Upgrading a 1st Generation to a 2nd generation baffle box by adding the nutrient separating screen."/>
    <s v="Baffle Box - Type 1 retrofit"/>
    <x v="0"/>
    <s v="Not Provided "/>
    <s v="Not Provided "/>
    <s v="Not Provided "/>
    <s v="B"/>
    <s v="Not Provided "/>
    <s v="Not Provided"/>
    <s v="Not Provided"/>
    <s v="DEP"/>
    <s v="Not Provided"/>
    <s v="S0652"/>
  </r>
  <r>
    <s v="Brevard County"/>
    <s v="DEP"/>
    <s v="BC-67"/>
    <s v="Fountainhead Advanced Denitrification "/>
    <s v="Not Provided"/>
    <s v="Denitrification"/>
    <x v="1"/>
    <s v="TBD"/>
    <s v="TBD"/>
    <s v="TBD"/>
    <s v="B"/>
    <n v="234.65"/>
    <n v="284320"/>
    <s v="Not Provided"/>
    <s v="DEP"/>
    <s v="Not Provided"/>
    <s v="LP05115"/>
  </r>
  <r>
    <s v="Brevard County"/>
    <s v="DEP"/>
    <s v="BC-68"/>
    <s v="Multiple Ditch Outfall Denitrification D1"/>
    <s v="Not Provided"/>
    <s v="Denitrification"/>
    <x v="1"/>
    <s v="TBD"/>
    <s v="TBD"/>
    <s v="TBD"/>
    <s v="A &amp; B"/>
    <s v="Not Provided"/>
    <n v="3496838"/>
    <s v="Not Provided"/>
    <s v="DEP"/>
    <s v="Not Provided"/>
    <s v="LP0511A"/>
  </r>
  <r>
    <s v="Brevard County"/>
    <s v="DEP"/>
    <s v="BC-69"/>
    <s v="Multiple Ditch Outfall Denitrification D4"/>
    <s v="Not Provided"/>
    <s v="Denitrification"/>
    <x v="1"/>
    <s v="TBD"/>
    <s v="TBD"/>
    <s v="TBD"/>
    <s v="B"/>
    <s v="Not Provided"/>
    <n v="2140000"/>
    <s v="Not Provided"/>
    <s v="DEP"/>
    <s v="Not Provided"/>
    <s v="LP0511A"/>
  </r>
  <r>
    <s v="Brevard County"/>
    <s v="Not Provided"/>
    <s v="BC-70"/>
    <s v="Otter Creek Basin D4"/>
    <s v="Not Provided"/>
    <s v="Denitrification"/>
    <x v="1"/>
    <s v="TBD"/>
    <s v="TBD"/>
    <s v="TBD"/>
    <s v="B"/>
    <s v="Not Provided"/>
    <n v="130000"/>
    <s v="Not Provided"/>
    <s v="Not Provided"/>
    <s v="Not Provided"/>
    <s v="N/A"/>
  </r>
  <r>
    <s v="Brevard County"/>
    <s v="SJRWMD"/>
    <s v="BC-71"/>
    <s v="Suntree In-Channel Denitrification D4"/>
    <s v="Not Provided"/>
    <s v="Denitrification"/>
    <x v="1"/>
    <s v="TBD"/>
    <s v="TBD"/>
    <s v="TBD"/>
    <s v="B"/>
    <s v="Not Provided"/>
    <n v="71000"/>
    <s v="Not Provided"/>
    <s v="SJRWMD  "/>
    <s v="Not Provided"/>
    <s v="N/A"/>
  </r>
  <r>
    <s v="Brevard County"/>
    <s v="DEP"/>
    <s v="BC-72"/>
    <s v="Multiple Ditch Outfall Denitrification D5"/>
    <s v="Not Provided"/>
    <s v="Denitrification"/>
    <x v="1"/>
    <s v="TBD"/>
    <s v="TBD"/>
    <s v="TBD"/>
    <s v="unknown"/>
    <s v="Not Provided"/>
    <n v="927858"/>
    <s v="Not Provided"/>
    <s v="DEP"/>
    <s v="Not Provided"/>
    <s v="LP0511A"/>
  </r>
  <r>
    <s v="Brevard County"/>
    <s v="SOIRLP"/>
    <s v="BC-73"/>
    <s v="EauGallie Area Muck Dredging"/>
    <s v="Not Provided"/>
    <s v="Muck Removal/ Restoration Dredging"/>
    <x v="3"/>
    <s v="TBD"/>
    <s v="TBD"/>
    <s v="TBD"/>
    <s v="B"/>
    <s v="Not Provided"/>
    <n v="26250000"/>
    <s v="NA"/>
    <s v="SOIRLP"/>
    <n v="26250000"/>
    <s v="N/A"/>
  </r>
  <r>
    <s v="Brevard County"/>
    <s v="Not Provided"/>
    <s v="BC-74"/>
    <s v="Flounder Creek Pond Denitrification Retrofit"/>
    <s v="Not Provided"/>
    <s v="Denitrification"/>
    <x v="1"/>
    <s v="TBD"/>
    <s v="TBD"/>
    <s v="TBD"/>
    <s v="A"/>
    <n v="320"/>
    <n v="180000"/>
    <s v="Not Provided"/>
    <s v="Not Provided"/>
    <s v="Not Provided"/>
    <s v="N/A"/>
  </r>
  <r>
    <s v="Brevard County"/>
    <s v="Not Provided"/>
    <s v="BC-75"/>
    <s v="Huntington Creek Pond Denitrification Retrofit"/>
    <s v="Not Provided"/>
    <s v="Denitrification"/>
    <x v="1"/>
    <s v="TBD"/>
    <s v="TBD"/>
    <s v="TBD"/>
    <s v="A"/>
    <n v="355"/>
    <n v="180000"/>
    <s v="Not Provided"/>
    <s v="Not Provided"/>
    <s v="Not Provided"/>
    <s v="N/A"/>
  </r>
  <r>
    <s v="Brevard County"/>
    <s v="Not Provided"/>
    <s v="BC-77"/>
    <s v="Merritt Ridge 2B D2"/>
    <s v="Not Provided"/>
    <s v="Swale"/>
    <x v="0"/>
    <s v="Not Provided "/>
    <s v="Not Provided "/>
    <s v="Not Provided "/>
    <s v="B"/>
    <n v="2"/>
    <n v="45000"/>
    <s v="Not Provided"/>
    <s v="Not Provided"/>
    <s v="Not Provided"/>
    <s v="N/A"/>
  </r>
  <r>
    <s v="Brevard County"/>
    <s v="Not Provided"/>
    <s v="BC-78"/>
    <s v="Merritt Ridge 2E D2"/>
    <s v="Not Provided"/>
    <s v="Pond"/>
    <x v="1"/>
    <s v="TBD"/>
    <s v="TBD"/>
    <s v="TBD"/>
    <s v="B"/>
    <s v="Not Provided"/>
    <n v="720000"/>
    <s v="Not Provided"/>
    <s v="Not Provided"/>
    <s v="Not Provided"/>
    <s v="N/A"/>
  </r>
  <r>
    <s v="Brevard County"/>
    <s v="Rockledge/SOIRL"/>
    <s v="BC-79"/>
    <s v="Breeze Swept Septic to Sewer"/>
    <s v="SOIRLP-01"/>
    <s v="Wastewater Service Area Expansion"/>
    <x v="0"/>
    <n v="2017"/>
    <s v="Not Provided"/>
    <s v="Not Provided"/>
    <s v="B"/>
    <s v="Not Provided"/>
    <s v="Not Provided"/>
    <s v="Not Provided"/>
    <s v="City/SOIRL"/>
    <n v="880530"/>
    <s v="N/A"/>
  </r>
  <r>
    <s v="Brevard County"/>
    <s v="Not Provided"/>
    <s v="BC-80"/>
    <s v="Wickham Park Solar Bee"/>
    <s v="Not Provided"/>
    <s v="Denitrification"/>
    <x v="1"/>
    <s v="TBD"/>
    <s v="TBD"/>
    <s v="TBD"/>
    <s v="B"/>
    <s v="TBD"/>
    <s v="TBD"/>
    <s v="TBD"/>
    <s v="TBD"/>
    <s v="TBD"/>
    <s v="N/A"/>
  </r>
  <r>
    <s v="Brevard County"/>
    <s v="All Cities"/>
    <s v="BC-81"/>
    <s v="Education Efforts"/>
    <s v="Fertilizer video, Rain barrel workshops, Facebook page, Bus wrap, Billboard"/>
    <s v="Education Efforts"/>
    <x v="0"/>
    <s v="N/A"/>
    <s v="N/A"/>
    <s v="N/A"/>
    <s v="A &amp; B"/>
    <s v="N/A"/>
    <n v="50000"/>
    <s v="TBD"/>
    <s v="SOIRLP"/>
    <n v="50000"/>
    <s v="N/A"/>
  </r>
  <r>
    <s v="Brevard County"/>
    <s v="Cocoa/SOIRL"/>
    <s v="BC-82"/>
    <s v="Stormwater Project - NIRL - Cocoa - Church St Type II Baffle Box"/>
    <s v="SOIRLP-14"/>
    <s v="Baffle Box - 2nd generation"/>
    <x v="1"/>
    <n v="2018"/>
    <s v="TBD"/>
    <s v="TBD"/>
    <s v="B"/>
    <n v="75.203298000000018"/>
    <n v="20856"/>
    <s v="Not Provided"/>
    <s v="SOIRL/City"/>
    <n v="20856"/>
    <s v="NF025"/>
  </r>
  <r>
    <s v="Brevard County"/>
    <s v="Titusville/SOIRL"/>
    <s v="BC-83"/>
    <s v="Stormwater Project - NIRL - Titusville - St. Teresa Basin"/>
    <s v="SOIRLP-19"/>
    <s v="Baffle Box - 2nd generation"/>
    <x v="1"/>
    <n v="2019"/>
    <s v="TBD"/>
    <s v="TBD"/>
    <s v="A"/>
    <n v="758.06047899999999"/>
    <n v="272800"/>
    <s v="Not Provided"/>
    <s v="SOIRL/City"/>
    <n v="272800"/>
    <s v="N/A"/>
  </r>
  <r>
    <s v="Brevard County"/>
    <s v="Titusville/SOIRL"/>
    <s v="BC-84"/>
    <s v="Stormwater Project - NIRL - Titusville - South St Basin"/>
    <s v="SOIRLP-20"/>
    <s v="Baffle Box - 2nd generation"/>
    <x v="1"/>
    <n v="2019"/>
    <s v="TBD"/>
    <s v="TBD"/>
    <s v="A"/>
    <n v="202.25"/>
    <n v="86856"/>
    <s v="Not Provided"/>
    <s v="SOIRL/City"/>
    <n v="86856"/>
    <s v="NF025"/>
  </r>
  <r>
    <s v="Brevard County"/>
    <s v="Titusville/SOIRL"/>
    <s v="BC-85"/>
    <s v="Stormwater Project - NIRL - Titusville - La Paloma Basin"/>
    <s v="SOIRLP-21"/>
    <s v="Baffle Box - 2nd generation"/>
    <x v="1"/>
    <n v="2019"/>
    <s v="TBD"/>
    <s v="TBD"/>
    <s v="A"/>
    <n v="554.79999999999995"/>
    <n v="208296"/>
    <s v="Not Provided"/>
    <s v="SOIRL/City"/>
    <n v="208296"/>
    <s v="N/A"/>
  </r>
  <r>
    <s v="Brevard County"/>
    <s v="Melbourne/SOIRL"/>
    <s v="BC-86"/>
    <s v="Stormwater Project - NIRL - Melbourne - Cliff Creek Baffle Box"/>
    <s v="SOIRLP-34"/>
    <s v="Baffle Box - 2nd generation"/>
    <x v="1"/>
    <n v="2019"/>
    <s v="TBD"/>
    <s v="TBD"/>
    <s v="B"/>
    <n v="515.41"/>
    <n v="347781"/>
    <s v="Not Provided"/>
    <s v="SOIRL/City"/>
    <n v="347781"/>
    <s v="N/A"/>
  </r>
  <r>
    <s v="Brevard County"/>
    <s v="Melbourne/SOIRL"/>
    <s v="BC-87"/>
    <s v="Stormwater Project - NIRL - Melbourne - Thrush Dr Baffle Box"/>
    <s v="SOIRLP-35"/>
    <s v="Baffle Box - 2nd generation"/>
    <x v="1"/>
    <n v="2019"/>
    <s v="TBD"/>
    <s v="TBD"/>
    <s v="B"/>
    <n v="422.95180000000005"/>
    <n v="322200"/>
    <s v="Not Provided"/>
    <s v="SOIRL/City"/>
    <n v="322200"/>
    <s v="N/A"/>
  </r>
  <r>
    <s v="Brevard County"/>
    <s v="Not Provided"/>
    <s v="BC-88"/>
    <s v="Septic Removal - NIRL -MIRA"/>
    <s v="SOIRLP-44"/>
    <s v="Septic Tank Phase Out "/>
    <x v="3"/>
    <n v="2020"/>
    <s v="TBD"/>
    <s v="N/A"/>
    <s v="B"/>
    <s v="Not Provided"/>
    <n v="2130852"/>
    <s v="Not Provided"/>
    <s v="SOIRL"/>
    <n v="2130852"/>
    <s v="N/A"/>
  </r>
  <r>
    <s v="Brevard County"/>
    <s v="Titusville/SOIRL"/>
    <s v="BC-89"/>
    <s v="Wastewater Treatment Facility Upgrade-NIRL-Titusville"/>
    <s v="SOIRLP-02"/>
    <s v="WWTF Upgrade"/>
    <x v="1"/>
    <n v="2022"/>
    <s v="TBD"/>
    <s v="N/A"/>
    <s v="A"/>
    <s v="Not Provided"/>
    <n v="8000000"/>
    <s v="Not Provided"/>
    <s v="SOIRL/City"/>
    <n v="8000000"/>
    <s v="N/A"/>
  </r>
  <r>
    <s v="Brevard County"/>
    <s v="Melbourne/SOIRL"/>
    <s v="BC-90"/>
    <s v=" Stewart Rd Dry Retrofit"/>
    <s v="Stormwater Project - CIRL - Melbourne, SOIRLP-39"/>
    <s v="Dry Detention Pond"/>
    <x v="1"/>
    <n v="2020"/>
    <s v="TBD"/>
    <s v="TBD"/>
    <s v="B"/>
    <s v="Not Provided"/>
    <n v="18344"/>
    <s v="Not Provided"/>
    <s v="SOIRL/City"/>
    <n v="18344"/>
    <s v="N/A"/>
  </r>
  <r>
    <s v="Brevard County"/>
    <s v="SOIRLP"/>
    <s v="BC-91"/>
    <s v="Kingsmill Aurora Phase II"/>
    <s v="Construction of 5 ac pond with weirs, drop structures, etc.:"/>
    <s v="Wet Detention Pond"/>
    <x v="3"/>
    <n v="2019"/>
    <n v="6264"/>
    <n v="814"/>
    <s v="A"/>
    <n v="1212.8"/>
    <n v="990000"/>
    <s v="N/A"/>
    <s v="SOIRLP/BC"/>
    <s v="Not Provided"/>
    <s v="N/A"/>
  </r>
  <r>
    <s v="Brevard County"/>
    <s v="N/A"/>
    <s v="BC-92"/>
    <s v="Baffle Box/Sediment Trap Cleaning"/>
    <s v="Increasing cleanout frequency to quarterly."/>
    <s v="BMP Cleanout"/>
    <x v="0"/>
    <s v="N/A"/>
    <n v="1"/>
    <n v="1"/>
    <s v="A"/>
    <s v="N/A"/>
    <s v="Not Provided"/>
    <n v="276303.28000000003"/>
    <s v="County"/>
    <s v="Not Provided"/>
    <s v="N/A"/>
  </r>
  <r>
    <s v="City of Cocoa"/>
    <s v="Rockledge/ SOIRL"/>
    <s v="CC-01"/>
    <s v="Bracco Pond B"/>
    <s v="SOIRLP-01"/>
    <s v="Wet Detention Pond"/>
    <x v="0"/>
    <n v="2014"/>
    <n v="2328"/>
    <n v="1049.5999999999999"/>
    <s v="B"/>
    <n v="591.79999999999995"/>
    <n v="250000"/>
    <s v="Not Provided "/>
    <s v="City"/>
    <s v="Not Provided "/>
    <s v="N/A"/>
  </r>
  <r>
    <s v="City of Cocoa"/>
    <s v="Not Provided"/>
    <s v="CC-02"/>
    <s v="Bracco Expansion Area"/>
    <s v="Provide the community with a park along the ponds."/>
    <s v="Wet Detention Pond"/>
    <x v="0"/>
    <n v="2014"/>
    <n v="156"/>
    <n v="41.8"/>
    <s v="B"/>
    <n v="775.2"/>
    <n v="570762"/>
    <s v="Not Provided "/>
    <s v="City"/>
    <s v="Not Provided "/>
    <s v="N/A"/>
  </r>
  <r>
    <s v="City of Cocoa"/>
    <s v="SJRWMD"/>
    <s v="CC-03"/>
    <s v="Cocoa Village Park"/>
    <s v="Dry detention pond that is part of a redevelopment project of the Cocoa Village Park and Riverwalk Esplanade areas."/>
    <s v="Dry Detention Pond"/>
    <x v="0"/>
    <n v="2018"/>
    <n v="37"/>
    <n v="6.9"/>
    <s v="A &amp; B"/>
    <n v="13.5"/>
    <n v="330000"/>
    <s v="Not Provided "/>
    <s v="City/SJRWMD"/>
    <s v="Not Provided "/>
    <s v="WM736"/>
  </r>
  <r>
    <s v="City of Cocoa"/>
    <s v="Rockledge/ SOIRL"/>
    <s v="CC-04"/>
    <s v="Morris Pond"/>
    <s v="Joint project with the City of Rockledge to accommodate previously untreated runoff."/>
    <s v="Wet Detention Pond"/>
    <x v="0"/>
    <n v="2014"/>
    <n v="128"/>
    <n v="46.7"/>
    <s v="B"/>
    <n v="16.2"/>
    <n v="247480"/>
    <s v="Not Provided "/>
    <s v="City"/>
    <s v="Not Provided "/>
    <s v="N/A"/>
  </r>
  <r>
    <s v="City of Cocoa"/>
    <s v="Titusville/SOIRL"/>
    <s v="CC-05"/>
    <s v="North Brevard Avenue Stormwater Treatment Facility"/>
    <s v="Not Provided "/>
    <s v="Continuous Deflective Separation (CDS) Unit"/>
    <x v="0"/>
    <n v="2014"/>
    <n v="0"/>
    <n v="4.8"/>
    <s v="A"/>
    <n v="11.3"/>
    <s v="Not Provided "/>
    <s v="Not Provided "/>
    <s v="City"/>
    <s v="Not Provided "/>
    <s v="N/A"/>
  </r>
  <r>
    <s v="City of Cocoa"/>
    <s v="Titusville/SOIRL"/>
    <s v="CC-06"/>
    <s v="North Fiske Stormwater Retention Facility"/>
    <s v="Not Provided "/>
    <s v="100% On-site Retention"/>
    <x v="0"/>
    <n v="2014"/>
    <n v="42"/>
    <n v="2.4"/>
    <s v="A"/>
    <n v="33.9"/>
    <n v="330000"/>
    <s v="Not Provided "/>
    <s v="City"/>
    <s v="Not Provided "/>
    <s v="N/A"/>
  </r>
  <r>
    <s v="City of Cocoa"/>
    <s v="Titusville/SOIRL"/>
    <s v="CC-07"/>
    <s v="Suntree Baffle Box #1"/>
    <s v="Capture previously untreated runoff."/>
    <s v="Baffle Box - 2nd generation"/>
    <x v="0"/>
    <n v="2014"/>
    <n v="7"/>
    <n v="0.7"/>
    <s v="A"/>
    <n v="5.9"/>
    <n v="80000"/>
    <s v="Not Provided "/>
    <s v="City"/>
    <s v="Not Provided "/>
    <s v="N/A"/>
  </r>
  <r>
    <s v="City of Cocoa"/>
    <s v="Melbourne/SOIRL"/>
    <s v="CC-08"/>
    <s v="Street Sweeping"/>
    <s v="Not Provided "/>
    <s v="Street Sweeping"/>
    <x v="0"/>
    <s v="N/A"/>
    <n v="4027"/>
    <n v="2582"/>
    <s v="B"/>
    <s v="N/A"/>
    <n v="80000"/>
    <s v="Not Provided "/>
    <s v="City"/>
    <s v="Not Provided "/>
    <s v="N/A"/>
  </r>
  <r>
    <s v="City of Cocoa"/>
    <s v="Melbourne/SOIRL"/>
    <s v="CC-09"/>
    <s v="Bracco Supplemental Water Supply"/>
    <s v="Joint project with the WWTP to provide reclaimed water."/>
    <s v="Reclaimed Water"/>
    <x v="0"/>
    <n v="2014"/>
    <n v="1102"/>
    <n v="107.6"/>
    <s v="B"/>
    <s v="Not Provided"/>
    <n v="1200000"/>
    <s v="Not Provided "/>
    <s v="City"/>
    <s v="Not Provided "/>
    <s v="N/A"/>
  </r>
  <r>
    <s v="City of Cocoa"/>
    <s v="Not Provided"/>
    <s v="CC-10"/>
    <s v="Diamond Square Stormwater Improvements"/>
    <s v="Not Provided "/>
    <s v="Wet Detention Pond"/>
    <x v="0"/>
    <n v="2011"/>
    <n v="108"/>
    <n v="0"/>
    <s v="B"/>
    <n v="95.4"/>
    <n v="210000"/>
    <s v="Not Provided "/>
    <s v="City"/>
    <s v="Not Provided "/>
    <s v="N/A"/>
  </r>
  <r>
    <s v="City of Cocoa"/>
    <s v="Titusville/SOIRL"/>
    <s v="CC-11"/>
    <s v="Education Efforts"/>
    <s v="Fertilizer ordinance."/>
    <s v="Education Efforts"/>
    <x v="0"/>
    <s v="N/A"/>
    <n v="128"/>
    <n v="25.8"/>
    <s v="A"/>
    <s v="N/A"/>
    <s v="Not Provided "/>
    <s v="Not Provided "/>
    <s v="City"/>
    <s v="Not Provided "/>
    <s v="N/A"/>
  </r>
  <r>
    <s v="City of Cocoa"/>
    <s v="Melbourne/SOIRL"/>
    <s v="CC-12"/>
    <s v="Peachtree Street Reconstruction"/>
    <s v="Roadway and stormwater improvements."/>
    <s v="Other Structural BMP"/>
    <x v="0"/>
    <n v="2016"/>
    <s v="Not Provided"/>
    <s v="Not Provided"/>
    <s v="B"/>
    <s v="Not Provided"/>
    <n v="1700000"/>
    <s v="Not Provided "/>
    <s v="City/FDOT"/>
    <s v="Not Provided "/>
    <s v="N/A"/>
  </r>
  <r>
    <s v="City of Cocoa"/>
    <s v="Not Provided "/>
    <s v="CC-13"/>
    <s v="Cocoa Riverfront Park"/>
    <s v="Amphitheatre and stormwater improvements."/>
    <s v="Other Structural BMP"/>
    <x v="0"/>
    <n v="2016"/>
    <s v="Not Provided"/>
    <s v="Not Provided"/>
    <s v="B"/>
    <s v="Not Provided"/>
    <n v="162000"/>
    <s v="Not Provided "/>
    <s v="City"/>
    <s v="Not Provided "/>
    <s v="N/A"/>
  </r>
  <r>
    <s v="City of Cocoa"/>
    <s v="Not Provided "/>
    <s v="CC-14"/>
    <s v="Control Gate"/>
    <s v="Flood control gate installed at Bracco pond outfall."/>
    <s v="Control Structure"/>
    <x v="0"/>
    <n v="2016"/>
    <s v="Not Provided"/>
    <s v="Not Provided"/>
    <s v="B"/>
    <s v="Not Provided"/>
    <s v="Not Provided"/>
    <s v="Not Provided "/>
    <s v="City"/>
    <s v="Not Provided "/>
    <s v="N/A"/>
  </r>
  <r>
    <s v="City of Cocoa"/>
    <s v="FDOT"/>
    <s v="CC-15"/>
    <s v="Florida Avenue Improvements"/>
    <s v="Infiltration through pervious pavers and then ultimately to the AT&amp;T pond."/>
    <s v="BMP Treatment Train"/>
    <x v="3"/>
    <s v="TBD"/>
    <s v="TBD"/>
    <s v="TBD"/>
    <s v="B"/>
    <n v="6.9"/>
    <n v="2400000"/>
    <s v="Not Provided "/>
    <s v="City/FDOT"/>
    <s v="Not Provided "/>
    <s v="N/A"/>
  </r>
  <r>
    <s v="City of Cocoa"/>
    <s v="SJRWMD"/>
    <s v="CC-16"/>
    <s v="AT&amp;T Detention Pond Retrofit"/>
    <s v="Incoming inlets will have 2nd generation baffle boxes."/>
    <s v="BMP Treatment Train"/>
    <x v="3"/>
    <s v="TBD"/>
    <s v="TBD"/>
    <s v="TBD"/>
    <s v="B"/>
    <n v="12.33"/>
    <n v="207641"/>
    <s v="Not Provided "/>
    <s v="City/SJRWMD"/>
    <s v="Not Provided "/>
    <s v="N/A"/>
  </r>
  <r>
    <s v="City of Cocoa"/>
    <s v="SJRWMD"/>
    <s v="CC-17"/>
    <s v="Church Street Baffle Box"/>
    <s v="The goal of this project is to capture and treat stormwater that flows untreated and directly into the Indian River Lagoon. "/>
    <s v="Baffle Box"/>
    <x v="1"/>
    <s v="TBD"/>
    <s v="TBD"/>
    <s v="TBD"/>
    <s v="B"/>
    <s v="TBD"/>
    <n v="173620"/>
    <n v="3000"/>
    <s v="City/SJRWMD"/>
    <s v="Not Provided "/>
    <s v="N/A"/>
  </r>
  <r>
    <s v="City of Cocoa"/>
    <s v="TBD"/>
    <s v="CC-18"/>
    <s v="John Garren Street Realignment &amp; Parking"/>
    <s v="Roadway and stormwater improvements."/>
    <s v="BMP Treatment Train"/>
    <x v="1"/>
    <s v="TBD"/>
    <s v="TBD"/>
    <s v="TBD"/>
    <s v="B"/>
    <s v="TBD"/>
    <n v="500000"/>
    <n v="2000"/>
    <s v="TBD"/>
    <s v="TBD"/>
    <s v="N/A"/>
  </r>
  <r>
    <s v="City of Cocoa"/>
    <s v="TBD"/>
    <s v="CC-19"/>
    <s v="Brevard Ave. Bioretention and Tree Preservation"/>
    <s v="Roadway and stormwater improvements."/>
    <s v="BMP Treatment Train"/>
    <x v="1"/>
    <s v="TBD"/>
    <s v="TBD"/>
    <s v="TBD"/>
    <s v="B"/>
    <s v="TBD"/>
    <n v="500000"/>
    <n v="2000"/>
    <s v="TBD"/>
    <s v="TBD"/>
    <s v="N/A"/>
  </r>
  <r>
    <s v="City of Cocoa"/>
    <s v="TBD"/>
    <s v="CC-20"/>
    <s v="U.S. 1 and Forrest Ave. Stormwater Treatment Facility"/>
    <s v="Develop a dry detention stormwater facility adjacent to U.S. 1."/>
    <s v="Dry Detention Pond"/>
    <x v="1"/>
    <s v="TBD"/>
    <s v="TBD"/>
    <s v="TBD"/>
    <s v="A"/>
    <n v="10"/>
    <s v="TBD"/>
    <s v="TBD"/>
    <s v="City"/>
    <s v="TBD"/>
    <s v="N/A"/>
  </r>
  <r>
    <s v="City of Edgewater"/>
    <s v="Not Provided "/>
    <s v="EW-1"/>
    <s v="Education Efforts"/>
    <s v="FYN; landscape, irrigation, fertilizer, and pet waste ordinances; PSAs; pamphlets; website, Illicit Discharge Program."/>
    <s v="Education Efforts"/>
    <x v="0"/>
    <s v="N/A"/>
    <n v="84"/>
    <n v="11.3"/>
    <s v="A"/>
    <s v="N/A"/>
    <s v="Not Provided "/>
    <n v="15000"/>
    <s v="Not Provided "/>
    <s v="Not Provided "/>
    <s v="N/A"/>
  </r>
  <r>
    <s v="City of Melbourne"/>
    <s v="N/A"/>
    <s v="MEL-01"/>
    <s v="Fee and Apollo Drainage Improvements"/>
    <s v="No treatment is provided within the existing development; complete a water quality addition."/>
    <s v="Wet Detention Pond"/>
    <x v="0"/>
    <n v="2010"/>
    <n v="28"/>
    <n v="78.8"/>
    <s v="B"/>
    <n v="43.6"/>
    <n v="525161"/>
    <s v="Not Provided"/>
    <s v="City"/>
    <s v="Not Provided"/>
    <s v="N/A"/>
  </r>
  <r>
    <s v="City of Melbourne"/>
    <s v="N/A"/>
    <s v="MEL-02"/>
    <s v="Dove Street Pond"/>
    <s v="No treatment is provided within the existing development; complete a water quality addition."/>
    <s v="Wet Detention Pond"/>
    <x v="0"/>
    <n v="2003"/>
    <n v="69"/>
    <n v="31.3"/>
    <s v="B"/>
    <n v="14.9"/>
    <n v="156164"/>
    <s v="Not Provided"/>
    <s v="City"/>
    <s v="Not Provided"/>
    <s v="N/A"/>
  </r>
  <r>
    <s v="City of Melbourne"/>
    <s v="N/A"/>
    <s v="MEL-03"/>
    <s v="Charles Drive Pipe Replacement"/>
    <s v="Replaced failing stormwater pipe and created wet detention pond; little to no treatment is provided within existing developments."/>
    <s v="Wet Detention Pond"/>
    <x v="0"/>
    <n v="2010"/>
    <n v="183"/>
    <n v="161.6"/>
    <s v="B"/>
    <n v="143.30000000000001"/>
    <n v="462644"/>
    <s v="Not Provided"/>
    <s v="City"/>
    <s v="Not Provided"/>
    <s v="N/A"/>
  </r>
  <r>
    <s v="City of Melbourne"/>
    <s v="N/A"/>
    <s v="MEL-04"/>
    <s v="Wickham Park Pond"/>
    <s v="Ponds along with piping upgrades help eliminate flooding within the area along with treatment."/>
    <s v="Wet Detention Pond"/>
    <x v="0"/>
    <n v="2004"/>
    <n v="627"/>
    <n v="248.3"/>
    <s v="B"/>
    <n v="1796.9"/>
    <n v="250000"/>
    <s v="Not Provided"/>
    <s v="City"/>
    <n v="250000"/>
    <s v="N/A"/>
  </r>
  <r>
    <s v="City of Melbourne"/>
    <s v="N/A"/>
    <s v="MEL-05"/>
    <s v="Babcock Street Realignment"/>
    <s v="Additional treatment was provided for the adjacent drainage basins."/>
    <s v="Retention BMP"/>
    <x v="0"/>
    <n v="2005"/>
    <n v="163"/>
    <n v="41.9"/>
    <s v="B"/>
    <n v="42.3"/>
    <n v="1757186"/>
    <s v="Not Provided"/>
    <s v="City"/>
    <s v="Not Provided"/>
    <s v="N/A"/>
  </r>
  <r>
    <s v="City of Melbourne"/>
    <s v="N/A"/>
    <s v="MEL-06"/>
    <s v="Garfield Street Ponds - Lot 12 (North)"/>
    <s v="Two small dry detention ponds within an existing subdivision (with MEL-7)."/>
    <s v="Dry Detention Pond"/>
    <x v="2"/>
    <s v="N/A"/>
    <s v="N/A"/>
    <s v="N/A"/>
    <s v="N/A"/>
    <s v="N/A"/>
    <s v="N/A"/>
    <s v="N/A"/>
    <s v="N/A"/>
    <s v="N/A"/>
    <s v="N/A"/>
  </r>
  <r>
    <s v="City of Melbourne"/>
    <s v="N/A"/>
    <s v="MEL-07"/>
    <s v="Garfield Street Ponds - Lot 24 (South)"/>
    <s v="Two small dry detention ponds within an existing subdivision (with MEL-6)."/>
    <s v="Dry Detention Pond"/>
    <x v="2"/>
    <s v="N/A"/>
    <s v="N/A"/>
    <s v="N/A"/>
    <s v="N/A"/>
    <s v="N/A"/>
    <s v="N/A"/>
    <s v="N/A"/>
    <s v="N/A"/>
    <s v="N/A"/>
    <s v="N/A"/>
  </r>
  <r>
    <s v="City of Melbourne"/>
    <s v="N/A"/>
    <s v="MEL-08"/>
    <s v="Education Efforts"/>
    <s v="Irrigation, fertilizer, pet waste management, and landscaping ordinances; pamphlets, presentations, website, illicit discharge program."/>
    <s v="Education Efforts"/>
    <x v="0"/>
    <s v="N/A"/>
    <n v="2583"/>
    <n v="587.20000000000005"/>
    <s v="B"/>
    <s v="N/A"/>
    <s v="Not Provided"/>
    <s v="Not Provided"/>
    <s v="City"/>
    <s v="Not Provided"/>
    <s v="N/A"/>
  </r>
  <r>
    <s v="City of Melbourne"/>
    <s v="N/A"/>
    <s v="MEL-09"/>
    <s v="Street Sweeping"/>
    <s v="Street sweeping in the basin and debris removal."/>
    <s v="Street Sweeping"/>
    <x v="0"/>
    <s v="N/A"/>
    <n v="507"/>
    <n v="325"/>
    <s v="B"/>
    <s v="N/A"/>
    <s v="Not Provided"/>
    <s v="Not Provided"/>
    <s v="City"/>
    <s v="Not Provided"/>
    <s v="N/A"/>
  </r>
  <r>
    <s v="City of Melbourne"/>
    <s v="DEP"/>
    <s v="MEL-10"/>
    <s v="Autumn Woods"/>
    <s v="Construction of a wet detention pond for water quality treatment."/>
    <s v="Wet Detention Pond"/>
    <x v="0"/>
    <n v="2016"/>
    <s v="Not Provided"/>
    <s v="Not Provided"/>
    <s v="B"/>
    <n v="56.909561379078809"/>
    <n v="879220"/>
    <s v="Not Provided"/>
    <s v="City/DEP"/>
    <s v="Not Provided"/>
    <s v="LP05094"/>
  </r>
  <r>
    <s v="City of Melbourne"/>
    <s v="N/A"/>
    <s v="MEL-11"/>
    <s v="Participation in FYN"/>
    <s v="Future participation in FYN Program."/>
    <s v="Education Efforts"/>
    <x v="0"/>
    <s v="N/A"/>
    <n v="2583"/>
    <n v="587.20000000000005"/>
    <s v="B"/>
    <s v="N/A"/>
    <s v="Not Provided"/>
    <s v="Not Provided"/>
    <s v="City"/>
    <s v="Not Provided"/>
    <s v="N/A"/>
  </r>
  <r>
    <s v="City of Melbourne"/>
    <s v="DEP"/>
    <s v="MEL-12"/>
    <s v="South Croton Baffle Box"/>
    <s v="Dry retention and baffle box."/>
    <s v="BMP Treatment Train"/>
    <x v="0"/>
    <n v="2017"/>
    <n v="133"/>
    <n v="32"/>
    <s v="B"/>
    <n v="14.8"/>
    <n v="487296"/>
    <s v="Not Provided"/>
    <s v="City/DEP"/>
    <n v="191100"/>
    <s v="LP05092"/>
  </r>
  <r>
    <s v="City of Melbourne"/>
    <s v="DEP"/>
    <s v="MEL-13"/>
    <s v="Bell Street Baffle Box"/>
    <s v="Construction of a new baffle box."/>
    <s v="Baffle Box - 2nd generation with media filter"/>
    <x v="0"/>
    <n v="2017"/>
    <n v="1877"/>
    <n v="467"/>
    <s v="B"/>
    <n v="127.2"/>
    <n v="300000"/>
    <s v="Not Provided"/>
    <s v="City/DEP"/>
    <n v="517050"/>
    <s v="LP05093"/>
  </r>
  <r>
    <s v="City of Melbourne"/>
    <s v="N/A"/>
    <s v="MEL-14"/>
    <s v="Paradise Baffle Box"/>
    <s v="Retrofit existing baffle box to upgrade to second generation."/>
    <s v="Baffle Box - 2nd generation with media filter"/>
    <x v="0"/>
    <n v="2016"/>
    <n v="125.57"/>
    <n v="17.09"/>
    <s v="B"/>
    <n v="125.6"/>
    <n v="19000"/>
    <s v="Not Provided"/>
    <s v="City"/>
    <n v="19000"/>
    <s v="N/A"/>
  </r>
  <r>
    <s v="City of Melbourne"/>
    <s v="DEP"/>
    <s v="MEL-15"/>
    <s v="Garfield North Baffle Box"/>
    <s v="Construction of a new baffle box."/>
    <s v="Baffle Box - 2nd generation with media filter"/>
    <x v="0"/>
    <n v="2017"/>
    <n v="993"/>
    <n v="244"/>
    <s v="B"/>
    <n v="67"/>
    <n v="350000"/>
    <s v="Not Provided"/>
    <s v="City/DEP"/>
    <s v="See MEL-13"/>
    <s v="LP05093"/>
  </r>
  <r>
    <s v="City of Melbourne"/>
    <s v="DEP"/>
    <s v="MEL-16"/>
    <s v="Garfield South Baffle Box"/>
    <s v="Construction of a new baffle box."/>
    <s v="Baffle Box - 2nd generation with media filter"/>
    <x v="0"/>
    <n v="2017"/>
    <n v="176"/>
    <n v="43"/>
    <s v="B"/>
    <n v="11.8"/>
    <n v="150000"/>
    <s v="Not Provided"/>
    <s v="City/DEP"/>
    <s v="See MEL-13"/>
    <s v="LP05093"/>
  </r>
  <r>
    <s v="City of Melbourne"/>
    <s v="DEP"/>
    <s v="MEL-17"/>
    <s v="Sherwood Stormwater Quality Project"/>
    <s v="Construction of a new wet detention pond for a subdivision without any treatment."/>
    <s v="Wet Detention Pond"/>
    <x v="3"/>
    <n v="2019"/>
    <s v="TBD"/>
    <s v="TBD"/>
    <s v="B"/>
    <n v="246.1713603778675"/>
    <n v="2168800"/>
    <s v="Not Provided"/>
    <s v="City/DEP"/>
    <n v="400000"/>
    <s v="NS013"/>
  </r>
  <r>
    <s v="City of Melbourne"/>
    <s v="SJRWMD"/>
    <s v="MEL-18"/>
    <s v="Croton Road (Lime) Baffle Box"/>
    <s v="Installation of baffle box."/>
    <s v="Baffle Box - 2nd generation with media filter"/>
    <x v="0"/>
    <n v="2016"/>
    <n v="149"/>
    <n v="35"/>
    <s v="B"/>
    <n v="70"/>
    <s v="Not Provided"/>
    <s v="Not Provided"/>
    <s v="City/SJRWMD"/>
    <n v="153615"/>
    <s v="N/A"/>
  </r>
  <r>
    <s v="City of Melbourne"/>
    <s v="N/A"/>
    <s v="MEL-19"/>
    <s v="Young Street Existing Baffle Box Upgrade"/>
    <s v="Upgrade existing 1st generation baffle boxes to 2nd generation baffle boxes with BAM."/>
    <s v="Baffle Box - 2nd generation with media filter"/>
    <x v="0"/>
    <n v="2016"/>
    <n v="39.299999999999997"/>
    <n v="4.6500000000000004"/>
    <s v="B"/>
    <n v="7.04"/>
    <n v="20000"/>
    <s v="Not Provided"/>
    <s v="City"/>
    <n v="20000"/>
    <s v="N/A"/>
  </r>
  <r>
    <s v="City of Melbourne"/>
    <s v="SOIRL"/>
    <s v="MEL-20"/>
    <s v="Thrush Drive Baffle Box"/>
    <s v="Baffle Box - 2nd generation with media filter."/>
    <s v="Baffle Box - 2nd generation with media filter"/>
    <x v="1"/>
    <s v="TBD"/>
    <s v="TBD"/>
    <s v="TBD"/>
    <s v="B"/>
    <n v="422"/>
    <n v="450000"/>
    <s v="Not Provided"/>
    <s v="City/SOIRL"/>
    <n v="322200"/>
    <s v="N/A"/>
  </r>
  <r>
    <s v="City of Melbourne"/>
    <s v="SOIRL"/>
    <s v="MEL-21"/>
    <s v="Cliff Creek Baffle Box"/>
    <s v="Baffle Box - 2nd generation with media filter."/>
    <s v="Baffle Box - 2nd generation with media filter"/>
    <x v="3"/>
    <s v="TBD"/>
    <s v="TBD"/>
    <s v="TBD"/>
    <s v="B"/>
    <n v="515"/>
    <n v="450000"/>
    <s v="Not Provided"/>
    <s v="City/SOIRL"/>
    <n v="347781"/>
    <s v="N/A"/>
  </r>
  <r>
    <s v="City of Melbourne"/>
    <s v="SOIRL"/>
    <s v="MEL-22"/>
    <s v="Riverside Drive Septic to Sewer Conversion"/>
    <s v="Providing for 12 lots to be converted to municipal sewer."/>
    <s v="Wastewater Service Area Expansion"/>
    <x v="3"/>
    <s v="TBD"/>
    <s v="TBD"/>
    <s v="TBD"/>
    <s v="B"/>
    <s v="TBD"/>
    <n v="215000"/>
    <s v="Not Provided"/>
    <s v="City/SOIRL"/>
    <n v="265960"/>
    <s v="N/A"/>
  </r>
  <r>
    <s v="City of Melbourne"/>
    <s v="SOIRL"/>
    <s v="MEL-23"/>
    <s v="Leewood Forest Wetland and Baffle Box"/>
    <s v="The proposed project consists of construction a wetland treatment area and baffle box to provide stormwater quality treatment."/>
    <s v="Wetland Treatment"/>
    <x v="1"/>
    <s v="TBD"/>
    <s v="TBD"/>
    <s v="TBD"/>
    <s v="B"/>
    <n v="149.5"/>
    <n v="2590000"/>
    <s v="Not Provided"/>
    <s v="City/SOIRL"/>
    <s v="TBD"/>
    <s v="N/A"/>
  </r>
  <r>
    <s v="City of Melbourne"/>
    <s v="N/A"/>
    <s v="MEL-24"/>
    <s v="South Sarno Drainage Improvements"/>
    <s v="Retrofit existing ditch system to include dry detention shelves"/>
    <s v="Dry Detention Pond"/>
    <x v="0"/>
    <n v="2015"/>
    <s v="Not Provided"/>
    <s v="Not Provided"/>
    <s v="B"/>
    <n v="1475"/>
    <n v="2227000"/>
    <s v="Not Provided"/>
    <s v="City"/>
    <n v="2227000"/>
    <s v="N/A"/>
  </r>
  <r>
    <s v="City of Melbourne"/>
    <s v="N/A"/>
    <s v="MEL-25"/>
    <s v="Sarno Road Turn Lane"/>
    <s v="Dry detention above needs for turn lane construction."/>
    <s v="Dry Detention Pond"/>
    <x v="3"/>
    <n v="2018"/>
    <s v="TBD"/>
    <s v="TBD"/>
    <s v="B"/>
    <n v="6.79"/>
    <n v="560000"/>
    <s v="Not Provided"/>
    <s v="City"/>
    <n v="560000"/>
    <s v="N/A"/>
  </r>
  <r>
    <s v="City of Melbourne"/>
    <s v="SOIRL"/>
    <s v="MEL-26"/>
    <s v="Apollo/GA Baffle Box"/>
    <s v="2nd generation baffle box with BAM."/>
    <s v="Baffle Box - 2nd generation"/>
    <x v="1"/>
    <n v="2019"/>
    <s v="TBD"/>
    <s v="TBD"/>
    <s v="B"/>
    <n v="854"/>
    <n v="825000"/>
    <s v="Not Provided"/>
    <s v="City/SOIRL"/>
    <n v="297522"/>
    <s v="N/A"/>
  </r>
  <r>
    <s v="City of Melbourne"/>
    <s v="SOIRL"/>
    <s v="MEL-27"/>
    <s v="Stewart Road WQ Project"/>
    <s v="Installation of BAM filter box on existing culvert."/>
    <s v="BAM"/>
    <x v="1"/>
    <n v="2020"/>
    <s v="TBD"/>
    <s v="TBD"/>
    <s v="B"/>
    <n v="36"/>
    <n v="435000"/>
    <s v="Not Provided"/>
    <s v="City/SOIRL"/>
    <n v="18344"/>
    <s v="N/A"/>
  </r>
  <r>
    <s v="City of Rockledge"/>
    <s v="SOIRL"/>
    <s v="ROCK-01"/>
    <s v="Orange Avenue Baffle Box"/>
    <s v="Not Provided "/>
    <s v="Baffle Box - 2nd generation"/>
    <x v="0"/>
    <n v="2009"/>
    <n v="16"/>
    <n v="2.2999999999999998"/>
    <s v="B"/>
    <n v="10.4"/>
    <n v="8600"/>
    <n v="2555"/>
    <s v="Not Provided "/>
    <s v="Not Provided "/>
    <s v="N/A"/>
  </r>
  <r>
    <s v="City of Rockledge"/>
    <s v="SOIRL"/>
    <s v="ROCK-02"/>
    <s v="Barton Avenue Baffle Box"/>
    <s v="Not Provided "/>
    <s v="Baffle Box - 2nd generation"/>
    <x v="0"/>
    <n v="2009"/>
    <n v="35"/>
    <n v="4.9000000000000004"/>
    <s v="B"/>
    <n v="27.1"/>
    <n v="9350"/>
    <n v="2555"/>
    <s v="Not Provided "/>
    <s v="Not Provided "/>
    <s v="N/A"/>
  </r>
  <r>
    <s v="City of Rockledge"/>
    <s v="Not Provided"/>
    <s v="ROCK-03"/>
    <s v="Hardee Circle Baffle Box"/>
    <s v="Not Provided "/>
    <s v="Baffle Box - 2nd generation"/>
    <x v="0"/>
    <n v="2009"/>
    <n v="16"/>
    <n v="1.8"/>
    <s v="B"/>
    <n v="14.5994778587876"/>
    <n v="43420"/>
    <n v="2555"/>
    <s v="Not Provided "/>
    <s v="Not Provided "/>
    <s v="N/A"/>
  </r>
  <r>
    <s v="City of Rockledge"/>
    <s v="Not Provided "/>
    <s v="ROCK-04"/>
    <s v="Rockledge Avenue Baffle Box"/>
    <s v="Not Provided "/>
    <s v="Baffle Box - 2nd generation"/>
    <x v="0"/>
    <n v="2004"/>
    <n v="73"/>
    <n v="13.5"/>
    <s v="B"/>
    <n v="40.973816420750424"/>
    <s v="Not Provided "/>
    <n v="3682"/>
    <s v="Not Provided "/>
    <s v="Not Provided "/>
    <s v="N/A"/>
  </r>
  <r>
    <s v="City of Rockledge"/>
    <s v="Not Provided "/>
    <s v="ROCK-05"/>
    <s v="Bougainvillea Drive Baffle Box"/>
    <s v="Not Provided "/>
    <s v="Baffle Box - 2nd generation"/>
    <x v="0"/>
    <n v="2000"/>
    <n v="104"/>
    <n v="17.7"/>
    <s v="B"/>
    <n v="35.739179351579295"/>
    <n v="29495"/>
    <n v="2566"/>
    <s v="Not Provided "/>
    <s v="Not Provided "/>
    <s v="N/A"/>
  </r>
  <r>
    <s v="City of Rockledge"/>
    <s v="Not Provided "/>
    <s v="ROCK-06"/>
    <s v="Park Avenue Baffle Box"/>
    <s v="Not Provided "/>
    <s v="Baffle Box - 2nd generation"/>
    <x v="0"/>
    <n v="2007"/>
    <n v="9"/>
    <n v="0.9"/>
    <s v="B"/>
    <n v="13.182457592484651"/>
    <n v="52529"/>
    <n v="2555"/>
    <s v="Not Provided "/>
    <s v="Not Provided "/>
    <s v="N/A"/>
  </r>
  <r>
    <s v="City of Rockledge"/>
    <s v="Not Provided "/>
    <s v="ROCK-07"/>
    <s v="Little John Lane Baffle Box"/>
    <s v="Not Provided "/>
    <s v="Baffle Box - 2nd generation"/>
    <x v="0"/>
    <n v="2004"/>
    <n v="16"/>
    <n v="1.9"/>
    <s v="B"/>
    <n v="11.869761643550452"/>
    <n v="60000"/>
    <n v="2555"/>
    <s v="Not Provided "/>
    <s v="Not Provided "/>
    <s v="N/A"/>
  </r>
  <r>
    <s v="City of Rockledge"/>
    <s v="Not Provided "/>
    <s v="ROCK-08"/>
    <s v="Fernwood Drive Baffle Box"/>
    <s v="Not Provided "/>
    <s v="Baffle Box - 2nd generation"/>
    <x v="0"/>
    <s v="Not Provided "/>
    <n v="14"/>
    <n v="1.6"/>
    <s v="B"/>
    <n v="12.880904086636283"/>
    <n v="55750"/>
    <s v="Not Provided "/>
    <s v="Not Provided "/>
    <s v="Not Provided "/>
    <s v="N/A"/>
  </r>
  <r>
    <s v="City of Rockledge"/>
    <s v="Not Provided "/>
    <s v="ROCK-09"/>
    <s v="Valencia Drive Baffle Box"/>
    <s v="Not Provided "/>
    <s v="Baffle Box - 2nd generation"/>
    <x v="0"/>
    <n v="2008"/>
    <n v="38"/>
    <n v="5.8"/>
    <s v="B"/>
    <n v="22.878503267697543"/>
    <n v="58960"/>
    <n v="2555"/>
    <s v="Not Provided "/>
    <s v="Not Provided "/>
    <s v="N/A"/>
  </r>
  <r>
    <s v="City of Rockledge"/>
    <s v="Not Provided "/>
    <s v="ROCK-10"/>
    <s v="Knollwood Baffle Box"/>
    <s v="Not Provided "/>
    <s v="Baffle Box - 2nd generation"/>
    <x v="0"/>
    <n v="2002"/>
    <n v="26"/>
    <n v="3"/>
    <s v="B"/>
    <n v="24.3"/>
    <n v="68248"/>
    <n v="3682"/>
    <s v="Not Provided "/>
    <s v="Not Provided "/>
    <s v="N/A"/>
  </r>
  <r>
    <s v="City of Rockledge"/>
    <s v="Not Provided "/>
    <s v="ROCK-11"/>
    <s v="Sutton Street Baffle Box"/>
    <s v="Not Provided "/>
    <s v="Baffle Box - 2nd generation"/>
    <x v="0"/>
    <n v="2011"/>
    <n v="9"/>
    <n v="1"/>
    <s v="B"/>
    <n v="8"/>
    <s v="Not Provided "/>
    <s v="Not Provided "/>
    <s v="Not Provided "/>
    <s v="Not Provided "/>
    <s v="N/A"/>
  </r>
  <r>
    <s v="City of Rockledge"/>
    <s v="Not Provided "/>
    <s v="ROCK-12"/>
    <s v="River Groves Baffle Box"/>
    <s v="Not Provided "/>
    <s v="Baffle Box - 2nd generation"/>
    <x v="0"/>
    <n v="2011"/>
    <n v="5"/>
    <n v="0.4"/>
    <s v="B"/>
    <n v="7.4"/>
    <s v="Not Provided "/>
    <s v="Not Provided "/>
    <s v="Not Provided "/>
    <s v="Not Provided "/>
    <s v="N/A"/>
  </r>
  <r>
    <s v="City of Rockledge"/>
    <s v="Not Provided "/>
    <s v="ROCK-13"/>
    <s v="Summer Place Baffle Box"/>
    <s v="Not Provided "/>
    <s v="Baffle Box - 2nd generation"/>
    <x v="0"/>
    <n v="2011"/>
    <n v="7"/>
    <n v="0.7"/>
    <s v="B"/>
    <n v="9.8000000000000007"/>
    <s v="Not Provided "/>
    <s v="Not Provided "/>
    <s v="Not Provided "/>
    <s v="Not Provided "/>
    <s v="N/A"/>
  </r>
  <r>
    <s v="City of Rockledge"/>
    <s v="Not Provided "/>
    <s v="ROCK-14"/>
    <s v="Sweet Street Swale"/>
    <s v="Not Provided "/>
    <s v="Swales"/>
    <x v="0"/>
    <n v="2011"/>
    <n v="38"/>
    <n v="5.0999999999999996"/>
    <s v="B"/>
    <n v="8"/>
    <s v="Not Provided "/>
    <s v="Not Provided "/>
    <s v="Not Provided "/>
    <s v="Not Provided "/>
    <s v="N/A"/>
  </r>
  <r>
    <s v="City of Rockledge"/>
    <s v="Not Provided "/>
    <s v="ROCK-15"/>
    <s v="Community Park of Rockledge Regional Facility Phase 1 "/>
    <s v="Not Provided "/>
    <s v="Wet Detention Pond"/>
    <x v="0"/>
    <n v="2004"/>
    <n v="5"/>
    <n v="0.5"/>
    <s v="B"/>
    <n v="25.6"/>
    <n v="50000"/>
    <n v="23974"/>
    <s v="Not Provided "/>
    <s v="Not Provided "/>
    <s v="N/A"/>
  </r>
  <r>
    <s v="City of Rockledge"/>
    <s v="Not Provided "/>
    <s v="ROCK-16"/>
    <s v="Pineland Park Unit Three"/>
    <s v="Not Provided "/>
    <s v="Wet Detention Pond"/>
    <x v="0"/>
    <n v="2009"/>
    <n v="1"/>
    <n v="0.2"/>
    <s v="B"/>
    <n v="54.3"/>
    <n v="100000"/>
    <n v="6234"/>
    <s v="Not Provided "/>
    <s v="Not Provided "/>
    <s v="N/A"/>
  </r>
  <r>
    <s v="City of Rockledge"/>
    <s v="DEP"/>
    <s v="ROCK-17"/>
    <s v="Barton Park Regional Detention System"/>
    <s v="Not Provided "/>
    <s v="Wet Detention Pond"/>
    <x v="0"/>
    <n v="2010"/>
    <n v="2823"/>
    <n v="1248.9000000000001"/>
    <s v="B"/>
    <n v="757"/>
    <n v="2600000"/>
    <n v="40000"/>
    <s v="DEP"/>
    <s v="Not Provided "/>
    <s v="S0538"/>
  </r>
  <r>
    <s v="City of Rockledge"/>
    <s v="Not Provided "/>
    <s v="ROCK-18"/>
    <s v="Florida Avenue Stormwater Facility"/>
    <s v="Not Provided "/>
    <s v="Wet Detention Pond"/>
    <x v="0"/>
    <n v="2010"/>
    <n v="76"/>
    <n v="49.5"/>
    <s v="B"/>
    <n v="25.2"/>
    <n v="435000"/>
    <n v="40950"/>
    <s v="Not Provided "/>
    <s v="Not Provided "/>
    <s v="N/A"/>
  </r>
  <r>
    <s v="City of Rockledge"/>
    <s v="Not Provided "/>
    <s v="ROCK-19"/>
    <s v="Police Department Pond"/>
    <s v="Not Provided "/>
    <s v="Wet Detention Pond"/>
    <x v="0"/>
    <n v="2010"/>
    <n v="16"/>
    <n v="5.0999999999999996"/>
    <s v="B"/>
    <n v="39.1"/>
    <n v="350000"/>
    <n v="7035"/>
    <s v="Not Provided "/>
    <s v="Not Provided "/>
    <s v="N/A"/>
  </r>
  <r>
    <s v="City of Rockledge"/>
    <s v="Not Provided "/>
    <s v="ROCK-20"/>
    <s v="Huntington Lakes I"/>
    <s v="Not Provided "/>
    <s v="Wet Detention Pond"/>
    <x v="0"/>
    <n v="2014"/>
    <n v="1"/>
    <n v="0.2"/>
    <s v="B"/>
    <n v="36.9"/>
    <n v="950000"/>
    <s v="Not Provided "/>
    <s v="Not Provided "/>
    <s v="Not Provided "/>
    <s v="N/A"/>
  </r>
  <r>
    <s v="City of Rockledge"/>
    <s v="Not Provided "/>
    <s v="ROCK-21"/>
    <s v="Street Sweeping"/>
    <s v="Not Provided "/>
    <s v="Street Sweeping"/>
    <x v="0"/>
    <s v="N/A"/>
    <n v="498"/>
    <n v="319"/>
    <s v="B"/>
    <s v="N/A"/>
    <s v="Not Provided "/>
    <n v="54000"/>
    <s v="Not Provided "/>
    <s v="Not Provided "/>
    <s v="N/A"/>
  </r>
  <r>
    <s v="City of Rockledge"/>
    <s v="Not Provided "/>
    <s v="ROCK-22"/>
    <s v="Treatment Missing from Model"/>
    <s v="Wet detention ponds – missing from model."/>
    <s v="Monitoring/Data Collection"/>
    <x v="0"/>
    <n v="1999"/>
    <n v="1248"/>
    <n v="477.3"/>
    <s v="B"/>
    <n v="383.2"/>
    <s v="Not Provided "/>
    <s v="Not Provided "/>
    <s v="Not Provided "/>
    <s v="Not Provided "/>
    <s v="N/A"/>
  </r>
  <r>
    <s v="City of Rockledge"/>
    <s v="Not Provided "/>
    <s v="ROCK-23"/>
    <s v="Education Efforts"/>
    <s v="Irrigation, fertilizer, pet waste management, and landscaping ordinances; pamphlets, presentations, website, illicit discharge program. Video &quot;Know Your Waterways&quot;"/>
    <s v="Education Efforts"/>
    <x v="0"/>
    <s v="N/A"/>
    <n v="1541"/>
    <n v="346.5"/>
    <s v="B"/>
    <s v="N/A"/>
    <s v=" $7,385.00 _x000a_"/>
    <n v="0"/>
    <s v="Not Provided "/>
    <s v="Not Provided "/>
    <s v="N/A"/>
  </r>
  <r>
    <s v="City of Rockledge"/>
    <s v="Not Provided "/>
    <s v="ROCK-24"/>
    <s v="Huntington Lakes II"/>
    <s v="Once project is completed it will provide treatment to some of the basin that leads into ROCK-17."/>
    <s v="Wet Detention Pond"/>
    <x v="0"/>
    <n v="2016"/>
    <s v="Not Provided"/>
    <s v="Not Provided"/>
    <s v="B"/>
    <n v="133.5"/>
    <n v="900000"/>
    <n v="15000"/>
    <s v="Not Provided "/>
    <s v="Not Provided "/>
    <s v="N/A"/>
  </r>
  <r>
    <s v="City of Rockledge"/>
    <s v="Not Provided "/>
    <s v="ROCK-25"/>
    <s v="Aquatic Harvesting"/>
    <s v="Data is collected by location in yards; determining method to convert to dry weight."/>
    <s v="Aquatic Vegetation Harvesting"/>
    <x v="0"/>
    <s v="Not Provided "/>
    <s v="Not Provided"/>
    <s v="Not Provided"/>
    <s v="B"/>
    <s v="N/A"/>
    <s v="Not Provided "/>
    <s v="Not Provided "/>
    <s v="Not Provided "/>
    <s v="Not Provided "/>
    <s v="N/A"/>
  </r>
  <r>
    <s v="City of Rockledge"/>
    <s v="Not Provided "/>
    <s v="ROCK-26"/>
    <s v="Breeze Swept Septic Phase-out"/>
    <s v="Estimates will be calculated using the latest version of ArcInlet for the septic tank phase-out."/>
    <s v="Wastewater Service Area Expansion"/>
    <x v="0"/>
    <n v="2017"/>
    <s v="TBD"/>
    <s v="TBD"/>
    <s v="B"/>
    <s v="Not Provided "/>
    <n v="3700000"/>
    <n v="20000"/>
    <s v="Not Provided "/>
    <s v="Not Provided "/>
    <s v="N/A"/>
  </r>
  <r>
    <s v="City of Rockledge"/>
    <s v="Not Provided "/>
    <s v="ROCK-27"/>
    <s v="River Ridge Non Discharge"/>
    <s v="Nondisharge dry retention basin."/>
    <s v="100% On-site Retention"/>
    <x v="0"/>
    <s v="Not Provided "/>
    <n v="190"/>
    <n v="38.700000000000003"/>
    <s v="B"/>
    <n v="35.259830204997925"/>
    <s v="Not Provided "/>
    <s v="Not Provided "/>
    <s v="Not Provided "/>
    <s v="Not Provided "/>
    <s v="N/A"/>
  </r>
  <r>
    <s v="City of Rockledge"/>
    <s v="Not Provided "/>
    <s v="ROCK-28"/>
    <s v="Southwest Gus Hipp Conveyance"/>
    <s v="Add BAM for denitrification to major canal in the city."/>
    <s v="BMP Treatment Train"/>
    <x v="3"/>
    <n v="2018"/>
    <s v="TBD"/>
    <s v="TBD"/>
    <s v="B"/>
    <s v="TBD"/>
    <n v="17000"/>
    <s v="Not Provided "/>
    <s v="Not Provided "/>
    <s v="Not Provided "/>
    <s v="N/A"/>
  </r>
  <r>
    <s v="City of Rockledge"/>
    <s v="Not Provided "/>
    <s v="ROCK-29"/>
    <s v="Gus Hipp Pond"/>
    <s v="Conversion of borrow pit to a wet detention pond."/>
    <s v="Wet Detention Pond"/>
    <x v="1"/>
    <s v="TBD"/>
    <s v="TBD"/>
    <s v="TBD"/>
    <s v="B"/>
    <s v="TBD"/>
    <n v="335000"/>
    <s v="Not Provided "/>
    <s v="Not Provided "/>
    <s v="Not Provided "/>
    <s v="N/A"/>
  </r>
  <r>
    <s v="City of Rockledge"/>
    <s v="Not Provided "/>
    <s v="ROCK-30"/>
    <s v="Public Works Pond 1"/>
    <s v="Enlarge current retention area."/>
    <s v="Dry Detention Pond"/>
    <x v="0"/>
    <n v="2017"/>
    <n v="3.9000000000000004"/>
    <n v="0.98"/>
    <s v="B"/>
    <n v="5.6879289296432489"/>
    <n v="5000"/>
    <s v="Not Provided "/>
    <s v="Not Provided "/>
    <s v="Not Provided "/>
    <s v="N/A"/>
  </r>
  <r>
    <s v="City of Rockledge"/>
    <s v="Not Provided "/>
    <s v="ROCK-31"/>
    <s v="Public Works Pond 2"/>
    <s v="Enlarge current retention area."/>
    <s v="Dry Detention Pond"/>
    <x v="0"/>
    <n v="2017"/>
    <n v="12.600000000000001"/>
    <n v="3.39"/>
    <s v="B"/>
    <n v="6.9616296387169498"/>
    <n v="10000"/>
    <s v="Not Provided "/>
    <s v="Not Provided "/>
    <s v="Not Provided "/>
    <s v="N/A"/>
  </r>
  <r>
    <s v="City of Rockledge"/>
    <s v="Not Provided "/>
    <s v="ROCK-32"/>
    <s v="School Triangle Pond"/>
    <s v="Create dry detention pond on city-owned land."/>
    <s v="Dry Detention Pond"/>
    <x v="0"/>
    <n v="2017"/>
    <n v="1.6"/>
    <n v="0.44000000000000006"/>
    <s v="B"/>
    <n v="1.2199594036496"/>
    <n v="20300"/>
    <s v="Not Provided "/>
    <s v="Not Provided "/>
    <s v="Not Provided "/>
    <s v="N/A"/>
  </r>
  <r>
    <s v="City of Rockledge"/>
    <s v="Not Provided "/>
    <s v="ROCK-33"/>
    <s v="Barton Park Irrigation"/>
    <s v="Use wet pond (Barton Lake) for irrigation."/>
    <s v="Stormwater Reuse"/>
    <x v="1"/>
    <s v="TBD"/>
    <s v="TBD"/>
    <s v="TBD"/>
    <s v="B"/>
    <s v="TBD"/>
    <s v="TBD"/>
    <s v="TBD"/>
    <s v="TBD"/>
    <s v="TBD"/>
    <s v="N/A"/>
  </r>
  <r>
    <s v="City of Rockledge"/>
    <s v="Not Provided "/>
    <s v="ROCK-34"/>
    <s v="Winchester Cove Non Discharge"/>
    <s v="Nondisharge dry retention basin."/>
    <s v="100% On-site Retention"/>
    <x v="0"/>
    <s v="Not Provided "/>
    <n v="13"/>
    <n v="1.6"/>
    <s v="B"/>
    <n v="1.9"/>
    <s v="Not Provided "/>
    <s v="Not Provided "/>
    <s v="Not Provided "/>
    <s v="Not Provided "/>
    <s v="N/A"/>
  </r>
  <r>
    <s v="City of Titusville"/>
    <s v="Brevard County"/>
    <s v="TV-01"/>
    <s v="Area 1 Stormwater Improvements"/>
    <s v="Upsize existing storm pipes and enclose the Florida Ditch; water directed to TV-02."/>
    <s v="Wet Detention Pond"/>
    <x v="0"/>
    <n v="2010"/>
    <n v="1019"/>
    <n v="411.8"/>
    <s v="A"/>
    <n v="432.2"/>
    <n v="2151510"/>
    <n v="4797"/>
    <s v="City/ Brevard County"/>
    <s v="City: $1,410,072  County: $470,000"/>
    <s v="N/A"/>
  </r>
  <r>
    <s v="City of Titusville"/>
    <s v="Brevard County/ Parrish Medical Center/ Brevard Community College/ SJRWMD"/>
    <s v="TV-02"/>
    <s v="Chain of Lakes Regional Stormwater Pond"/>
    <s v="Construction of a regional park featuring wetlands, treatment ponds, and recreational features."/>
    <s v="Regional Stormwater Treatment"/>
    <x v="0"/>
    <n v="2010"/>
    <n v="360"/>
    <n v="159.6"/>
    <s v="A"/>
    <n v="339.8"/>
    <n v="3521489"/>
    <n v="15620"/>
    <s v="City/ Brevard County/ SJRWMD/ Parrish Medical Center/ Brevard Community College"/>
    <s v="City: $1,210,013 County: $1,910,709 SJRWMD: $577,145            PMC: $350,000       BCC: $217,500"/>
    <s v="N/A"/>
  </r>
  <r>
    <s v="City of Titusville"/>
    <s v="DEP/ SJRWMD"/>
    <s v="TV-03"/>
    <s v="Draa Field Stormwater Park"/>
    <s v="Water quality treatment for Area 2 drainage basin."/>
    <s v="Wet Detention Pond"/>
    <x v="0"/>
    <n v="2016"/>
    <n v="771"/>
    <n v="312"/>
    <s v="A"/>
    <n v="105.074653"/>
    <n v="1810000"/>
    <n v="15000"/>
    <s v="DEP/ SJRWMD/ Florida Legislature/ City"/>
    <s v="DEP: $388,825 SJRWMD: $366,000                  Florida Legislature: $800,000          City: $255,000"/>
    <s v="G0416"/>
  </r>
  <r>
    <s v="City of Titusville"/>
    <s v="DEP/ SJRWMD"/>
    <s v="TV-04"/>
    <s v="St. Johns Basin Stormwater Improvements"/>
    <s v="Construction of a 3. 5-acre wet detention pond to treat runoff from mixed use lands prior to discharge to the lagoon."/>
    <s v="Wet Detention Pond"/>
    <x v="0"/>
    <n v="2014"/>
    <n v="317"/>
    <n v="1155.9000000000001"/>
    <s v="A"/>
    <n v="882.1"/>
    <n v="2024000"/>
    <n v="8000"/>
    <s v="DEP/ Brevard County/ City"/>
    <s v="DEP: $681,563 County: $141,655 City: $1,314,625"/>
    <s v="S0338"/>
  </r>
  <r>
    <s v="City of Titusville"/>
    <s v="DEP/ SJRWMD"/>
    <s v="TV-05"/>
    <s v="St. Johns Basin Stormwater Improvements"/>
    <s v="Installation of a baffle box downstream of the pond to treat runoff from mixed use lands prior to discharge to the lagoon."/>
    <s v="Baffle Box - 2nd generation"/>
    <x v="0"/>
    <n v="2011"/>
    <n v="1510"/>
    <n v="215.9"/>
    <s v="A"/>
    <n v="882.1"/>
    <n v="167343"/>
    <n v="8000"/>
    <s v="DEP/City"/>
    <s v="DEP: $100,000 City: $67,343"/>
    <s v="S0338"/>
  </r>
  <r>
    <s v="City of Titusville"/>
    <s v="DEP/ SJRWMD/ FCT / FRDAP/ FDOT"/>
    <s v="TV-06"/>
    <s v="Spaceview Park"/>
    <s v="Alum treatment."/>
    <s v="Alum Treatment"/>
    <x v="0"/>
    <n v="2007"/>
    <n v="1153"/>
    <n v="377.9"/>
    <s v="A"/>
    <n v="110.6"/>
    <n v="2727394"/>
    <n v="15000"/>
    <s v="DEP/ SJRWMD/ FCT /FRDAP/ FDOT/ City "/>
    <s v="DEP: $981,151 SJRWMD: $83,600 FCT: $228,375 FRDAP: $103,956 FDOT: $72,195 City: $1,258,116"/>
    <s v="G0053"/>
  </r>
  <r>
    <s v="City of Titusville"/>
    <s v="N/A"/>
    <s v="TV-07"/>
    <s v="Education Efforts"/>
    <s v="Irrigation, fertilizer, pet waste management, and landscaping ordinances; pamphlets, presentations, website, illicit discharge program."/>
    <s v="Education Efforts"/>
    <x v="0"/>
    <s v="N/A"/>
    <n v="1522"/>
    <n v="292"/>
    <s v="A"/>
    <s v="N/A"/>
    <s v="N/A"/>
    <n v="5000"/>
    <s v="City"/>
    <s v="N/A"/>
    <s v="N/A"/>
  </r>
  <r>
    <s v="City of Titusville"/>
    <s v="N/A"/>
    <s v="TV-08"/>
    <s v="Street Sweeping"/>
    <s v="Approximately 2,995,362 lbs.  of debris were removed in North A during the reporting period."/>
    <s v="Street Sweeping"/>
    <x v="0"/>
    <s v="N/A"/>
    <n v="1687"/>
    <n v="1082"/>
    <s v="A"/>
    <s v="N/A"/>
    <n v="188120"/>
    <n v="63106"/>
    <s v="City"/>
    <s v="Not Provided "/>
    <s v="N/A"/>
  </r>
  <r>
    <s v="City of Titusville"/>
    <s v="N/A"/>
    <s v="TV-09"/>
    <s v="Education Efforts"/>
    <s v="Irrigation, fertilizer, pet waste management, and landscaping ordinances; pamphlets, presentations, website, illicit discharge program."/>
    <s v="Education Efforts"/>
    <x v="0"/>
    <s v="N/A"/>
    <n v="56"/>
    <n v="5.8"/>
    <s v="B"/>
    <s v="N/A"/>
    <s v="N/A"/>
    <n v="5000"/>
    <s v="City"/>
    <s v="N/A"/>
    <s v="N/A"/>
  </r>
  <r>
    <s v="City of Titusville"/>
    <s v="N/A"/>
    <s v="TV-10"/>
    <s v="Street Sweeping"/>
    <s v="Approximately 307,132 lbs of debris were removed from North B during the reporting period."/>
    <s v="Street Sweeping"/>
    <x v="0"/>
    <s v="N/A"/>
    <n v="173"/>
    <n v="111"/>
    <s v="B"/>
    <s v="N/A"/>
    <n v="188120"/>
    <n v="63106"/>
    <s v="City"/>
    <s v="Not Provided "/>
    <s v="N/A"/>
  </r>
  <r>
    <s v="City of Titusville"/>
    <s v="N/A"/>
    <s v="TV-11"/>
    <s v="Senior Center Pond Floating Islands"/>
    <s v="Floating islands within a wet detention pond."/>
    <s v="Floating Islands/ Managed Aquatic Plants Systems (MAPS)"/>
    <x v="0"/>
    <n v="2015"/>
    <n v="719.41"/>
    <n v="87.08"/>
    <s v="A"/>
    <n v="624"/>
    <n v="52536"/>
    <n v="43720"/>
    <s v="City"/>
    <n v="52536"/>
    <s v="N/A"/>
  </r>
  <r>
    <s v="City of Titusville"/>
    <s v="DEP"/>
    <s v="TV-12"/>
    <s v="Senior Center Ponds Littoral Zone Plantings"/>
    <s v="Littoral vegetation plantings around an already existing wet detention pond."/>
    <s v="BMP Treatment Train"/>
    <x v="0"/>
    <n v="2016"/>
    <n v="189.4"/>
    <n v="90.1"/>
    <s v="A"/>
    <n v="413.6"/>
    <n v="50000"/>
    <n v="2000"/>
    <s v="DEP/City"/>
    <s v="DEP: $21,144.31 City: $14,720.89"/>
    <s v="G0433"/>
  </r>
  <r>
    <s v="City of Titusville"/>
    <s v="DEP"/>
    <s v="TV-13"/>
    <s v="Royal Oak Littoral Zone Plantings"/>
    <s v="Littoral vegetation plantings around an already existing wet detention pond"/>
    <s v="BMP Treatment Train"/>
    <x v="0"/>
    <n v="2016"/>
    <n v="79.099999999999994"/>
    <n v="18.8"/>
    <s v="A"/>
    <n v="123.1"/>
    <n v="50000"/>
    <n v="2000"/>
    <s v="DEP/City"/>
    <s v="DEP: $21,144.31 City: $14,720.89"/>
    <s v="G0433"/>
  </r>
  <r>
    <s v="City of Titusville"/>
    <s v="DEP"/>
    <s v="TV-14"/>
    <s v="Main Street Baffle Box with BAM"/>
    <s v="2nd generation baffle box with media"/>
    <s v="Baffle Box - 2nd generation with media "/>
    <x v="3"/>
    <n v="2018"/>
    <s v="TBD"/>
    <s v="TBD"/>
    <s v="A"/>
    <n v="295.95999999999998"/>
    <n v="393363"/>
    <n v="4000"/>
    <s v="DEP/City"/>
    <s v="DEP: $176,376 City: $216,987"/>
    <s v="G0442"/>
  </r>
  <r>
    <s v="City of Titusville"/>
    <s v="DEP"/>
    <s v="TV-15"/>
    <s v="Sycamore Street Baffle Box with BAM"/>
    <s v="2nd generation baffle box with media"/>
    <s v="Baffle Box - 2nd generation with media "/>
    <x v="3"/>
    <n v="2018"/>
    <s v="TBD"/>
    <s v="TBD"/>
    <s v="A"/>
    <n v="300.07"/>
    <n v="570517.72"/>
    <n v="4000"/>
    <s v="DEP/City"/>
    <s v="DEP: $176,376 City: $394,142"/>
    <s v="G0442"/>
  </r>
  <r>
    <s v="City of Titusville"/>
    <s v="N/A"/>
    <s v="TV-16"/>
    <s v="Knox Mc Rae Baffle Box"/>
    <s v="2nd generation baffle box with media"/>
    <s v="Baffle Box - 2nd generation with media "/>
    <x v="3"/>
    <n v="2019"/>
    <s v="TBD"/>
    <s v="TBD"/>
    <s v="A"/>
    <n v="37.9"/>
    <n v="225000"/>
    <n v="4000"/>
    <s v="Florida Legislature/ City"/>
    <s v="Florida Legislature: $105,000 City: $120,000"/>
    <s v="LP05031"/>
  </r>
  <r>
    <s v="City of Titusville"/>
    <s v="TBD"/>
    <s v="TV-17"/>
    <s v="Coleman Basin TMDL Improvements"/>
    <s v="Future Project"/>
    <s v="TBD"/>
    <x v="1"/>
    <s v="TBD"/>
    <s v="TBD"/>
    <s v="TBD"/>
    <s v="A"/>
    <n v="107"/>
    <s v="TBD"/>
    <s v="TBD"/>
    <s v="TBD"/>
    <s v="TBD"/>
    <s v="N/A"/>
  </r>
  <r>
    <s v="City of Titusville"/>
    <s v="SJRWMD/ Brevard County"/>
    <s v="TV-18"/>
    <s v="South Street Basin TMDL Improvements"/>
    <s v="Three 2nd generation baffle boxes with media"/>
    <s v="Baffle Box - 2nd generation with media "/>
    <x v="1"/>
    <n v="2019"/>
    <s v="TBD"/>
    <s v="TBD"/>
    <s v="A"/>
    <n v="235"/>
    <n v="450000"/>
    <n v="12000"/>
    <s v="City/SJRWMD/ County"/>
    <s v="City: $254,144 SJRWMD: $110,000 County: $86,856"/>
    <s v="N/A"/>
  </r>
  <r>
    <s v="City of Titusville"/>
    <s v="Brevard County"/>
    <s v="TV-19"/>
    <s v="St. Theresa Basin TMDL Improvements"/>
    <s v="2nd generation baffle box with media"/>
    <s v="Baffle Box - 2nd generation with media "/>
    <x v="1"/>
    <n v="2019"/>
    <s v="TBD"/>
    <s v="TBD"/>
    <s v="A"/>
    <n v="314"/>
    <n v="375000"/>
    <n v="4000"/>
    <s v="City/County"/>
    <s v="City: $102,200 County: $272,800"/>
    <s v="N/A"/>
  </r>
  <r>
    <s v="City of Titusville"/>
    <s v="Brevard County"/>
    <s v="TV-20"/>
    <s v="La Paloma Basin TMDL Improvements"/>
    <s v="2nd generation baffle box with media"/>
    <s v="Baffle Box - 2nd generation with media "/>
    <x v="1"/>
    <n v="2019"/>
    <s v="TBD"/>
    <s v="TBD"/>
    <s v="A"/>
    <n v="488"/>
    <n v="375000"/>
    <n v="4000"/>
    <s v="City/County"/>
    <s v="City: $166,704 County: $208,296"/>
    <s v="N/A"/>
  </r>
  <r>
    <s v="City of Titusville"/>
    <s v="TBD"/>
    <s v="TV-21"/>
    <s v="THS Basin TMDL Improvements"/>
    <s v="Future Project"/>
    <s v="TBD"/>
    <x v="1"/>
    <s v="TBD"/>
    <s v="TBD"/>
    <s v="TBD"/>
    <s v="A"/>
    <n v="239.65"/>
    <s v="TBD"/>
    <s v="TBD"/>
    <s v="TBD"/>
    <s v="TBD"/>
    <s v="N/A"/>
  </r>
  <r>
    <s v="City of Titusville"/>
    <s v="TBD"/>
    <s v="TV-22"/>
    <s v="Brevard Street Basin TMDL Improvements"/>
    <s v="Future Project"/>
    <s v="TBD"/>
    <x v="1"/>
    <s v="TBD"/>
    <s v="TBD"/>
    <s v="TBD"/>
    <s v="A"/>
    <n v="17.71"/>
    <s v="TBD"/>
    <s v="TBD"/>
    <s v="TBD"/>
    <s v="TBD"/>
    <s v="N/A"/>
  </r>
  <r>
    <s v="City of Titusville"/>
    <s v="TBD"/>
    <s v="TV-23"/>
    <s v="St. Johns 2nd Baffle Box TMDL Improvements"/>
    <s v="Future Project"/>
    <s v="TBD"/>
    <x v="1"/>
    <s v="TBD"/>
    <s v="TBD"/>
    <s v="TBD"/>
    <s v="A"/>
    <n v="882.1"/>
    <s v="TBD"/>
    <s v="TBD"/>
    <s v="TBD"/>
    <s v="TBD"/>
    <s v="N/A"/>
  </r>
  <r>
    <s v="City of Titusville"/>
    <s v="TBD"/>
    <s v="TV-24"/>
    <s v="Marina Basin TMDL Improvements"/>
    <s v="Future Project"/>
    <s v="TBD"/>
    <x v="1"/>
    <s v="TBD"/>
    <s v="TBD"/>
    <s v="TBD"/>
    <s v="A"/>
    <n v="271.17"/>
    <s v="TBD"/>
    <s v="TBD"/>
    <s v="TBD"/>
    <s v="TBD"/>
    <s v="N/A"/>
  </r>
  <r>
    <s v="City of Titusville"/>
    <s v="TBD"/>
    <s v="TV-25"/>
    <s v="Grace Basin TMDL Improvements"/>
    <s v="Future Project"/>
    <s v="TBD"/>
    <x v="1"/>
    <s v="TBD"/>
    <s v="TBD"/>
    <s v="TBD"/>
    <s v="A"/>
    <n v="17.73"/>
    <s v="TBD"/>
    <s v="TBD"/>
    <s v="TBD"/>
    <s v="TBD"/>
    <s v="N/A"/>
  </r>
  <r>
    <s v="City of Titusville"/>
    <s v="Private Development"/>
    <s v="TV-26"/>
    <s v="Miracle City Basin TMDL Improvements"/>
    <s v="Baffle Box - 2nd generation "/>
    <s v="Baffle Box - 2nd generation "/>
    <x v="3"/>
    <n v="2018"/>
    <s v="TBD"/>
    <s v="TBD"/>
    <s v="A"/>
    <n v="2.448"/>
    <s v="TBD"/>
    <n v="4000"/>
    <s v="Private Development"/>
    <s v="TBD"/>
    <s v="N/A"/>
  </r>
  <r>
    <s v="City of Titusville"/>
    <s v="TBD"/>
    <s v="TV-27"/>
    <s v="South Marina Basin TMDL Improvements"/>
    <s v="Future Project"/>
    <s v="TBD"/>
    <x v="1"/>
    <s v="TBD"/>
    <s v="TBD"/>
    <s v="TBD"/>
    <s v="A"/>
    <n v="322.88"/>
    <s v="TBD"/>
    <s v="TBD"/>
    <s v="TBD"/>
    <s v="TBD"/>
    <s v="N/A"/>
  </r>
  <r>
    <s v="City of Titusville"/>
    <s v="TBD"/>
    <s v="TV-28"/>
    <s v="S.R. 50 Basin TMDL Improvements"/>
    <s v="Future Project"/>
    <s v="TBD"/>
    <x v="1"/>
    <s v="TBD"/>
    <s v="TBD"/>
    <s v="TBD"/>
    <s v="A"/>
    <n v="131.09"/>
    <s v="TBD"/>
    <s v="TBD"/>
    <s v="TBD"/>
    <s v="TBD"/>
    <s v="N/A"/>
  </r>
  <r>
    <s v="City of Titusville"/>
    <s v="TBD"/>
    <s v="TV-29"/>
    <s v="Commons Basin TMDL Improvements"/>
    <s v="Future Project"/>
    <s v="TBD"/>
    <x v="1"/>
    <s v="TBD"/>
    <s v="TBD"/>
    <s v="TBD"/>
    <s v="A"/>
    <n v="4.37"/>
    <s v="TBD"/>
    <s v="TBD"/>
    <s v="TBD"/>
    <s v="TBD"/>
    <s v="N/A"/>
  </r>
  <r>
    <s v="City of Titusville"/>
    <s v="TBD"/>
    <s v="TV-30"/>
    <s v="Broad Street Basin TMDL Improvements"/>
    <s v="Future Project"/>
    <s v="TBD"/>
    <x v="1"/>
    <s v="TBD"/>
    <s v="TBD"/>
    <s v="TBD"/>
    <s v="A"/>
    <n v="13.44"/>
    <s v="TBD"/>
    <s v="TBD"/>
    <s v="TBD"/>
    <s v="TBD"/>
    <s v="N/A"/>
  </r>
  <r>
    <s v="City of Titusville"/>
    <s v="TBD"/>
    <s v="TV-31"/>
    <s v="Riverview Street Basin TMDL Improvements"/>
    <s v="Future Project"/>
    <s v="TBD"/>
    <x v="1"/>
    <s v="TBD"/>
    <s v="TBD"/>
    <s v="TBD"/>
    <s v="A"/>
    <n v="7.32"/>
    <s v="TBD"/>
    <s v="TBD"/>
    <s v="TBD"/>
    <s v="TBD"/>
    <s v="N/A"/>
  </r>
  <r>
    <s v="City of Titusville"/>
    <s v="TBD"/>
    <s v="TV-32"/>
    <s v="THS 2 Basin TMDL Improvements"/>
    <s v="Future Project"/>
    <s v="TBD"/>
    <x v="1"/>
    <s v="TBD"/>
    <s v="TBD"/>
    <s v="TBD"/>
    <s v="A"/>
    <n v="26.54"/>
    <s v="TBD"/>
    <s v="TBD"/>
    <s v="TBD"/>
    <s v="TBD"/>
    <s v="N/A"/>
  </r>
  <r>
    <s v="City of Titusville"/>
    <s v="Brevard County"/>
    <s v="TV-33"/>
    <s v="Osprey Water Reclamation Nutrient Removal Upgrade"/>
    <s v="Nitrogen effluent reduction of reclaimed water from 17.9 mg/l to 6 mg/l"/>
    <s v="WWTF Nutrient Reduction"/>
    <x v="1"/>
    <n v="2021"/>
    <s v="TBD"/>
    <s v="TBD"/>
    <s v="A"/>
    <s v="N/A"/>
    <n v="8000000"/>
    <s v="TBD"/>
    <s v="City/County"/>
    <s v="TBD"/>
    <s v="N/A"/>
  </r>
  <r>
    <s v="FDOT District 5"/>
    <s v="N/A"/>
    <s v="FDOT-01"/>
    <s v="Education Efforts"/>
    <s v="Illicit Discharge Detection and Elimination Training, brochures, and NDPES flyer."/>
    <s v="Education Efforts"/>
    <x v="0"/>
    <s v="N/A"/>
    <n v="39"/>
    <n v="11.3"/>
    <s v="A"/>
    <s v="N/A"/>
    <s v="Not Provided"/>
    <s v="Not Provided"/>
    <s v="Florida Legislature "/>
    <s v="Not Provided"/>
    <s v="N/A"/>
  </r>
  <r>
    <s v="FDOT District 5"/>
    <s v="N/A"/>
    <s v="FDOT-02"/>
    <s v="Street Sweeping"/>
    <s v="Not Provided"/>
    <s v="Street Sweeping"/>
    <x v="0"/>
    <s v="N/A"/>
    <n v="185"/>
    <n v="119"/>
    <s v="A"/>
    <s v="N/A"/>
    <s v="Not Provided"/>
    <s v="Not Provided"/>
    <s v="Florida Legislature "/>
    <s v="Not Provided"/>
    <s v="N/A"/>
  </r>
  <r>
    <s v="FDOT District 5"/>
    <s v="N/A"/>
    <s v="FDOT-03"/>
    <s v="Fertilizer Cessation"/>
    <s v="Elimination of fertilizer use along the rights-of-way."/>
    <s v="Fertilizer Cessation"/>
    <x v="0"/>
    <n v="2005"/>
    <n v="595"/>
    <n v="0"/>
    <s v="A"/>
    <s v="-"/>
    <s v="Not Provided"/>
    <s v="Not Provided"/>
    <s v="Florida Legislature "/>
    <s v="Not Provided"/>
    <s v="N/A"/>
  </r>
  <r>
    <s v="FDOT District 5"/>
    <s v="N/A"/>
    <s v="FDOT-04"/>
    <s v="70100-3517-01 French Drains"/>
    <s v="Missing from Model. French Drain system along State Road 5 from University Boulevard to Aurora Road."/>
    <s v="100% On-site Retention"/>
    <x v="0"/>
    <n v="1996"/>
    <n v="57"/>
    <n v="34.200000000000003"/>
    <s v="B"/>
    <n v="21.3"/>
    <s v="Not Provided"/>
    <s v="Not Provided"/>
    <s v="Florida Legislature "/>
    <s v="Not Provided"/>
    <s v="N/A"/>
  </r>
  <r>
    <s v="FDOT District 5"/>
    <s v="N/A"/>
    <s v="FDOT-05"/>
    <s v="70100-3544-01 French Drains"/>
    <s v="Missing from Model. Add lanes East of H.  Humphrey Bridge to Sykes Creek Parkway."/>
    <s v="100% On-site Retention"/>
    <x v="0"/>
    <n v="1995"/>
    <n v="26"/>
    <n v="13.6"/>
    <s v="B"/>
    <n v="7"/>
    <s v="Not Provided"/>
    <s v="Not Provided"/>
    <s v="Florida Legislature "/>
    <s v="Not Provided"/>
    <s v="N/A"/>
  </r>
  <r>
    <s v="FDOT District 5"/>
    <s v="N/A"/>
    <s v="FDOT-06"/>
    <s v="70020-3501-01 Pond 1"/>
    <s v="Missing from Model. State Road 5 -Add lanes and reconstruct from Aurora Road to Post Road."/>
    <s v="Wet Detention Pond"/>
    <x v="0"/>
    <n v="2004"/>
    <n v="38"/>
    <n v="22.4"/>
    <s v="B"/>
    <n v="17.100000000000001"/>
    <s v="Not Provided"/>
    <s v="Not Provided"/>
    <s v="Florida Legislature "/>
    <s v="Not Provided"/>
    <s v="N/A"/>
  </r>
  <r>
    <s v="FDOT District 5"/>
    <s v="N/A"/>
    <s v="FDOT-07"/>
    <s v="70020-3501-02A Pond 2A"/>
    <s v="Missing from Model. State Road 5 -Add lanes and reconstruct from Aurora Road to Post Road."/>
    <s v="Wet Detention Pond"/>
    <x v="0"/>
    <n v="2004"/>
    <n v="35"/>
    <n v="19.2"/>
    <s v="B"/>
    <n v="12.6"/>
    <s v="Not Provided"/>
    <s v="Not Provided"/>
    <s v="Florida Legislature "/>
    <s v="Not Provided"/>
    <s v="N/A"/>
  </r>
  <r>
    <s v="FDOT District 5"/>
    <s v="N/A"/>
    <s v="FDOT-08"/>
    <s v="70020-3501-02B Pond 2B"/>
    <s v="Missing from Model. State Road 5 -Add lanes and reconstruct from Aurora Road to Post Road."/>
    <s v="Wet Detention Pond"/>
    <x v="0"/>
    <n v="2004"/>
    <n v="10"/>
    <n v="5.2"/>
    <s v="B"/>
    <n v="4.8"/>
    <s v="Not Provided"/>
    <s v="Not Provided"/>
    <s v="Florida Legislature "/>
    <s v="Not Provided"/>
    <s v="N/A"/>
  </r>
  <r>
    <s v="FDOT District 5"/>
    <s v="N/A"/>
    <s v="FDOT-09"/>
    <s v="70020-3501-03 Pond 3"/>
    <s v="Missing from Model. State Road 5 -Add lanes and reconstruct from Aurora Road to Post Road."/>
    <s v="Wet Detention Pond"/>
    <x v="0"/>
    <n v="2004"/>
    <n v="18"/>
    <n v="10.4"/>
    <s v="B"/>
    <n v="8.4"/>
    <s v="Not Provided"/>
    <s v="Not Provided"/>
    <s v="Florida Legislature "/>
    <s v="Not Provided"/>
    <s v="N/A"/>
  </r>
  <r>
    <s v="FDOT District 5"/>
    <s v="N/A"/>
    <s v="FDOT-10"/>
    <s v="70020-3501-04 Pond 4"/>
    <s v="Missing from Model. State Road 5 -Add lanes and reconstruct from Aurora Road to Post Road."/>
    <s v="Dry Detention Pond"/>
    <x v="0"/>
    <n v="2004"/>
    <n v="17"/>
    <n v="8.8000000000000007"/>
    <s v="B"/>
    <n v="7.9"/>
    <s v="Not Provided"/>
    <s v="Not Provided"/>
    <s v="Florida Legislature "/>
    <s v="Not Provided"/>
    <s v="N/A"/>
  </r>
  <r>
    <s v="FDOT District 5"/>
    <s v="N/A"/>
    <s v="FDOT-11"/>
    <s v="70020-3549-01 Pond 1"/>
    <s v="Missing from Model. State Road 5 - Add lanes and reconstruct from Post Road to State Road 404."/>
    <s v="Wet Detention Pond"/>
    <x v="0"/>
    <n v="2005"/>
    <n v="28"/>
    <n v="14.2"/>
    <s v="B"/>
    <n v="9.9"/>
    <s v="Not Provided"/>
    <s v="Not Provided"/>
    <s v="Florida Legislature "/>
    <s v="Not Provided"/>
    <s v="N/A"/>
  </r>
  <r>
    <s v="FDOT District 5"/>
    <s v="N/A"/>
    <s v="FDOT-12"/>
    <s v="70020-3549-02 Pond 2"/>
    <s v="Missing from Model. State Road 5 - Add lanes and reconstruct from Post Road to State Road 404."/>
    <s v="Wet Detention Pond"/>
    <x v="0"/>
    <n v="2005"/>
    <n v="34"/>
    <n v="18.2"/>
    <s v="B"/>
    <n v="18.899999999999999"/>
    <s v="Not Provided"/>
    <s v="Not Provided"/>
    <s v="Florida Legislature "/>
    <s v="Not Provided"/>
    <s v="N/A"/>
  </r>
  <r>
    <s v="FDOT District 5"/>
    <s v="N/A"/>
    <s v="FDOT-13"/>
    <s v="70020-3549-03 Pond 3"/>
    <s v="Missing from Model. State Road 5 - Add lanes and reconstruct from Post Road to State Road 404."/>
    <s v="Wet Detention Pond"/>
    <x v="0"/>
    <n v="2005"/>
    <n v="32"/>
    <n v="16.5"/>
    <s v="B"/>
    <n v="11.2"/>
    <s v="Not Provided"/>
    <s v="Not Provided"/>
    <s v="Florida Legislature "/>
    <s v="Not Provided"/>
    <s v="N/A"/>
  </r>
  <r>
    <s v="FDOT District 5"/>
    <s v="N/A"/>
    <s v="FDOT-14"/>
    <s v="70020-3549-04 Pond 4"/>
    <s v="Missing from Model. State Road 5 - Add lanes and reconstruct from Post Road to State Road 404."/>
    <s v="Wet Detention Pond"/>
    <x v="0"/>
    <n v="2005"/>
    <n v="14"/>
    <n v="7"/>
    <s v="B"/>
    <n v="3.4"/>
    <s v="Not Provided"/>
    <s v="Not Provided"/>
    <s v="Florida Legislature "/>
    <s v="Not Provided"/>
    <s v="N/A"/>
  </r>
  <r>
    <s v="FDOT District 5"/>
    <s v="N/A"/>
    <s v="FDOT-15"/>
    <s v="70020-3549-05 Pond 5"/>
    <s v="Missing from Model. State Road 5 - Add lanes and reconstruct from Post Road to State Road 404."/>
    <s v="Wet Detention Pond"/>
    <x v="0"/>
    <n v="2005"/>
    <n v="11"/>
    <n v="6"/>
    <s v="B"/>
    <n v="3.4"/>
    <s v="Not Provided"/>
    <s v="Not Provided"/>
    <s v="Florida Legislature "/>
    <s v="Not Provided"/>
    <s v="N/A"/>
  </r>
  <r>
    <s v="FDOT District 5"/>
    <s v="N/A"/>
    <s v="FDOT-16"/>
    <s v=" 70140-3514-01 Pond A"/>
    <s v="Missing from Model. State Road 3 - Replace Christa McAuliffe Bridge."/>
    <s v="Dry Detention Pond"/>
    <x v="0"/>
    <n v="1997"/>
    <n v="4"/>
    <n v="2.4"/>
    <s v="B"/>
    <n v="1.5"/>
    <s v="Not Provided"/>
    <s v="Not Provided"/>
    <s v="Florida Legislature "/>
    <s v="Not Provided"/>
    <s v="N/A"/>
  </r>
  <r>
    <s v="FDOT District 5"/>
    <s v="N/A"/>
    <s v="FDOT-17"/>
    <s v=" 70140-3514-02 Pond B"/>
    <s v="Missing from Model. State Road 3 - Replace Christa McAuliffe Bridge."/>
    <s v="Wet Detention Pond"/>
    <x v="0"/>
    <n v="1997"/>
    <n v="18"/>
    <n v="7.5"/>
    <s v="B"/>
    <n v="5.9"/>
    <s v="Not Provided"/>
    <s v="Not Provided"/>
    <s v="Florida Legislature "/>
    <s v="Not Provided"/>
    <s v="N/A"/>
  </r>
  <r>
    <s v="FDOT District 5"/>
    <s v="N/A"/>
    <s v="FDOT-18"/>
    <s v="70120-3518-01 Pond 7"/>
    <s v="Missing from Model. State Road 518 at State Road 513."/>
    <s v="Wet Detention Pond"/>
    <x v="0"/>
    <n v="1984"/>
    <n v="45"/>
    <n v="21.1"/>
    <s v="B"/>
    <n v="9.9"/>
    <s v="Not Provided"/>
    <s v="Not Provided"/>
    <s v="Florida Legislature "/>
    <s v="Not Provided"/>
    <s v="N/A"/>
  </r>
  <r>
    <s v="FDOT District 5"/>
    <s v="N/A"/>
    <s v="FDOT-19"/>
    <s v="70008-3505-01 Pond 1"/>
    <s v="Missing from Model. From south of State Road 518 (Eau Gallie Causeway) to Banana River Drive."/>
    <s v="Wet Detention Pond"/>
    <x v="0"/>
    <n v="1992"/>
    <n v="6"/>
    <n v="3.4"/>
    <s v="B"/>
    <n v="2.2999999999999998"/>
    <s v="Not Provided"/>
    <s v="Not Provided"/>
    <s v="Florida Legislature "/>
    <s v="Not Provided"/>
    <s v="N/A"/>
  </r>
  <r>
    <s v="FDOT District 5"/>
    <s v="N/A"/>
    <s v="FDOT-20"/>
    <s v="Education Efforts"/>
    <s v="Illicit Discharge Detection and Elimination training, stormwater brochures, NDPES flyer."/>
    <s v="Education Efforts"/>
    <x v="0"/>
    <s v="N/A"/>
    <n v="86"/>
    <n v="28"/>
    <s v="B"/>
    <s v="N/A"/>
    <s v="Not Provided"/>
    <s v="Not Provided"/>
    <s v="Florida Legislature "/>
    <s v="Not Provided"/>
    <s v="N/A"/>
  </r>
  <r>
    <s v="FDOT District 5"/>
    <s v="N/A"/>
    <s v="FDOT-21"/>
    <s v="Street Sweeping"/>
    <s v="Street Sweeping"/>
    <s v="Street Sweeping"/>
    <x v="0"/>
    <s v="N/A"/>
    <n v="616"/>
    <n v="395"/>
    <s v="B"/>
    <s v="N/A"/>
    <s v="Not Provided"/>
    <s v="Not Provided"/>
    <s v="Florida Legislature "/>
    <s v="Not Provided"/>
    <s v="N/A"/>
  </r>
  <r>
    <s v="FDOT District 5"/>
    <s v="N/A"/>
    <s v="FDOT-22"/>
    <s v="Fertilizer Cessation"/>
    <s v="Elimination of fertilizer use along the rights-of-way."/>
    <s v="Fertilizer Cessation"/>
    <x v="0"/>
    <n v="2005"/>
    <n v="1552"/>
    <n v="0"/>
    <s v="B"/>
    <s v="N/A"/>
    <s v="Not Provided"/>
    <s v="Not Provided"/>
    <s v="Florida Legislature "/>
    <s v="Not Provided"/>
    <s v="N/A"/>
  </r>
  <r>
    <s v="Kennedy Space Center"/>
    <s v="Not Provided "/>
    <s v="KSC-01"/>
    <s v="Landscape Fertilizer Reduction"/>
    <s v="Fertilizer use reduced from 60 tons/year in 2000 to 20 tons/year in 2010; formula changed from rapid nitrogen release 16-4-8 to slow nitrogen release, phosphate free 15-0-15."/>
    <s v="Fertilizer Reduction"/>
    <x v="0"/>
    <s v="Not Provided"/>
    <n v="312"/>
    <n v="44.2"/>
    <s v="A"/>
    <s v="N/A"/>
    <s v="Not Provided "/>
    <s v="Not Provided "/>
    <s v="Not Provided "/>
    <s v="Not Provided "/>
    <s v="N/A"/>
  </r>
  <r>
    <s v="Kennedy Space Center"/>
    <s v="Not Provided "/>
    <s v="KSC-02"/>
    <s v="Citrus Grove Termination Roberts Road"/>
    <s v="Grove lease termination resulted in abandonment of previously fertilized areas."/>
    <s v="Fertilizer Reduction"/>
    <x v="0"/>
    <n v="2010"/>
    <n v="140"/>
    <n v="557.20000000000005"/>
    <s v="A"/>
    <s v="Not Provided "/>
    <s v="Not Provided "/>
    <s v="Not Provided "/>
    <s v="Not Provided "/>
    <s v="Not Provided "/>
    <s v="N/A"/>
  </r>
  <r>
    <s v="Kennedy Space Center"/>
    <s v="Not Provided "/>
    <s v="KSC-03"/>
    <s v="Citrus Grove Termination Schwartz Road"/>
    <s v="Grove lease termination resulted in abandonment of previously fertilized areas."/>
    <s v="Fertilizer Reduction"/>
    <x v="0"/>
    <n v="2010"/>
    <n v="256"/>
    <n v="308.10000000000002"/>
    <s v="A"/>
    <s v="Not Provided "/>
    <s v="Not Provided "/>
    <s v="Not Provided "/>
    <s v="Not Provided "/>
    <s v="Not Provided "/>
    <s v="N/A"/>
  </r>
  <r>
    <s v="Kennedy Space Center"/>
    <s v="N/A"/>
    <s v="KSC-04"/>
    <s v="Storage Building L5-0734"/>
    <s v="Demolition of facility resulted in loss of impervious area and change of land use."/>
    <s v="Land Use Change"/>
    <x v="0"/>
    <n v="2010"/>
    <n v="0"/>
    <n v="0"/>
    <s v="A"/>
    <s v="N/A"/>
    <s v="N/A"/>
    <s v="N/A"/>
    <s v="N/A"/>
    <s v="N/A"/>
    <s v="N/A"/>
  </r>
  <r>
    <s v="Kennedy Space Center"/>
    <s v="N/A"/>
    <s v="KSC-05"/>
    <s v="Support Building L5-0683"/>
    <s v="Demolition of facility resulted in loss of impervious area and change of land use."/>
    <s v="Land Use Change"/>
    <x v="0"/>
    <n v="2010"/>
    <n v="3"/>
    <n v="1"/>
    <s v="A"/>
    <n v="0.2"/>
    <s v="N/A"/>
    <s v="N/A"/>
    <s v="N/A"/>
    <s v="N/A"/>
    <s v="N/A"/>
  </r>
  <r>
    <s v="Kennedy Space Center"/>
    <s v="Not Provided "/>
    <s v="KSC-06"/>
    <s v="Shuttle Landing Facility - missing from model"/>
    <s v="Runoff is captured and treated before discharging to the lagoon."/>
    <s v="Wet Detention Pond"/>
    <x v="0"/>
    <s v="Not Provided "/>
    <n v="2566"/>
    <n v="1005"/>
    <s v="A"/>
    <n v="617.79999999999995"/>
    <s v="Not Provided "/>
    <s v="Not Provided "/>
    <s v="Not Provided "/>
    <s v="Not Provided "/>
    <s v="N/A"/>
  </r>
  <r>
    <s v="Kennedy Space Center"/>
    <s v="Not Provided "/>
    <s v="KSC-07"/>
    <s v="Launch Pad 39A"/>
    <s v="This area is a closed basin."/>
    <s v="Other Non-structural BMP"/>
    <x v="0"/>
    <n v="2014"/>
    <n v="1255"/>
    <n v="326.3"/>
    <s v="A"/>
    <n v="456.5"/>
    <s v="Not Provided "/>
    <s v="Not Provided "/>
    <s v="Not Provided "/>
    <s v="Not Provided "/>
    <s v="N/A"/>
  </r>
  <r>
    <s v="Kennedy Space Center"/>
    <s v="Not Provided "/>
    <s v="KSC-08"/>
    <s v="Launch Pad 39B"/>
    <s v="This area is a closed basin."/>
    <s v="Other Non-structural BMP"/>
    <x v="0"/>
    <n v="2014"/>
    <n v="3043"/>
    <n v="588.5"/>
    <s v="A"/>
    <n v="549"/>
    <s v="Not Provided "/>
    <s v="Not Provided "/>
    <s v="Not Provided "/>
    <s v="Not Provided "/>
    <s v="N/A"/>
  </r>
  <r>
    <s v="Kennedy Space Center"/>
    <s v="Not Provided "/>
    <s v="KSC-09"/>
    <s v="Schwartz Road Drainage System - missing from model"/>
    <s v="Closed system that ultimately drains to the northwest before discharging to an impoundment area adjacent to the lagoon."/>
    <s v="Impoundment"/>
    <x v="0"/>
    <n v="2014"/>
    <n v="1290"/>
    <n v="270.8"/>
    <s v="A"/>
    <n v="1614.1"/>
    <s v="Not Provided "/>
    <s v="Not Provided "/>
    <s v="Not Provided "/>
    <s v="Not Provided "/>
    <s v="N/A"/>
  </r>
  <r>
    <s v="Kennedy Space Center"/>
    <s v="Not Provided "/>
    <s v="KSC-10"/>
    <s v="Warehouse/Processing Area - missing from model"/>
    <s v="Receives treatment from permitted stormwater treatment systems."/>
    <s v="Wet Detention Pond"/>
    <x v="0"/>
    <n v="2014"/>
    <n v="75"/>
    <n v="33.200000000000003"/>
    <s v="A"/>
    <n v="15.2"/>
    <s v="Not Provided "/>
    <s v="Not Provided "/>
    <s v="Not Provided "/>
    <s v="Not Provided "/>
    <s v="N/A"/>
  </r>
  <r>
    <s v="Kennedy Space Center"/>
    <s v="Not Provided "/>
    <s v="KSC-11"/>
    <s v="Landscape Fertilizer Reduction"/>
    <s v="Fertilizer use reduced from 60 tons/year in 2000 to 20 tons/year in 2010; formula changed from rapid nitrogen release 16-4-8 to slow nitrogen release, phosphate free 15-0-15."/>
    <s v="Fertilizer Reduction"/>
    <x v="0"/>
    <s v="Not Provided "/>
    <n v="312"/>
    <n v="44.2"/>
    <s v="B"/>
    <s v="N/A"/>
    <s v="Not Provided "/>
    <s v="Not Provided "/>
    <s v="Not Provided "/>
    <s v="Not Provided "/>
    <s v="N/A"/>
  </r>
  <r>
    <s v="Kennedy Space Center"/>
    <s v="Not Provided "/>
    <s v="KSC-12"/>
    <s v="Citrus Grove Termination Jerome Road West"/>
    <s v="Grove lease termination resulted in abandonment of previously fertilized areas."/>
    <s v="Fertilizer Reduction"/>
    <x v="0"/>
    <n v="2010"/>
    <n v="184"/>
    <n v="850.8"/>
    <s v="B"/>
    <s v="N/A"/>
    <s v="Not Provided "/>
    <s v="Not Provided "/>
    <s v="Not Provided "/>
    <s v="Not Provided "/>
    <s v="N/A"/>
  </r>
  <r>
    <s v="Kennedy Space Center"/>
    <s v="N/A"/>
    <s v="KSC-13"/>
    <s v="KARS II Racquetball Court M6-0328A"/>
    <s v="Demolition of facility resulted in loss of impervious area and change of land use."/>
    <s v="Land Use Change"/>
    <x v="0"/>
    <n v="2010"/>
    <n v="1"/>
    <n v="0.2"/>
    <s v="B"/>
    <n v="0.1"/>
    <s v="N/A"/>
    <s v="N/A"/>
    <s v="N/A"/>
    <s v="N/A"/>
    <s v="N/A"/>
  </r>
  <r>
    <s v="Kennedy Space Center"/>
    <s v="N/A"/>
    <s v="KSC-14"/>
    <s v="Visitor Center Storage Building M6-0503"/>
    <s v="Demolition of facility resulted in loss of impervious area and change of land use."/>
    <s v="Land Use Change"/>
    <x v="0"/>
    <n v="2010"/>
    <n v="1"/>
    <n v="0.3"/>
    <s v="B"/>
    <n v="0.1"/>
    <s v="N/A"/>
    <s v="N/A"/>
    <s v="N/A"/>
    <s v="N/A"/>
    <s v="N/A"/>
  </r>
  <r>
    <s v="Kennedy Space Center"/>
    <s v="Not Provided "/>
    <s v="KSC-15"/>
    <s v="Causeway Wetland Mitigation"/>
    <s v="Missing from Model. Existing permitted stormwater treatment pond."/>
    <s v="Wet Detention Pond"/>
    <x v="0"/>
    <n v="2014"/>
    <n v="8"/>
    <n v="3.8"/>
    <s v="B"/>
    <n v="12.6"/>
    <s v="Not Provided "/>
    <s v="Not Provided "/>
    <s v="Not Provided "/>
    <s v="Not Provided "/>
    <s v="N/A"/>
  </r>
  <r>
    <s v="Kennedy Space Center"/>
    <s v="Not Provided "/>
    <s v="KSC-16"/>
    <s v="Visitors Complex/ NASA Badging Center"/>
    <s v="Missing from Model. Existing permitted stormwater treatment pond."/>
    <s v="Wet Detention Pond"/>
    <x v="0"/>
    <n v="2014"/>
    <n v="452"/>
    <n v="169.4"/>
    <s v="B"/>
    <n v="131.69999999999999"/>
    <s v="Not Provided "/>
    <s v="Not Provided "/>
    <s v="Not Provided "/>
    <s v="Not Provided "/>
    <s v="N/A"/>
  </r>
  <r>
    <s v="Kennedy Space Center"/>
    <s v="Not Provided "/>
    <s v="KSC-17"/>
    <s v="NASA Parkway West"/>
    <s v="Missing from Model. Ditch along south side of NASA Parkway West, ends before the lagoon."/>
    <s v="Swales"/>
    <x v="0"/>
    <n v="2014"/>
    <n v="239"/>
    <n v="100.9"/>
    <s v="B"/>
    <n v="135.80000000000001"/>
    <s v="Not Provided "/>
    <s v="Not Provided "/>
    <s v="Not Provided "/>
    <s v="Not Provided "/>
    <s v="N/A"/>
  </r>
  <r>
    <s v="Kennedy Space Center"/>
    <s v="N/A"/>
    <s v="KSC-18"/>
    <s v="Demolition of Facility J6-2377"/>
    <s v=".Demolition of facility resulted in loss of impervious area and change of land use"/>
    <s v="Land Use Change"/>
    <x v="0"/>
    <n v="2014"/>
    <n v="1"/>
    <n v="0.3"/>
    <s v="A"/>
    <n v="0.1"/>
    <s v="N/A"/>
    <s v="N/A"/>
    <s v="N/A"/>
    <s v="N/A"/>
    <s v="N/A"/>
  </r>
  <r>
    <s v="Kennedy Space Center"/>
    <s v="N/A"/>
    <s v="KSC-19"/>
    <s v="Demolition of Facility M5-1546"/>
    <s v="Demolition of facility resulted in loss of impervious area and change of land use."/>
    <s v="Land Use Change"/>
    <x v="0"/>
    <n v="2014"/>
    <n v="76"/>
    <n v="15.8"/>
    <s v="B"/>
    <n v="5"/>
    <s v="N/A"/>
    <s v="N/A"/>
    <s v="N/A"/>
    <s v="N/A"/>
    <s v="N/A"/>
  </r>
  <r>
    <s v="Town of Indialantic"/>
    <s v="Not Provided "/>
    <s v="TI-01"/>
    <s v="Swales North of U.S. 192 Causeway"/>
    <s v="Not Provided "/>
    <s v="Swales"/>
    <x v="0"/>
    <n v="2001"/>
    <n v="297"/>
    <n v="51.7"/>
    <s v="B"/>
    <n v="29.2"/>
    <s v="Not Provided "/>
    <s v="Not Provided "/>
    <s v="Not Provided "/>
    <s v="Not Provided "/>
    <s v="N/A"/>
  </r>
  <r>
    <s v="Town of Indialantic"/>
    <s v="Not Provided "/>
    <s v="TI-02"/>
    <s v="100% On-Site Retention"/>
    <s v="Not Provided "/>
    <s v="Retention BMP"/>
    <x v="0"/>
    <n v="2001"/>
    <n v="35"/>
    <n v="6.1"/>
    <s v="B"/>
    <n v="3.5"/>
    <s v="Not Provided "/>
    <s v="Not Provided "/>
    <s v="Not Provided "/>
    <s v="Not Provided "/>
    <s v="N/A"/>
  </r>
  <r>
    <s v="Town of Indialantic"/>
    <s v="Not Provided "/>
    <s v="TI-03"/>
    <s v="Education Efforts"/>
    <s v="Pamphlet, website, and fertilizer ordinance. "/>
    <s v="Education Efforts"/>
    <x v="0"/>
    <s v="N/A"/>
    <n v="18"/>
    <n v="3.2"/>
    <s v="B"/>
    <s v="N/A"/>
    <s v="Not Provided "/>
    <s v="Not Provided "/>
    <s v="Not Provided "/>
    <s v="Not Provided "/>
    <s v="N/A"/>
  </r>
  <r>
    <s v="Town of Indialantic"/>
    <s v="DEP"/>
    <s v="TI-04"/>
    <s v="Lily Park "/>
    <s v="Stormwater treatment. "/>
    <s v="Wet Detention Pond"/>
    <x v="0"/>
    <s v="Not Provided "/>
    <s v="Not Provided "/>
    <s v="Not Provided "/>
    <s v="A"/>
    <n v="1.93"/>
    <n v="173000"/>
    <n v="500"/>
    <s v="DEP"/>
    <n v="65000"/>
    <s v="LP05120"/>
  </r>
  <r>
    <s v="Town of Palm Shores"/>
    <s v="Not Provided "/>
    <s v="PS-01"/>
    <s v="Education Efforts"/>
    <s v="Fertilizer and landscaping ordinances, pamphlets, and presentations."/>
    <s v="Education Efforts"/>
    <x v="0"/>
    <s v="N/A"/>
    <n v="21"/>
    <n v="4.2"/>
    <s v="B"/>
    <s v="N/A"/>
    <s v="Not Provided "/>
    <s v="Not Provided "/>
    <s v="Not Provided "/>
    <s v="Not Provided "/>
    <s v="N/A"/>
  </r>
  <r>
    <s v="Volusia County"/>
    <s v="Not Provided "/>
    <s v="VC-01"/>
    <s v="Education Efforts"/>
    <s v="Irrigation, fertilizer, pet waste management, and landscaping ordinances; pamphlets, presentations, website, illicit discharge program."/>
    <s v="Education Efforts"/>
    <x v="0"/>
    <s v="N/A"/>
    <n v="588"/>
    <n v="67.400000000000006"/>
    <s v="A"/>
    <s v="N/A"/>
    <s v="Not Provided "/>
    <s v="Not Provided "/>
    <s v="Not Provided "/>
    <s v="Not Provided "/>
    <s v="N/A"/>
  </r>
  <r>
    <s v="Volusia County"/>
    <s v="Not Provided "/>
    <s v="VC-02"/>
    <s v="Roadside Ditch Cleaning"/>
    <s v="Roadside ditch cleaning."/>
    <s v="BMP Cleanout"/>
    <x v="0"/>
    <s v="Not Provided "/>
    <s v="Not Provided"/>
    <s v="Not Provided"/>
    <s v="A"/>
    <s v="Not Provided"/>
    <s v="Not Provided "/>
    <s v="Not Provided "/>
    <s v="Not Provided "/>
    <s v="Not Provided "/>
    <s v="N/A"/>
  </r>
  <r>
    <s v="Volusia County"/>
    <s v="Not Provided "/>
    <s v="VC-03"/>
    <s v="Open Channel Cleaning"/>
    <s v="Open channel cleaning; digging sediment out of open channels."/>
    <s v="BMP Cleanout"/>
    <x v="0"/>
    <s v="Not Provided "/>
    <s v="Not Provided"/>
    <s v="Not Provided"/>
    <s v="A"/>
    <s v="Not Provided"/>
    <s v="Not Provided "/>
    <s v="Not Provided "/>
    <s v="Not Provided "/>
    <s v="Not Provided "/>
    <s v="N/A"/>
  </r>
  <r>
    <m/>
    <m/>
    <m/>
    <m/>
    <m/>
    <m/>
    <x v="4"/>
    <m/>
    <m/>
    <m/>
    <m/>
    <m/>
    <m/>
    <m/>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00">
  <r>
    <x v="0"/>
    <s v="N/A"/>
    <s v="BC-01"/>
    <s v="Old Dixie Highway 601"/>
    <s v="Sediment trap."/>
    <s v="BMP Cleanout"/>
    <x v="0"/>
    <n v="2014"/>
    <s v="Not provided"/>
    <s v="Not provided"/>
    <x v="0"/>
    <s v="Not provided"/>
    <n v="2000"/>
    <n v="2000"/>
    <s v="County"/>
    <s v="County - $2,000"/>
    <s v="N/A"/>
    <s v="Non-structural"/>
    <x v="0"/>
    <s v="North Indian River Lagoon"/>
    <s v="Not provided"/>
    <s v="Not provided"/>
    <n v="2010"/>
  </r>
  <r>
    <x v="0"/>
    <s v="DEP/ Titusville"/>
    <s v="BC-02"/>
    <s v="Chain of Lakes Pond"/>
    <s v="Wet detention Regional Pond."/>
    <s v="Wet Detention Pond"/>
    <x v="0"/>
    <n v="2010"/>
    <n v="2699"/>
    <n v="1109.4000000000001"/>
    <x v="0"/>
    <n v="1072.5"/>
    <n v="2051405"/>
    <s v="Not provided"/>
    <s v="DEP"/>
    <s v="Not provided"/>
    <s v="WM804"/>
    <s v="Structural"/>
    <x v="0"/>
    <s v="North Indian River Lagoon"/>
    <s v="Not provided"/>
    <s v="Not provided"/>
    <n v="2010"/>
  </r>
  <r>
    <x v="0"/>
    <s v="West Melbourne/ Grant-Valkaria/ Malabar/ Melbourne/ Cocoa/ Indian Harbour Beach (IHB)/ Satellite Beach/ Cocoa Beach/ Cape Canaveral"/>
    <s v="BC-03"/>
    <s v="Education Efforts"/>
    <s v="FYN; landscape, irrigation, fertilizer, and pet waste ordinances; PSAs; pamphlets; website, Illicit Discharge Program."/>
    <s v="Education Efforts"/>
    <x v="0"/>
    <s v="N/A"/>
    <n v="1660"/>
    <n v="214"/>
    <x v="0"/>
    <s v="N/A"/>
    <s v="Not provided"/>
    <s v="Not provided"/>
    <s v="Not provided"/>
    <s v="Not provided"/>
    <s v="N/A"/>
    <s v="Non-structural"/>
    <x v="0"/>
    <s v="North Indian River Lagoon"/>
    <s v="N/A"/>
    <s v="N/A"/>
    <s v="Not provided"/>
  </r>
  <r>
    <x v="0"/>
    <s v="TBD"/>
    <s v="BC-04"/>
    <s v="Scottsmoor I"/>
    <s v="Advanced denitrification and baffle box treatment train."/>
    <s v="BMP Treatment Train"/>
    <x v="1"/>
    <s v="TBD"/>
    <s v="TBD"/>
    <s v="TBD"/>
    <x v="0"/>
    <n v="530.9"/>
    <n v="601664"/>
    <n v="1000"/>
    <s v="Legislative Funds"/>
    <s v="Legislative Funds - $286,648"/>
    <s v="LP05118"/>
    <s v="Structural"/>
    <x v="0"/>
    <s v="North Indian River Lagoon"/>
    <s v="Not provided"/>
    <s v="Not provided"/>
    <s v="TBD"/>
  </r>
  <r>
    <x v="0"/>
    <s v="DEP/ City of Titusville"/>
    <s v="BC-05"/>
    <s v="Chain of Lakes Southern Expansion Phase 1"/>
    <s v="Completion of additional detention."/>
    <s v="Wet Detention Pond"/>
    <x v="0"/>
    <n v="2014"/>
    <n v="1325"/>
    <n v="440.6"/>
    <x v="0"/>
    <n v="575.20000000000005"/>
    <n v="3200000"/>
    <n v="1000"/>
    <s v="DEP"/>
    <s v="Not provided"/>
    <s v="S0620"/>
    <s v="Structural"/>
    <x v="0"/>
    <s v="North Indian River Lagoon"/>
    <s v="Not provided"/>
    <s v="Not provided"/>
    <n v="2014"/>
  </r>
  <r>
    <x v="0"/>
    <s v="Not provided"/>
    <s v="BC-06"/>
    <s v="Chain of Lakes Reuse"/>
    <s v="Installing reuse from the pond."/>
    <s v="Stormwater Reuse"/>
    <x v="0"/>
    <n v="2005"/>
    <n v="498"/>
    <n v="63.2"/>
    <x v="0"/>
    <s v="Not provided"/>
    <s v="Not provided"/>
    <s v="Not provided"/>
    <s v="Not provided"/>
    <s v="Not provided"/>
    <s v="N/A"/>
    <s v="Structural"/>
    <x v="0"/>
    <s v="North Indian River Lagoon"/>
    <s v="Not provided"/>
    <s v="Not provided"/>
    <s v="Not provided"/>
  </r>
  <r>
    <x v="0"/>
    <s v="TBD"/>
    <s v="BC-07"/>
    <s v="Scottsmoor C"/>
    <s v="Advanced denitrification and baffle box treatment train."/>
    <s v="BMP Treatment Train"/>
    <x v="1"/>
    <n v="2019"/>
    <s v="TBD"/>
    <s v="TBD"/>
    <x v="0"/>
    <n v="463"/>
    <s v="TBD"/>
    <n v="1000"/>
    <s v="Legislative Funds"/>
    <s v="Legislative Funds - $33,7043"/>
    <s v="LP05114"/>
    <s v="Structural"/>
    <x v="1"/>
    <s v="North Indian River Lagoon"/>
    <s v="Not provided"/>
    <s v="Not provided"/>
    <s v="TBD"/>
  </r>
  <r>
    <x v="0"/>
    <s v="Not provided"/>
    <s v="BC-08"/>
    <s v="Twin Lakes North"/>
    <s v="Construction of a bafffle box."/>
    <s v="Baffle Boxes- First Generation (hydrodynamic separator)"/>
    <x v="0"/>
    <n v="2014"/>
    <n v="10"/>
    <n v="1"/>
    <x v="1"/>
    <n v="7.7"/>
    <s v="Not provided"/>
    <s v="Not provided"/>
    <s v="Not provided"/>
    <s v="Not provided"/>
    <s v="N/A"/>
    <s v="Structural"/>
    <x v="0"/>
    <s v="North Indian River Lagoon"/>
    <s v="Not provided"/>
    <s v="Not provided"/>
    <s v="Not provided"/>
  </r>
  <r>
    <x v="0"/>
    <s v="Not provided"/>
    <s v="BC-09"/>
    <s v="Twin Lakes South"/>
    <s v="Construction of a bafffle box."/>
    <s v="Baffle Boxes- First Generation (hydrodynamic separator)"/>
    <x v="0"/>
    <n v="2014"/>
    <n v="10"/>
    <n v="1"/>
    <x v="1"/>
    <n v="8.5"/>
    <n v="20082"/>
    <s v="Not provided"/>
    <s v="Not provided"/>
    <s v="Not provided"/>
    <s v="N/A"/>
    <s v="Structural"/>
    <x v="0"/>
    <s v="North Indian River Lagoon"/>
    <s v="Not provided"/>
    <s v="Not provided"/>
    <s v="Not provided"/>
  </r>
  <r>
    <x v="0"/>
    <s v="DEP"/>
    <s v="BC-10"/>
    <s v="Lucas Place 640 Baffle Box"/>
    <s v="Construction of a bafffle box."/>
    <s v="Baffle Boxes- First Generation (hydrodynamic separator)"/>
    <x v="0"/>
    <n v="2003"/>
    <n v="8"/>
    <n v="0.8"/>
    <x v="1"/>
    <n v="5.2"/>
    <n v="36835"/>
    <n v="1000"/>
    <s v="DEP/ County"/>
    <s v="Not provided"/>
    <s v="S0620"/>
    <s v="Structural"/>
    <x v="0"/>
    <s v="North Indian River Lagoon"/>
    <s v="Not provided"/>
    <s v="Not provided"/>
    <n v="2017"/>
  </r>
  <r>
    <x v="0"/>
    <s v="SOIRL/ Brevard Zoo"/>
    <s v="BC-100"/>
    <s v="Bomalaski Oyster Bar"/>
    <s v="Construct 100 linear foot oyster reef."/>
    <s v="Creating/ Enhancing Oyster Reefs"/>
    <x v="0"/>
    <n v="2018"/>
    <s v="TBD"/>
    <s v="TBD"/>
    <x v="1"/>
    <s v="Not provided"/>
    <n v="8900"/>
    <s v="Not provided"/>
    <s v="SOIRL"/>
    <s v="SOIRL - $8,900"/>
    <s v="N/A"/>
    <s v="Structural"/>
    <x v="2"/>
    <s v="North Indian River Lagoon"/>
    <s v="Not provided"/>
    <s v="Not provided"/>
    <s v="Not provided"/>
  </r>
  <r>
    <x v="0"/>
    <s v="SOIRL/ MRC"/>
    <s v="BC-101"/>
    <s v="Grass Clippings Campaign Phase 1"/>
    <s v="Not provided."/>
    <s v="Education Efforts"/>
    <x v="0"/>
    <n v="2019"/>
    <s v="TBD"/>
    <s v="TBD"/>
    <x v="2"/>
    <s v="N/A"/>
    <n v="6667"/>
    <s v="N/A"/>
    <s v="SOIRL"/>
    <s v="SOIRL - $20,000"/>
    <s v="N/A"/>
    <s v="Non-structural"/>
    <x v="2"/>
    <s v="North Indian River Lagoon"/>
    <s v="Not provided"/>
    <s v="Not provided"/>
    <s v="Not provided"/>
  </r>
  <r>
    <x v="0"/>
    <s v="SOIRL"/>
    <s v="BC-102"/>
    <s v="Education Efforts"/>
    <s v="Fertilizer, grass clippings, and septic system maintenance."/>
    <s v="Education Efforts"/>
    <x v="1"/>
    <n v="2027"/>
    <s v="TBD"/>
    <s v="TBD"/>
    <x v="2"/>
    <s v="Not provided"/>
    <n v="375000"/>
    <s v="Not provided"/>
    <s v="SOIRL"/>
    <s v="SOIRL - $375,000"/>
    <s v="N/A"/>
    <s v="Non-structural"/>
    <x v="2"/>
    <s v="North Indian River Lagoon"/>
    <s v="Not provided"/>
    <s v="Not provided"/>
    <s v="Not provided"/>
  </r>
  <r>
    <x v="0"/>
    <s v="SOIRL"/>
    <s v="BC-103"/>
    <s v="Mims Muck Removal: Outflow Water Nutrient Removal"/>
    <s v="Not provided."/>
    <s v="Muck Removal/Restoration Dredging"/>
    <x v="0"/>
    <s v="N/A"/>
    <s v="TBD"/>
    <s v="TBD"/>
    <x v="2"/>
    <s v="Not provided"/>
    <s v="Not provided"/>
    <s v="Not provided"/>
    <s v="Not provided"/>
    <s v="Not provided"/>
    <s v="N/A"/>
    <s v="Non-structural"/>
    <x v="2"/>
    <s v="North Indian River Lagoon"/>
    <s v="Not provided"/>
    <s v="Not provided"/>
    <s v="Not provided"/>
  </r>
  <r>
    <x v="0"/>
    <s v="LF/ SOIRL"/>
    <s v="BC-104"/>
    <s v="Countyline Ditch Road - BB#10"/>
    <s v="Adding a media to remove nitrogen by denitrification. The media will be added to the side slope of the pond or the bottom of the swale."/>
    <s v="Biosorption Activated Media (BAM)"/>
    <x v="1"/>
    <n v="2020"/>
    <s v="TBD"/>
    <s v="TBD"/>
    <x v="0"/>
    <s v="Not provided"/>
    <n v="200000"/>
    <s v="Not provided"/>
    <s v="LF/SOIRL"/>
    <n v="107773"/>
    <s v="N/A"/>
    <s v="Structural"/>
    <x v="2"/>
    <s v="North Indian River Lagoon"/>
    <s v="Not provided"/>
    <s v="Not provided"/>
    <s v="Not provided"/>
  </r>
  <r>
    <x v="0"/>
    <s v="LF/ SOIRL"/>
    <s v="BC-105"/>
    <s v="BB#141"/>
    <s v="Adding a media to remove nitrogen by denitrification. The media will be added to the side slope of the pond or the bottom of the swale."/>
    <s v="Biosorption Activated Media (BAM)"/>
    <x v="1"/>
    <n v="2020"/>
    <s v="TBD"/>
    <s v="TBD"/>
    <x v="0"/>
    <s v="Not provided"/>
    <n v="164000"/>
    <s v="Not provided"/>
    <s v="LF/SOIRL"/>
    <n v="104174"/>
    <s v="N/A"/>
    <s v="Structural"/>
    <x v="2"/>
    <s v="North Indian River Lagoon"/>
    <s v="Not provided"/>
    <s v="Not provided"/>
    <s v="Not provided"/>
  </r>
  <r>
    <x v="0"/>
    <s v="LF"/>
    <s v="BC-106"/>
    <s v="Huntington Road BAM - BB#22"/>
    <s v="Adding a media to remove nitrogen by denitrification. The media will be added to the side slope of the pond or the bottom of the swale."/>
    <s v="Biosorption Activated Media (BAM)"/>
    <x v="1"/>
    <n v="2020"/>
    <s v="TBD"/>
    <s v="TBD"/>
    <x v="0"/>
    <s v="Not provided"/>
    <s v="TBD"/>
    <s v="Not provided"/>
    <s v="LF/SOIRL"/>
    <n v="35000"/>
    <s v="N/A"/>
    <s v="Structural"/>
    <x v="2"/>
    <s v="North Indian River Lagoon"/>
    <s v="Not provided"/>
    <s v="Not provided"/>
    <s v="Not provided"/>
  </r>
  <r>
    <x v="0"/>
    <s v="Not provided"/>
    <s v="BC-107"/>
    <s v="Sunste Ave BAM - BB#26"/>
    <s v="Adding a media to remove nitrogen by denitrification. The media will be added to the side slope of the pond or the bottom of the swale."/>
    <s v="Biosorption Activated Media (BAM)"/>
    <x v="1"/>
    <n v="2021"/>
    <s v="TBD"/>
    <s v="TBD"/>
    <x v="0"/>
    <s v="Not provided"/>
    <s v="TBD"/>
    <s v="Not provided"/>
    <s v="Not provided"/>
    <s v="Not provided"/>
    <s v="N/A"/>
    <s v="Structural"/>
    <x v="2"/>
    <s v="North Indian River Lagoon"/>
    <s v="Not provided"/>
    <s v="Not provided"/>
    <s v="Not provided"/>
  </r>
  <r>
    <x v="0"/>
    <s v="SOIRL/ SJRWMD"/>
    <s v="BC-108"/>
    <s v="MIRA Phase 1 Septic to Sewer"/>
    <s v="Connect approximately 11 properties to a central sewer system."/>
    <s v="OSTDS Phase Out"/>
    <x v="0"/>
    <n v="2017"/>
    <s v="TBD"/>
    <s v="N/A"/>
    <x v="1"/>
    <s v="N/A"/>
    <n v="320000"/>
    <s v="Not provided"/>
    <s v="SOIRL/ SJWMD"/>
    <s v="Not provided"/>
    <s v="N/A"/>
    <s v="Structural"/>
    <x v="2"/>
    <s v="North Indian River Lagoon"/>
    <s v="Not provided"/>
    <s v="Not provided"/>
    <s v="Not provided"/>
  </r>
  <r>
    <x v="0"/>
    <s v="N/A"/>
    <s v="BC-109"/>
    <s v="Denitrifcation Basin - 1329"/>
    <s v="Upflow filter through a BAM media to treat baseflow."/>
    <s v="Biosorption Activated Media (BAM)"/>
    <x v="1"/>
    <n v="2020"/>
    <s v="TBD"/>
    <s v="TBD"/>
    <x v="1"/>
    <s v="Not provided"/>
    <n v="155113"/>
    <s v="Not provided"/>
    <s v="LF/ SOIRL"/>
    <n v="70000"/>
    <s v="LP0511A"/>
    <s v="Structural"/>
    <x v="2"/>
    <s v="North Indian River Lagoon"/>
    <s v="Not provided"/>
    <s v="Not provided"/>
    <s v="Not provided"/>
  </r>
  <r>
    <x v="0"/>
    <s v="DEP"/>
    <s v="BC-11"/>
    <s v="Rockledge Drive 2055"/>
    <s v="Construction of a bafffle box."/>
    <s v="Baffle Boxes- First Generation (hydrodynamic separator)"/>
    <x v="0"/>
    <n v="2008"/>
    <n v="2"/>
    <n v="0.1"/>
    <x v="1"/>
    <n v="2.4"/>
    <n v="61094"/>
    <n v="1000"/>
    <s v="DEP"/>
    <s v="Not provided"/>
    <s v="S0620"/>
    <s v="Structural"/>
    <x v="0"/>
    <s v="North Indian River Lagoon"/>
    <s v="Not provided"/>
    <s v="Not provided"/>
    <n v="2017"/>
  </r>
  <r>
    <x v="0"/>
    <s v="Not provided"/>
    <s v="BC-12"/>
    <s v="Rockledge and Riverwoods Baffle Box"/>
    <s v="Construction of a bafffle box."/>
    <s v="Baffle Boxes- First Generation (hydrodynamic separator)"/>
    <x v="0"/>
    <n v="2000"/>
    <n v="3"/>
    <n v="0.3"/>
    <x v="1"/>
    <n v="3.8"/>
    <n v="47686"/>
    <n v="1000"/>
    <s v="Not provided"/>
    <s v="Not provided"/>
    <s v="N/A"/>
    <s v="Structural"/>
    <x v="0"/>
    <s v="North Indian River Lagoon"/>
    <s v="Not provided"/>
    <s v="Not provided"/>
    <n v="2017"/>
  </r>
  <r>
    <x v="0"/>
    <s v="DEP"/>
    <s v="BC-13"/>
    <s v="Anchor Lane"/>
    <s v="Construction of a bafffle box."/>
    <s v="Baffle Boxes- First Generation (hydrodynamic separator)"/>
    <x v="0"/>
    <n v="2000"/>
    <n v="47"/>
    <n v="5.4"/>
    <x v="1"/>
    <n v="29.4"/>
    <n v="49560"/>
    <n v="1000"/>
    <s v="DEP"/>
    <s v="Not provided"/>
    <s v="S0620"/>
    <s v="Structural"/>
    <x v="0"/>
    <s v="North Indian River Lagoon"/>
    <s v="Not provided"/>
    <s v="Not provided"/>
    <n v="2017"/>
  </r>
  <r>
    <x v="0"/>
    <s v="Not provided"/>
    <s v="BC-14"/>
    <s v="Kelmore Baffle Box"/>
    <s v="Construction of a bafffle box."/>
    <s v="Baffle Boxes- First Generation (hydrodynamic separator)"/>
    <x v="0"/>
    <n v="2003"/>
    <n v="10"/>
    <n v="1.8"/>
    <x v="1"/>
    <n v="9.6999999999999993"/>
    <n v="21817"/>
    <n v="1000"/>
    <s v="Not provided"/>
    <s v="Not provided"/>
    <s v="N/A"/>
    <s v="Structural"/>
    <x v="0"/>
    <s v="North Indian River Lagoon"/>
    <s v="Not provided"/>
    <s v="Not provided"/>
    <s v="Not provided"/>
  </r>
  <r>
    <x v="0"/>
    <s v="DEP"/>
    <s v="BC-15"/>
    <s v="Puesta Del Sol 735 Baffle Box"/>
    <s v="Construction of a bafffle box."/>
    <s v="Baffle Boxes- First Generation (hydrodynamic separator)"/>
    <x v="0"/>
    <n v="2003"/>
    <n v="2"/>
    <n v="0.2"/>
    <x v="1"/>
    <n v="2.2000000000000002"/>
    <n v="24953"/>
    <n v="1000"/>
    <s v="DEP"/>
    <s v="Not provided"/>
    <s v="S0620"/>
    <s v="Structural"/>
    <x v="0"/>
    <s v="North Indian River Lagoon"/>
    <s v="Not provided"/>
    <s v="Not provided"/>
    <n v="2017"/>
  </r>
  <r>
    <x v="0"/>
    <s v="SJRWMD"/>
    <s v="BC-16"/>
    <s v="Tequesta Harbor Baffle Box"/>
    <s v="Construction of a bafffle box."/>
    <s v="Baffle Boxes- First Generation (hydrodynamic separator)"/>
    <x v="0"/>
    <n v="2009"/>
    <n v="21"/>
    <n v="2.4"/>
    <x v="1"/>
    <n v="13.1"/>
    <n v="27582"/>
    <n v="1000"/>
    <s v="Not provided"/>
    <s v="Not provided"/>
    <s v="N/A"/>
    <s v="Structural"/>
    <x v="0"/>
    <s v="North Indian River Lagoon"/>
    <s v="Not provided"/>
    <s v="Not provided"/>
    <n v="2010"/>
  </r>
  <r>
    <x v="0"/>
    <s v="NRCS"/>
    <s v="BC-17"/>
    <s v="Broadway Boulevard Pond"/>
    <s v="Constructon of a detention pond to treat runoff."/>
    <s v="Wet Detention Pond"/>
    <x v="0"/>
    <n v="2000"/>
    <n v="272"/>
    <n v="55.7"/>
    <x v="1"/>
    <n v="85.7"/>
    <n v="553169"/>
    <n v="14972.5"/>
    <s v="Not provided"/>
    <s v="Not provided"/>
    <s v="N/A"/>
    <s v="Structural"/>
    <x v="0"/>
    <s v="North Indian River Lagoon"/>
    <s v="Not provided"/>
    <s v="Not provided"/>
    <s v="Not provided"/>
  </r>
  <r>
    <x v="0"/>
    <s v="Not provided"/>
    <s v="BC-18"/>
    <s v="Fairglen Elementary School Pond"/>
    <s v="Constructon of a detention pond to treat runoff."/>
    <s v="Wet Detention Pond"/>
    <x v="0"/>
    <n v="2003"/>
    <n v="350"/>
    <n v="111.1"/>
    <x v="1"/>
    <n v="80.2"/>
    <n v="730869"/>
    <s v="Not provided"/>
    <s v="Not provided"/>
    <s v="Not provided"/>
    <s v="N/A"/>
    <s v="Structural"/>
    <x v="0"/>
    <s v="North Indian River Lagoon"/>
    <s v="Not provided"/>
    <s v="Not provided"/>
    <s v="Not provided"/>
  </r>
  <r>
    <x v="0"/>
    <s v="DEP"/>
    <s v="BC-19"/>
    <s v="Lake George"/>
    <s v="Constructon of a detention pond to treat runoff."/>
    <s v="Wet Detention Pond"/>
    <x v="0"/>
    <n v="2010"/>
    <n v="1261"/>
    <n v="414.6"/>
    <x v="1"/>
    <n v="719"/>
    <n v="347255"/>
    <n v="17750"/>
    <s v="DEP"/>
    <s v="Not provided"/>
    <s v="LP8952"/>
    <s v="Structural"/>
    <x v="0"/>
    <s v="North Indian River Lagoon"/>
    <s v="Not provided"/>
    <s v="Not provided"/>
    <s v="Not provided"/>
  </r>
  <r>
    <x v="0"/>
    <s v="Not provided"/>
    <s v="BC-20"/>
    <s v="Merritt Island Courthouse Pond"/>
    <s v="Constructon of a detention pond to treat runoff."/>
    <s v="Wet Detention Pond"/>
    <x v="0"/>
    <n v="2003"/>
    <n v="8"/>
    <n v="2.5"/>
    <x v="1"/>
    <n v="7"/>
    <n v="95584"/>
    <s v="Not provided"/>
    <s v="Not provided"/>
    <s v="Not provided"/>
    <s v="N/A"/>
    <s v="Structural"/>
    <x v="0"/>
    <s v="North Indian River Lagoon"/>
    <s v="Not provided"/>
    <s v="Not provided"/>
    <s v="Not provided"/>
  </r>
  <r>
    <x v="0"/>
    <s v="Not provided"/>
    <s v="BC-21"/>
    <s v="Parkway Drive Phase 2 Pond"/>
    <s v="Constructon of a detention pond to treat runoff."/>
    <s v="Wet Detention Pond"/>
    <x v="0"/>
    <n v="2004"/>
    <n v="4041"/>
    <n v="1598.9"/>
    <x v="1"/>
    <n v="1796.9"/>
    <n v="1817720"/>
    <s v="Not provided"/>
    <s v="Not provided"/>
    <s v="Not provided"/>
    <s v="N/A"/>
    <s v="Structural"/>
    <x v="0"/>
    <s v="North Indian River Lagoon"/>
    <s v="Not provided"/>
    <s v="Not provided"/>
    <s v="Not provided"/>
  </r>
  <r>
    <x v="0"/>
    <s v="Not provided"/>
    <s v="BC-22"/>
    <s v="Street Sweeping"/>
    <s v="Monthly Street Sweeping 786 curb lane miles."/>
    <s v="Street Sweeping"/>
    <x v="0"/>
    <s v="N/A"/>
    <n v="636"/>
    <n v="408"/>
    <x v="1"/>
    <s v="N/A"/>
    <n v="106665.04"/>
    <s v="Not provided"/>
    <s v="Not provided"/>
    <s v="Not provided"/>
    <s v="N/A"/>
    <s v="Non-structural"/>
    <x v="0"/>
    <s v="North Indian River Lagoon"/>
    <s v="N/A"/>
    <s v="N/A"/>
    <s v="Not provided"/>
  </r>
  <r>
    <x v="0"/>
    <s v="Not provided"/>
    <s v="BC-23"/>
    <s v="Education Efforts"/>
    <s v="FYN; landscape, irrigation, fertilizer, and pet waste ordinances; PSAs; pamphlets; website, Illicit Discharge Program."/>
    <s v="Education Efforts"/>
    <x v="0"/>
    <s v="N/A"/>
    <n v="6339"/>
    <n v="1035"/>
    <x v="1"/>
    <s v="N/A"/>
    <s v="Not provided"/>
    <s v="Not provided"/>
    <s v="Not provided"/>
    <s v="Not provided"/>
    <s v="N/A"/>
    <s v="Non-structural"/>
    <x v="0"/>
    <s v="North Indian River Lagoon"/>
    <s v="N/A"/>
    <s v="N/A"/>
    <s v="Not provided"/>
  </r>
  <r>
    <x v="0"/>
    <s v="DEP"/>
    <s v="BC-24"/>
    <s v="Pine Island Phase I and II"/>
    <s v="Two Wet Detention Ponds (80-acres &amp; 23 acres) with Gravity Flow and Pump Station."/>
    <s v="Wet Detention Pond"/>
    <x v="0"/>
    <n v="2015"/>
    <n v="10948"/>
    <n v="3217.9"/>
    <x v="1"/>
    <n v="6232.9"/>
    <n v="4131255"/>
    <n v="34705"/>
    <s v="DEP TMDL/ EPA 319"/>
    <s v="DEP TDML/ EPA 319 - $1,677,079"/>
    <s v="G0288/ G0344"/>
    <s v="Structural"/>
    <x v="0"/>
    <s v="North Indian River Lagoon"/>
    <s v="Not provided"/>
    <s v="Not provided"/>
    <s v="Not provided"/>
  </r>
  <r>
    <x v="0"/>
    <s v="Not provided"/>
    <s v="BC-25"/>
    <s v="Merritt Island Airport"/>
    <s v="Not provided."/>
    <s v="Wet Detention Pond"/>
    <x v="2"/>
    <s v="N/A"/>
    <s v="N/A"/>
    <s v="N/A"/>
    <x v="1"/>
    <s v="N/A"/>
    <s v="N/A"/>
    <s v="N/A"/>
    <s v="N/A"/>
    <s v="N/A"/>
    <s v="N/A"/>
    <s v="Structural"/>
    <x v="3"/>
    <s v="North Indian River Lagoon"/>
    <s v="N/A"/>
    <s v="N/A"/>
    <s v="N/A"/>
  </r>
  <r>
    <x v="0"/>
    <s v="DEP"/>
    <s v="BC-26"/>
    <s v="Pines Industrial"/>
    <s v="Construction of a pond to treat runoff where no treatment was provided."/>
    <s v="Wet Detention Pond"/>
    <x v="1"/>
    <n v="2020"/>
    <n v="801.5"/>
    <n v="101"/>
    <x v="1"/>
    <n v="71"/>
    <n v="822000"/>
    <s v="TBD"/>
    <s v="DEP"/>
    <s v="Not provided"/>
    <s v="NF003"/>
    <s v="Structural"/>
    <x v="0"/>
    <s v="North Indian River Lagoon"/>
    <s v="Not provided"/>
    <s v="Not provided"/>
    <s v="TBD"/>
  </r>
  <r>
    <x v="0"/>
    <s v="DEP"/>
    <s v="BC-27"/>
    <s v="Johnson Junior High"/>
    <s v="Discharge regulation, phosphorus reduction, and denitrification."/>
    <s v="Biosorption Activated Media (BAM)"/>
    <x v="0"/>
    <n v="2017"/>
    <n v="187.14"/>
    <n v="27.04"/>
    <x v="1"/>
    <n v="133.4"/>
    <n v="499416.43"/>
    <s v="Not provided"/>
    <s v="DEP"/>
    <s v="DEP - $489,200"/>
    <s v="G0430"/>
    <s v="Structural"/>
    <x v="0"/>
    <s v="North Indian River Lagoon"/>
    <s v="Not provided"/>
    <s v="Not provided"/>
    <s v="TBD"/>
  </r>
  <r>
    <x v="0"/>
    <s v="DEP"/>
    <s v="BC-28"/>
    <s v="Florida Boulevard"/>
    <s v="Installation of floating vegetative islands for Nutrient uptake."/>
    <s v="Floating Islands/ Managed Aquatic Plant Systems (MAPS)"/>
    <x v="0"/>
    <n v="2014"/>
    <n v="197"/>
    <n v="21"/>
    <x v="1"/>
    <n v="88.4"/>
    <n v="40772"/>
    <n v="18295"/>
    <s v="DEP"/>
    <s v="Not provided"/>
    <s v="G0430"/>
    <s v="Structural"/>
    <x v="0"/>
    <s v="North Indian River Lagoon"/>
    <s v="Not provided"/>
    <s v="Not provided"/>
    <s v="Not provided"/>
  </r>
  <r>
    <x v="0"/>
    <s v="DEP"/>
    <s v="BC-29"/>
    <s v="Fairglen Elementary"/>
    <s v="Installation of floating vegetative islands for Nutrient uptake."/>
    <s v="Floating Islands/ Managed Aquatic Plant Systems (MAPS)"/>
    <x v="0"/>
    <n v="2017"/>
    <n v="123"/>
    <n v="12.2"/>
    <x v="1"/>
    <n v="80.2"/>
    <n v="34996"/>
    <n v="15703"/>
    <s v="DEP"/>
    <s v="Not provided"/>
    <s v="G0430"/>
    <s v="Structural"/>
    <x v="0"/>
    <s v="North Indian River Lagoon"/>
    <s v="Not provided"/>
    <s v="Not provided"/>
    <s v="Not provided"/>
  </r>
  <r>
    <x v="0"/>
    <s v="DEP"/>
    <s v="BC-30"/>
    <s v="Port St. John B"/>
    <s v="Installation of floating vegetative islands for Nutrient uptake."/>
    <s v="Floating Islands/ Managed Aquatic Plant Systems (MAPS)"/>
    <x v="0"/>
    <s v="Prior to 2013"/>
    <n v="237"/>
    <n v="41.5"/>
    <x v="1"/>
    <n v="57.9"/>
    <n v="16308"/>
    <n v="7315"/>
    <s v="DEP"/>
    <s v="Not provided"/>
    <s v="G0430"/>
    <s v="Structural"/>
    <x v="0"/>
    <s v="North Indian River Lagoon"/>
    <s v="Not provided"/>
    <s v="Not provided"/>
    <s v="Not provided"/>
  </r>
  <r>
    <x v="0"/>
    <s v="DEP"/>
    <s v="BC-31"/>
    <s v="Wickham Park North"/>
    <s v="Installation of floating vegetative islands for Nutrient uptake."/>
    <s v="Floating Islands/ Managed Aquatic Plant Systems (MAPS)"/>
    <x v="0"/>
    <n v="2017"/>
    <n v="2804"/>
    <n v="597.79999999999995"/>
    <x v="1"/>
    <n v="1796.9"/>
    <n v="75428"/>
    <n v="24175"/>
    <s v="DEP"/>
    <s v="Not provided"/>
    <s v="G0430"/>
    <s v="Structural"/>
    <x v="0"/>
    <s v="North Indian River Lagoon"/>
    <s v="Not provided"/>
    <s v="Not provided"/>
    <s v="Not provided"/>
  </r>
  <r>
    <x v="0"/>
    <s v="DEP"/>
    <s v="BC-32"/>
    <s v="West Avenue 6600"/>
    <s v="Upgrading a 1st Generation to a 2nd generation baffle box by adding the nutrient separating screen."/>
    <s v="Baffle Boxes- Second Generation"/>
    <x v="0"/>
    <n v="2017"/>
    <n v="120"/>
    <n v="12"/>
    <x v="1"/>
    <n v="50.7"/>
    <n v="15000"/>
    <n v="2140"/>
    <s v="DEP"/>
    <s v="DEP - $275,000"/>
    <s v="S0648"/>
    <s v="Structural"/>
    <x v="0"/>
    <s v="North Indian River Lagoon"/>
    <s v="Not provided"/>
    <s v="Not provided"/>
    <s v="Not provided"/>
  </r>
  <r>
    <x v="0"/>
    <s v="DEP"/>
    <s v="BC-33"/>
    <s v="Lucas Place"/>
    <s v="Upgrading a 1st Generation to a 2nd generation baffle box by adding the nutrient separating screen."/>
    <s v="Baffle Boxes- Second Generation"/>
    <x v="0"/>
    <s v="Prior to 2013"/>
    <n v="8"/>
    <n v="0.7"/>
    <x v="1"/>
    <n v="2.7"/>
    <n v="12507"/>
    <n v="2140"/>
    <s v="DEP"/>
    <s v="DEP - $275,000"/>
    <s v="S0648"/>
    <s v="Structural"/>
    <x v="0"/>
    <s v="North Indian River Lagoon"/>
    <s v="Not provided"/>
    <s v="Not provided"/>
    <s v="Not provided"/>
  </r>
  <r>
    <x v="0"/>
    <s v="DEP"/>
    <s v="BC-34"/>
    <s v="Indian River Isles"/>
    <s v="Upgrading a 1st Generation to a 2nd generation baffle box by adding the nutrient separating screen."/>
    <s v="Baffle Boxes- Second Generation"/>
    <x v="0"/>
    <s v="Prior to 2013"/>
    <n v="63"/>
    <n v="7.8"/>
    <x v="1"/>
    <n v="7.3"/>
    <n v="30844"/>
    <n v="2140"/>
    <s v="DEP"/>
    <s v="DEP - $275,000"/>
    <s v="S0648"/>
    <s v="Structural"/>
    <x v="0"/>
    <s v="North Indian River Lagoon"/>
    <s v="Not provided"/>
    <s v="Not provided"/>
    <s v="Not provided"/>
  </r>
  <r>
    <x v="0"/>
    <s v="DEP"/>
    <s v="BC-35"/>
    <s v="Granada Street 1030 East"/>
    <s v="Upgrading a 1st Generation to a 2nd generation baffle box by adding the nutrient separating screen."/>
    <s v="Baffle Boxes- Second Generation"/>
    <x v="0"/>
    <s v="Prior to 2013"/>
    <n v="99"/>
    <n v="16.399999999999999"/>
    <x v="1"/>
    <n v="38.6"/>
    <n v="15000"/>
    <n v="2140"/>
    <s v="DEP"/>
    <s v="DEP - $275,000"/>
    <s v="S0648"/>
    <s v="Structural"/>
    <x v="0"/>
    <s v="North Indian River Lagoon"/>
    <s v="Not provided"/>
    <s v="Not provided"/>
    <s v="Not provided"/>
  </r>
  <r>
    <x v="0"/>
    <s v="DEP"/>
    <s v="BC-36"/>
    <s v="Haverhill Avenue"/>
    <s v="Upgrading a 1st Generation to a 2nd generation baffle box by adding the nutrient separating screen."/>
    <s v="Baffle Boxes- Second Generation"/>
    <x v="0"/>
    <s v="Prior to 2013"/>
    <n v="80"/>
    <n v="8"/>
    <x v="1"/>
    <n v="47.5"/>
    <n v="35857"/>
    <n v="2140"/>
    <s v="DEP"/>
    <s v="DEP - $275,000"/>
    <s v="S0648"/>
    <s v="Structural"/>
    <x v="0"/>
    <s v="North Indian River Lagoon"/>
    <s v="Not provided"/>
    <s v="Not provided"/>
    <s v="Not provided"/>
  </r>
  <r>
    <x v="0"/>
    <s v="DEP"/>
    <s v="BC-37"/>
    <s v="Manth Avenue"/>
    <s v="Upgrading a 1st Generation to a 2nd generation baffle box by adding the nutrient separating screen."/>
    <s v="Baffle Boxes- Second Generation"/>
    <x v="0"/>
    <s v="Prior to 2013"/>
    <n v="226"/>
    <n v="29"/>
    <x v="1"/>
    <n v="69.099999999999994"/>
    <n v="12507"/>
    <n v="2140"/>
    <s v="DEP"/>
    <s v="DEP - $275,000"/>
    <s v="S0648"/>
    <s v="Structural"/>
    <x v="0"/>
    <s v="North Indian River Lagoon"/>
    <s v="Not provided"/>
    <s v="Not provided"/>
    <s v="Not provided"/>
  </r>
  <r>
    <x v="0"/>
    <s v="Not provided"/>
    <s v="BC-38"/>
    <s v="Rockledge and Riverwoods Boulevard Rockledge"/>
    <s v="Upgrading a 1st Generation to a 2nd generation baffle box by adding the nutrient separating screen."/>
    <s v="Baffle Boxes- Second Generation"/>
    <x v="0"/>
    <s v="Prior to 2013"/>
    <n v="3"/>
    <n v="0.2"/>
    <x v="1"/>
    <n v="3.8"/>
    <n v="15000"/>
    <n v="2140"/>
    <s v="Not provided"/>
    <s v="Not provided"/>
    <s v="N/A"/>
    <s v="Structural"/>
    <x v="0"/>
    <s v="North Indian River Lagoon"/>
    <s v="Not provided"/>
    <s v="Not provided"/>
    <s v="Not provided"/>
  </r>
  <r>
    <x v="0"/>
    <s v="DEP"/>
    <s v="BC-39"/>
    <s v="Alamanda Indian Harbour Beach"/>
    <s v="Upgrading a 1st Generation to a 2nd generation baffle box by adding the nutrient separating screen."/>
    <s v="Baffle Boxes- Second Generation"/>
    <x v="0"/>
    <s v="Prior to 2013"/>
    <n v="3"/>
    <n v="0.3"/>
    <x v="1"/>
    <n v="2.8"/>
    <n v="12507"/>
    <n v="2140"/>
    <s v="DEP"/>
    <s v="DEP - $275,000"/>
    <s v="S0648"/>
    <s v="Structural"/>
    <x v="0"/>
    <s v="North Indian River Lagoon"/>
    <s v="Not provided"/>
    <s v="Not provided"/>
    <s v="Not provided"/>
  </r>
  <r>
    <x v="0"/>
    <s v="DEP"/>
    <s v="BC-40"/>
    <s v="River Shore 1848 Indialantic"/>
    <s v="Upgrading a 1st Generation to a 2nd generation baffle box by adding the nutrient separating screen."/>
    <s v="Baffle Boxes- Second Generation"/>
    <x v="0"/>
    <s v="Prior to 2013"/>
    <n v="3"/>
    <n v="0.3"/>
    <x v="1"/>
    <n v="2.7"/>
    <n v="31751"/>
    <n v="2140"/>
    <s v="DEP"/>
    <s v="DEP - $275,000"/>
    <s v="S0648"/>
    <s v="Structural"/>
    <x v="0"/>
    <s v="North Indian River Lagoon"/>
    <s v="Not provided"/>
    <s v="Not provided"/>
    <s v="Not provided"/>
  </r>
  <r>
    <x v="0"/>
    <s v="DEP"/>
    <s v="BC-41"/>
    <s v="River Shore 1925 Indialantic"/>
    <s v="Upgrading a 1st Generation to a 2nd generation baffle box by adding the nutrient separating screen."/>
    <s v="Baffle Boxes- Second Generation"/>
    <x v="0"/>
    <s v="Prior to 2013"/>
    <n v="7"/>
    <n v="0.8"/>
    <x v="1"/>
    <n v="7.4"/>
    <n v="12507"/>
    <n v="2140"/>
    <s v="DEP"/>
    <s v="DEP - $275,000"/>
    <s v="S0648"/>
    <s v="Structural"/>
    <x v="0"/>
    <s v="North Indian River Lagoon"/>
    <s v="Not provided"/>
    <s v="Not provided"/>
    <s v="Not provided"/>
  </r>
  <r>
    <x v="0"/>
    <s v="DEP"/>
    <s v="BC-42"/>
    <s v="Cedar Lane Indialantic"/>
    <s v="Upgrading a 1st Generation to a 2nd generation baffle box by adding the nutrient separating screen."/>
    <s v="Baffle Boxes- Second Generation"/>
    <x v="0"/>
    <s v="Prior to 2013"/>
    <n v="6"/>
    <n v="0.6"/>
    <x v="1"/>
    <n v="3.8"/>
    <n v="12507"/>
    <n v="2140"/>
    <s v="DEP"/>
    <s v="DEP - $275,000"/>
    <s v="S0648"/>
    <s v="Structural"/>
    <x v="0"/>
    <s v="North Indian River Lagoon"/>
    <s v="Not provided"/>
    <s v="Not provided"/>
    <s v="Not provided"/>
  </r>
  <r>
    <x v="0"/>
    <s v="DEP"/>
    <s v="BC-43"/>
    <s v="Riverview 9856 Indialantic"/>
    <s v="Upgrading a 1st Generation to a 2nd generation baffle box by adding the nutrient separating screen."/>
    <s v="Baffle Boxes- Second Generation"/>
    <x v="0"/>
    <s v="Prior to 2013"/>
    <n v="9"/>
    <n v="0.9"/>
    <x v="1"/>
    <n v="5.7"/>
    <n v="15000"/>
    <n v="2140"/>
    <s v="DEP"/>
    <s v="DEP - $275,000"/>
    <s v="S0648"/>
    <s v="Structural"/>
    <x v="0"/>
    <s v="North Indian River Lagoon"/>
    <s v="Not provided"/>
    <s v="Not provided"/>
    <s v="Not provided"/>
  </r>
  <r>
    <x v="0"/>
    <s v="DEP"/>
    <s v="BC-44"/>
    <s v="Riverview 9864 Indialantic"/>
    <s v="Upgrading a 1st Generation to a 2nd generation baffle box by adding the nutrient separating screen."/>
    <s v="Baffle Boxes- Second Generation"/>
    <x v="0"/>
    <s v="Prior to 2013"/>
    <n v="202"/>
    <n v="33.4"/>
    <x v="1"/>
    <n v="98.5"/>
    <n v="15000"/>
    <n v="2140"/>
    <s v="DEP"/>
    <s v="DEP - $275,000"/>
    <s v="S0648"/>
    <s v="Structural"/>
    <x v="0"/>
    <s v="North Indian River Lagoon"/>
    <s v="Not provided"/>
    <s v="Not provided"/>
    <s v="Not provided"/>
  </r>
  <r>
    <x v="0"/>
    <s v="DEP"/>
    <s v="BC-45"/>
    <s v="Oak Ridge Indialantic"/>
    <s v="Upgrading a 1st Generation to a 2nd generation baffle box by adding the nutrient separating screen."/>
    <s v="Baffle Boxes- Second Generation"/>
    <x v="0"/>
    <s v="Prior to 2013"/>
    <n v="257"/>
    <n v="38.799999999999997"/>
    <x v="1"/>
    <n v="126.5"/>
    <n v="15000"/>
    <n v="2140"/>
    <s v="DEP"/>
    <s v="DEP - $275,000"/>
    <s v="S0648"/>
    <s v="Structural"/>
    <x v="0"/>
    <s v="North Indian River Lagoon"/>
    <s v="Not provided"/>
    <s v="Not provided"/>
    <s v="Not provided"/>
  </r>
  <r>
    <x v="0"/>
    <s v="SOIRL"/>
    <s v="BC-46"/>
    <s v="Kingsmill-Aurora Phase 2"/>
    <s v="Expansion of a Wet Detention Pond and adding Denitrifcation to pond slope."/>
    <s v="Wet Detention Pond"/>
    <x v="3"/>
    <n v="2022"/>
    <n v="4059"/>
    <n v="1589.8"/>
    <x v="1"/>
    <n v="1220.4000000000001"/>
    <n v="1600000"/>
    <n v="1000"/>
    <s v="SOIRL"/>
    <s v="TBD"/>
    <s v="N/A"/>
    <s v="Structural"/>
    <x v="0"/>
    <s v="North Indian River Lagoon"/>
    <s v="Not provided"/>
    <s v="Not provided"/>
    <s v="TBD"/>
  </r>
  <r>
    <x v="0"/>
    <s v="N/A"/>
    <s v="BC-47"/>
    <s v="Sediment Trap, Grated Inlet Basket, Inlet Weir Cleaning"/>
    <s v="Annual maintenance, removing captured debris from structures."/>
    <s v="BMP Cleanout"/>
    <x v="1"/>
    <s v="Prior to 2013"/>
    <s v="TBD"/>
    <s v="TBD"/>
    <x v="1"/>
    <s v="N/A"/>
    <n v="392105"/>
    <n v="250000"/>
    <s v="N/A"/>
    <s v="N/A"/>
    <s v="N/A"/>
    <s v="Non-structural"/>
    <x v="0"/>
    <s v="North Indian River Lagoon"/>
    <s v="Not provided"/>
    <s v="Not provided"/>
    <n v="2013"/>
  </r>
  <r>
    <x v="0"/>
    <s v="DEP"/>
    <s v="BC-48"/>
    <s v="Merritt Ridge 3A"/>
    <s v="Alum pond."/>
    <s v="Floating Islands/ Managed Aquatic Plant Systems (MAPS)"/>
    <x v="0"/>
    <s v="Prior to 2013"/>
    <n v="138"/>
    <n v="27"/>
    <x v="1"/>
    <n v="32.1"/>
    <n v="100362"/>
    <n v="41817.5"/>
    <s v="DEP/ County"/>
    <s v="Not provided"/>
    <s v="G0430"/>
    <s v="Structural"/>
    <x v="0"/>
    <s v="North Indian River Lagoon"/>
    <s v="Not provided"/>
    <s v="Not provided"/>
    <s v="Not provided"/>
  </r>
  <r>
    <x v="0"/>
    <s v="DEP"/>
    <s v="BC-49"/>
    <s v="Lake George"/>
    <s v="Construction of a regional wet detention pond."/>
    <s v="Wet Detention Pond"/>
    <x v="0"/>
    <n v="2017"/>
    <n v="505"/>
    <n v="51.3"/>
    <x v="1"/>
    <n v="719"/>
    <n v="51200"/>
    <s v="Not provided"/>
    <s v="DEP/ County"/>
    <s v="Not provided"/>
    <s v="LP852"/>
    <s v="Structural"/>
    <x v="0"/>
    <s v="North Indian River Lagoon"/>
    <s v="Not provided"/>
    <s v="Not provided"/>
    <s v="Not provided"/>
  </r>
  <r>
    <x v="0"/>
    <s v="Not provided"/>
    <s v="BC-50"/>
    <s v="Wickham Park"/>
    <s v="The provided treatment volume is .17 ac-It."/>
    <s v="Stormwater Reuse"/>
    <x v="0"/>
    <n v="2010"/>
    <n v="75"/>
    <n v="4.5999999999999996"/>
    <x v="1"/>
    <s v="Not provided"/>
    <s v="Not provided"/>
    <s v="Not provided"/>
    <s v="Not provided"/>
    <s v="Not provided"/>
    <s v="N/A"/>
    <s v="Structural"/>
    <x v="0"/>
    <s v="North Indian River Lagoon"/>
    <s v="Not provided"/>
    <s v="Not provided"/>
    <s v="Not provided"/>
  </r>
  <r>
    <x v="0"/>
    <s v="Not provided"/>
    <s v="BC-51"/>
    <s v="Ellington Park"/>
    <s v="Construction of a wet detention pond."/>
    <s v="Stormwater Reuse"/>
    <x v="0"/>
    <n v="2005"/>
    <n v="409"/>
    <n v="87"/>
    <x v="1"/>
    <s v="Not provided"/>
    <s v="Not provided"/>
    <s v="Not provided"/>
    <s v="Not provided"/>
    <s v="Not provided"/>
    <s v="N/A"/>
    <s v="Structural"/>
    <x v="0"/>
    <s v="North Indian River Lagoon"/>
    <s v="Not provided"/>
    <s v="Not provided"/>
    <s v="Not provided"/>
  </r>
  <r>
    <x v="0"/>
    <s v="Not provided"/>
    <s v="BC-52"/>
    <s v="Rockledge Barton Park Reuse"/>
    <s v="Barton Park Pond was constructed by Rockledge. Brevard Parks withdraws water for irrigation for Rockledge Park."/>
    <s v="Stormwater Reuse"/>
    <x v="0"/>
    <n v="2009"/>
    <n v="262"/>
    <n v="24.1"/>
    <x v="1"/>
    <s v="Not provided"/>
    <s v="Not provided"/>
    <s v="Not provided"/>
    <s v="Not provided"/>
    <s v="Not provided"/>
    <s v="N/A"/>
    <s v="Structural"/>
    <x v="0"/>
    <s v="North Indian River Lagoon"/>
    <s v="Not provided"/>
    <s v="Not provided"/>
    <s v="Not provided"/>
  </r>
  <r>
    <x v="0"/>
    <s v="Not provided"/>
    <s v="BC-53"/>
    <s v="Florida Boulevard Pond"/>
    <s v="Construction of a wet detention pond."/>
    <s v="Wet Detention Pond"/>
    <x v="0"/>
    <n v="2002"/>
    <n v="545"/>
    <n v="185.4"/>
    <x v="1"/>
    <n v="88.4"/>
    <n v="350384"/>
    <s v="Not provided"/>
    <s v="Not provided"/>
    <s v="Not provided"/>
    <s v="N/A"/>
    <s v="Structural"/>
    <x v="0"/>
    <s v="North Indian River Lagoon"/>
    <s v="Not provided"/>
    <s v="Not provided"/>
    <s v="Not provided"/>
  </r>
  <r>
    <x v="0"/>
    <s v="DEP"/>
    <s v="BC-54"/>
    <s v="McGiver South"/>
    <s v="Upgrading a 1st Generation to a 2nd generation baffle box by adding the nutrient separating screen."/>
    <s v="Baffle Boxes- Second Generation"/>
    <x v="0"/>
    <n v="2013"/>
    <n v="6"/>
    <n v="0.7"/>
    <x v="1"/>
    <n v="2.8"/>
    <n v="12507"/>
    <n v="2140"/>
    <s v="DEP"/>
    <s v="DEP - $275,000"/>
    <s v="S0648"/>
    <s v="Structural"/>
    <x v="4"/>
    <s v="North Indian River Lagoon"/>
    <s v="Not provided"/>
    <s v="Not provided"/>
    <s v="Not provided"/>
  </r>
  <r>
    <x v="0"/>
    <s v="DEP"/>
    <s v="BC-55"/>
    <s v="651 Franklyn"/>
    <s v="Upgrading a 1st Generation to a 2nd generation baffle box by adding the nutrient separating screen."/>
    <s v="Baffle Boxes- Second Generation"/>
    <x v="0"/>
    <n v="2013"/>
    <n v="15"/>
    <n v="1.6"/>
    <x v="1"/>
    <n v="13.7"/>
    <n v="12507"/>
    <n v="2140"/>
    <s v="DEP"/>
    <s v="DEP - $275,000"/>
    <s v="S0648"/>
    <s v="Structural"/>
    <x v="4"/>
    <s v="North Indian River Lagoon"/>
    <s v="Not provided"/>
    <s v="Not provided"/>
    <s v="Not provided"/>
  </r>
  <r>
    <x v="0"/>
    <s v="Not provided"/>
    <s v="BC-56"/>
    <s v="Fountainhead"/>
    <s v="Removing vegetation from a wet detention pond."/>
    <s v="Aquatic Vegetation Harvesting"/>
    <x v="0"/>
    <n v="2014"/>
    <n v="401"/>
    <n v="64.7"/>
    <x v="1"/>
    <n v="125.45797899999999"/>
    <n v="39274"/>
    <s v="Not provided"/>
    <s v="Not provided"/>
    <s v="Not provided"/>
    <s v="N/A"/>
    <s v="Non-structural"/>
    <x v="4"/>
    <s v="North Indian River Lagoon"/>
    <s v="Not provided"/>
    <s v="Not provided"/>
    <s v="Not provided"/>
  </r>
  <r>
    <x v="0"/>
    <s v="DEP"/>
    <s v="BC-57"/>
    <s v="Fiske"/>
    <s v="Upgrading a 1st Generation to a 2nd generation baffle box by adding the nutrient separating screen."/>
    <s v="Baffle Boxes- Second Generation"/>
    <x v="0"/>
    <n v="2014"/>
    <n v="317.2"/>
    <n v="55.7"/>
    <x v="1"/>
    <n v="126.2"/>
    <n v="12507"/>
    <n v="2140"/>
    <s v="DEP"/>
    <s v="DEP - $275,000"/>
    <s v="S0648"/>
    <s v="Structural"/>
    <x v="1"/>
    <s v="North Indian River Lagoon"/>
    <s v="Not provided"/>
    <s v="Not provided"/>
    <s v="Not provided"/>
  </r>
  <r>
    <x v="0"/>
    <s v="Not provided"/>
    <s v="BC-58"/>
    <s v="Street Sweeping"/>
    <s v="Monthly street sweeping."/>
    <s v="Street Sweeping"/>
    <x v="0"/>
    <s v="N/A"/>
    <n v="110"/>
    <n v="71"/>
    <x v="0"/>
    <s v="N/A"/>
    <s v="N/A"/>
    <n v="21000"/>
    <s v="County"/>
    <s v="N/A"/>
    <s v="N/A"/>
    <s v="Non-structural"/>
    <x v="1"/>
    <s v="North Indian River Lagoon"/>
    <s v="N/A"/>
    <s v="N/A"/>
    <s v="Not provided"/>
  </r>
  <r>
    <x v="0"/>
    <s v="N/A"/>
    <s v="BC-59"/>
    <s v="Baffle Box/Sediment Trap Cleaning"/>
    <s v="Quarterly baffle box/sediment trap cleaning."/>
    <s v="BMP Cleanout"/>
    <x v="0"/>
    <n v="2015"/>
    <s v="Not provided"/>
    <s v="Not provided"/>
    <x v="0"/>
    <s v="N/A"/>
    <n v="250000"/>
    <n v="250000"/>
    <s v="County"/>
    <s v="County - $250,000"/>
    <s v="N/A"/>
    <s v="Non-structural"/>
    <x v="1"/>
    <s v="North Indian River Lagoon"/>
    <s v="N/A"/>
    <s v="N/A"/>
    <n v="2010"/>
  </r>
  <r>
    <x v="0"/>
    <s v="DEP"/>
    <s v="BC-60"/>
    <s v="Huntington Road"/>
    <s v="Installation of vegetative floating island into an exiting  detention pond."/>
    <s v="Floating Islands/ Managed Aquatic Plant Systems (MAPS)"/>
    <x v="0"/>
    <n v="2016"/>
    <n v="520"/>
    <n v="47"/>
    <x v="0"/>
    <n v="354.64151299999997"/>
    <n v="45788"/>
    <n v="9997.5"/>
    <s v="DEP/County"/>
    <s v="Not provided"/>
    <s v="G0430"/>
    <s v="Structural"/>
    <x v="5"/>
    <s v="North Indian River Lagoon"/>
    <s v="Not provided"/>
    <s v="Not provided"/>
    <s v="Not provided"/>
  </r>
  <r>
    <x v="0"/>
    <s v="DEP"/>
    <s v="BC-61"/>
    <s v="Port St. John C"/>
    <s v="Installation of vegetative floating island into an exiting  detention pond."/>
    <s v="Floating Islands/ Managed Aquatic Plant Systems (MAPS)"/>
    <x v="0"/>
    <n v="2016"/>
    <n v="62"/>
    <n v="10.5"/>
    <x v="1"/>
    <n v="19.988123999999999"/>
    <n v="14062"/>
    <n v="3070.5"/>
    <s v="DEP/County"/>
    <s v="Not provided"/>
    <s v="G0430"/>
    <s v="Structural"/>
    <x v="5"/>
    <s v="North Indian River Lagoon"/>
    <s v="Not provided"/>
    <s v="Not provided"/>
    <s v="Not provided"/>
  </r>
  <r>
    <x v="0"/>
    <s v="DEP"/>
    <s v="BC-62"/>
    <s v="Shoreview Circle"/>
    <s v="Upgrading a 1st Generation to a 2nd generation baffle box by adding the nutrient separating screen."/>
    <s v="Baffle Boxes- Second Generation"/>
    <x v="0"/>
    <n v="2015"/>
    <s v="Not provided"/>
    <s v="Not provided"/>
    <x v="1"/>
    <s v="Not provided"/>
    <n v="11270"/>
    <n v="2140"/>
    <s v="DEP"/>
    <s v="DEP - $275,000"/>
    <s v="S0648"/>
    <s v="Structural"/>
    <x v="5"/>
    <s v="North Indian River Lagoon"/>
    <s v="Not provided"/>
    <s v="Not provided"/>
    <s v="Not provided"/>
  </r>
  <r>
    <x v="0"/>
    <s v="DEP"/>
    <s v="BC-63"/>
    <s v="Granada West"/>
    <s v="Upgrading a 1st Generation to a 2nd generation baffle box by adding the nutrient separating screen."/>
    <s v="Baffle Boxes- Second Generation"/>
    <x v="0"/>
    <n v="2015"/>
    <s v="Not provided"/>
    <s v="Not provided"/>
    <x v="1"/>
    <s v="Not provided"/>
    <n v="11220"/>
    <n v="2140"/>
    <s v="DEP"/>
    <s v="DEP - $275,000"/>
    <s v="S0649"/>
    <s v="Structural"/>
    <x v="5"/>
    <s v="North Indian River Lagoon"/>
    <s v="Not provided"/>
    <s v="Not provided"/>
    <s v="Not provided"/>
  </r>
  <r>
    <x v="0"/>
    <s v="DEP"/>
    <s v="BC-64"/>
    <s v="Shoreview Lane"/>
    <s v="Upgrading a 1st Generation to a 2nd generation baffle box by adding the nutrient separating screen."/>
    <s v="Baffle Boxes- Second Generation"/>
    <x v="0"/>
    <n v="2015"/>
    <s v="Not provided"/>
    <s v="Not provided"/>
    <x v="1"/>
    <s v="Not provided"/>
    <n v="24543.439999999999"/>
    <n v="2140"/>
    <s v="DEP"/>
    <s v="DEP - $275,000"/>
    <s v="S0650"/>
    <s v="Structural"/>
    <x v="5"/>
    <s v="North Indian River Lagoon"/>
    <s v="Not provided"/>
    <s v="Not provided"/>
    <s v="Not provided"/>
  </r>
  <r>
    <x v="0"/>
    <s v="DEP"/>
    <s v="BC-65"/>
    <s v="Sunset Park North"/>
    <s v="Upgrading a 1st Generation to a 2nd generation baffle box by adding the nutrient separating screen."/>
    <s v="Baffle Boxes- Second Generation"/>
    <x v="0"/>
    <n v="2015"/>
    <s v="Not provided"/>
    <s v="Not provided"/>
    <x v="1"/>
    <s v="Not provided"/>
    <n v="11170"/>
    <n v="2140"/>
    <s v="DEP"/>
    <s v="DEP - $275,000"/>
    <s v="S0651"/>
    <s v="Structural"/>
    <x v="5"/>
    <s v="North Indian River Lagoon"/>
    <s v="Not provided"/>
    <s v="Not provided"/>
    <s v="Not provided"/>
  </r>
  <r>
    <x v="0"/>
    <s v="DEP"/>
    <s v="BC-66"/>
    <s v="Oak Street"/>
    <s v="Upgrading a 1st Generation to a 2nd generation baffle box by adding the nutrient separating screen."/>
    <s v="Baffle Boxes- Second Generation"/>
    <x v="0"/>
    <n v="2015"/>
    <s v="Not provided"/>
    <s v="Not provided"/>
    <x v="1"/>
    <s v="Not provided"/>
    <n v="10895"/>
    <n v="2140"/>
    <s v="DEP"/>
    <s v="DEP - $275,000"/>
    <s v="S0652"/>
    <s v="Structural"/>
    <x v="5"/>
    <s v="North Indian River Lagoon"/>
    <s v="Not provided"/>
    <s v="Not provided"/>
    <s v="Not provided"/>
  </r>
  <r>
    <x v="0"/>
    <s v="DEP"/>
    <s v="BC-67"/>
    <s v="Fountainhead Advanced Denitrification"/>
    <s v="Phosphorus reduction &amp;  denitrification."/>
    <s v="Denitrification Walls"/>
    <x v="1"/>
    <n v="2020"/>
    <n v="488"/>
    <s v="TBD"/>
    <x v="1"/>
    <n v="234.65"/>
    <n v="381000"/>
    <s v="Not provided"/>
    <s v="DEP"/>
    <s v="Not provided"/>
    <s v="LP05115"/>
    <s v="Structural"/>
    <x v="6"/>
    <s v="North Indian River Lagoon"/>
    <s v="Not provided"/>
    <s v="Not provided"/>
    <s v="Not provided"/>
  </r>
  <r>
    <x v="0"/>
    <s v="DEP"/>
    <s v="BC-68"/>
    <s v="Multiple Ditch Outfall Denitrification D1"/>
    <s v="Providing base flow/grondwater treatment in open drainage basins."/>
    <s v="Biosorption Activated Media (BAM)"/>
    <x v="2"/>
    <n v="2019"/>
    <s v="TBD"/>
    <s v="TBD"/>
    <x v="0"/>
    <s v="Not provided"/>
    <n v="900000"/>
    <s v="Not provided"/>
    <s v="Florida Legislature/ Brevard County"/>
    <n v="900600"/>
    <s v="LP0511A"/>
    <s v="Structural"/>
    <x v="6"/>
    <s v="North Indian River Lagoon"/>
    <s v="Not provided"/>
    <s v="Not provided"/>
    <s v="Not provided"/>
  </r>
  <r>
    <x v="0"/>
    <s v="DEP"/>
    <s v="BC-68a"/>
    <s v="Multiple Ditch Outfall Denitrification D1"/>
    <s v="Providing base flow/grondwater treatment in open drainage basins."/>
    <s v="Biosorption Activated Media (BAM)"/>
    <x v="2"/>
    <n v="2019"/>
    <s v="TBD"/>
    <s v="TBD"/>
    <x v="1"/>
    <s v="Not provided"/>
    <s v="Not provided"/>
    <s v="Not provided"/>
    <s v="DEP"/>
    <s v="Not provided"/>
    <s v="LP0511A"/>
    <s v="Structural"/>
    <x v="6"/>
    <s v="North Indian River Lagoon"/>
    <s v="Not provided"/>
    <s v="Not provided"/>
    <s v="Not provided"/>
  </r>
  <r>
    <x v="0"/>
    <s v="DEP"/>
    <s v="BC-69"/>
    <s v="Multiple Ditch Outfall Denitrification D4 (replace by individual Basin #s/names)"/>
    <s v="Providing base flow/grondwater treatment in open drainage basins."/>
    <s v="Biosorption Activated Media (BAM)"/>
    <x v="3"/>
    <n v="2019"/>
    <s v="TBD"/>
    <s v="TBD"/>
    <x v="1"/>
    <s v="Not provided"/>
    <n v="2140000"/>
    <s v="Not provided"/>
    <s v="DEP"/>
    <s v="Not provided"/>
    <s v="LP0511A"/>
    <s v="Structural"/>
    <x v="6"/>
    <s v="North Indian River Lagoon"/>
    <s v="Not provided"/>
    <s v="Not provided"/>
    <s v="Not provided"/>
  </r>
  <r>
    <x v="0"/>
    <s v="Not provided"/>
    <s v="BC-70"/>
    <s v="Otter Creek Basin D4"/>
    <s v="Providing base flow/grondwater treatment in open drainage basins."/>
    <s v="Biosorption Activated Media (BAM)"/>
    <x v="3"/>
    <n v="2019"/>
    <s v="TBD"/>
    <s v="TBD"/>
    <x v="1"/>
    <s v="Not provided"/>
    <n v="130000"/>
    <s v="Not provided"/>
    <s v="Not provided"/>
    <s v="Not provided"/>
    <s v="N/A"/>
    <s v="Structural"/>
    <x v="6"/>
    <s v="North Indian River Lagoon"/>
    <s v="Not provided"/>
    <s v="Not provided"/>
    <s v="Not provided"/>
  </r>
  <r>
    <x v="0"/>
    <s v="SJRWMD"/>
    <s v="BC-71"/>
    <s v="Suntree In-Channel Denitrification D4"/>
    <s v="Providing base flow/grondwater treatment in open drainage basins."/>
    <s v="Biosorption Activated Media (BAM)"/>
    <x v="3"/>
    <n v="2018"/>
    <s v="TBD"/>
    <s v="TBD"/>
    <x v="1"/>
    <s v="Not provided"/>
    <n v="71000"/>
    <s v="Not provided"/>
    <s v="SJRWMD"/>
    <s v="Not provided"/>
    <s v="N/A"/>
    <s v="Structural"/>
    <x v="6"/>
    <s v="North Indian River Lagoon"/>
    <s v="Not provided"/>
    <s v="Not provided"/>
    <s v="Not provided"/>
  </r>
  <r>
    <x v="0"/>
    <s v="DEP"/>
    <s v="BC-72"/>
    <s v="Multiple Ditch Outfall Denitrification D5 (replace by individual Basin#s/names)"/>
    <s v="Providing base flow/grondwater treatment in open drainage basins."/>
    <s v="Biosorption Activated Media (BAM)"/>
    <x v="1"/>
    <n v="2019"/>
    <s v="TBD"/>
    <s v="TBD"/>
    <x v="1"/>
    <s v="Not provided"/>
    <n v="100000"/>
    <s v="Not provided"/>
    <s v="DEP"/>
    <s v="DEP - $100,000"/>
    <s v="LP0511A"/>
    <s v="Structural"/>
    <x v="6"/>
    <s v="North Indian River Lagoon"/>
    <s v="Not provided"/>
    <s v="Not provided"/>
    <s v="Not provided"/>
  </r>
  <r>
    <x v="0"/>
    <s v="SOIRL"/>
    <s v="BC-73"/>
    <s v="EauGallie Area Muck Dredging"/>
    <s v="Not provided."/>
    <s v="Muck Removal/Restoration Dredging"/>
    <x v="0"/>
    <n v="2017"/>
    <s v="TBD"/>
    <s v="TBD"/>
    <x v="1"/>
    <s v="Not provided"/>
    <n v="26250000"/>
    <s v="N/A"/>
    <s v="SOIRL"/>
    <s v="SOIRL - $26,250,000"/>
    <s v="N/A"/>
    <s v="Non-structural"/>
    <x v="6"/>
    <s v="North Indian River Lagoon"/>
    <s v="Not provided"/>
    <s v="Not provided"/>
    <n v="2018"/>
  </r>
  <r>
    <x v="0"/>
    <s v="SOIRL"/>
    <s v="BC-74"/>
    <s v="Flounder Creek Pond Denitrification Retrofit"/>
    <s v="Stormwater traditional BMP."/>
    <s v="Biosorption Activated Media (BAM)"/>
    <x v="3"/>
    <s v="TBD"/>
    <n v="856"/>
    <s v="N/A"/>
    <x v="0"/>
    <n v="320"/>
    <n v="157500"/>
    <n v="12307.5"/>
    <s v="Not provided"/>
    <s v="Not provided"/>
    <s v="N/A"/>
    <s v="Structural"/>
    <x v="6"/>
    <s v="North Indian River Lagoon"/>
    <s v="Not provided"/>
    <s v="Not provided"/>
    <s v="TBD"/>
  </r>
  <r>
    <x v="0"/>
    <s v="Not provided"/>
    <s v="BC-75"/>
    <s v="Huntington Creek Pond Denitrification Retrofit"/>
    <s v="Not provided."/>
    <s v="Biosorption Activated Media (BAM)"/>
    <x v="3"/>
    <s v="TBD"/>
    <s v="TBD"/>
    <s v="TBD"/>
    <x v="0"/>
    <n v="355"/>
    <n v="180000"/>
    <n v="16662.5"/>
    <s v="Not provided"/>
    <s v="Not provided"/>
    <s v="N/A"/>
    <s v="Structural"/>
    <x v="6"/>
    <s v="North Indian River Lagoon"/>
    <s v="Not provided"/>
    <s v="Not provided"/>
    <s v="TBD"/>
  </r>
  <r>
    <x v="0"/>
    <s v="Not provided"/>
    <s v="BC-77"/>
    <s v="Merritt Ridge 2B D2"/>
    <s v="Not provided."/>
    <s v="Grass Swales without Swale Blocks or Raised Culverts"/>
    <x v="0"/>
    <n v="2016"/>
    <s v="Not provided"/>
    <s v="Not provided"/>
    <x v="1"/>
    <n v="2"/>
    <n v="45000"/>
    <s v="Not provided"/>
    <s v="Not provided"/>
    <s v="Not provided"/>
    <s v="N/A"/>
    <s v="Structural"/>
    <x v="6"/>
    <s v="North Indian River Lagoon"/>
    <s v="Not provided"/>
    <s v="Not provided"/>
    <s v="Not provided"/>
  </r>
  <r>
    <x v="0"/>
    <s v="Not provided"/>
    <s v="BC-78"/>
    <s v="Merritt Ridge 2E D2"/>
    <s v="Wet detention pond construction."/>
    <s v="Wet Detention Pond"/>
    <x v="3"/>
    <s v="TBD"/>
    <s v="TBD"/>
    <s v="TBD"/>
    <x v="1"/>
    <s v="Not provided"/>
    <n v="720000"/>
    <s v="Not provided"/>
    <s v="Not provided"/>
    <s v="Not provided"/>
    <s v="N/A"/>
    <s v="Structural"/>
    <x v="6"/>
    <s v="North Indian River Lagoon"/>
    <s v="Not provided"/>
    <s v="Not provided"/>
    <s v="TBD"/>
  </r>
  <r>
    <x v="0"/>
    <s v="N/A"/>
    <s v="BC-80"/>
    <s v="Wickham Park Solar Bee"/>
    <s v="Installing a mixer to reduce the amount of algae and cyanobacteria on an existing pond."/>
    <s v="BMP Treatment Train"/>
    <x v="3"/>
    <s v="TBD"/>
    <s v="TBD"/>
    <s v="TBD"/>
    <x v="1"/>
    <s v="TBD"/>
    <s v="TBD"/>
    <s v="TBD"/>
    <s v="TBD"/>
    <s v="TBD"/>
    <s v="N/A"/>
    <s v="Structural"/>
    <x v="6"/>
    <s v="North Indian River Lagoon"/>
    <s v="Not provided"/>
    <s v="Not provided"/>
    <s v="TBD"/>
  </r>
  <r>
    <x v="0"/>
    <s v="All Cities"/>
    <s v="BC-81"/>
    <s v="Education Efforts"/>
    <s v="Fertilizer video, rain barrel workshops, Facebook page, bus wrap, and billboard."/>
    <s v="Education Efforts"/>
    <x v="0"/>
    <s v="N/A"/>
    <s v="N/A"/>
    <s v="N/A"/>
    <x v="0"/>
    <s v="N/A"/>
    <n v="50000"/>
    <s v="TBD"/>
    <s v="SOIRL"/>
    <s v="SOIRL - $50,000"/>
    <s v="N/A"/>
    <s v="Non-structural"/>
    <x v="6"/>
    <s v="North Indian River Lagoon"/>
    <s v="Not provided"/>
    <s v="Not provided"/>
    <s v="2017"/>
  </r>
  <r>
    <x v="0"/>
    <s v="All Cities"/>
    <s v="BC-81a"/>
    <s v="Education Efforts"/>
    <s v="Fertilizer video, rain barrel workshops, Facebook page, bus wrap, and billboard."/>
    <s v="Education Efforts"/>
    <x v="0"/>
    <s v="N/A"/>
    <s v="N/A"/>
    <s v="N/A"/>
    <x v="1"/>
    <s v="N/A"/>
    <s v="Not provided"/>
    <s v="TBD"/>
    <s v="SOIRL"/>
    <s v="Not provided"/>
    <s v="N/A"/>
    <s v="Non-structural"/>
    <x v="6"/>
    <s v="North Indian River Lagoon"/>
    <s v="Not provided"/>
    <s v="Not provided"/>
    <s v="2017"/>
  </r>
  <r>
    <x v="0"/>
    <s v="N/A"/>
    <s v="BC-88"/>
    <s v="Septic Removal - NIRL -MIRA"/>
    <s v="SOIRL-44."/>
    <s v="OSTDS Phase Out"/>
    <x v="1"/>
    <n v="2020"/>
    <s v="TBD"/>
    <s v="N/A"/>
    <x v="1"/>
    <s v="Not provided"/>
    <n v="2130852"/>
    <s v="Not provided"/>
    <s v="SOIRL"/>
    <s v="SOIRL - $2,130,852"/>
    <s v="N/A"/>
    <s v="Structural"/>
    <x v="6"/>
    <s v="North Indian River Lagoon"/>
    <s v="Not provided"/>
    <s v="Not provided"/>
    <s v="Not provided"/>
  </r>
  <r>
    <x v="0"/>
    <s v="SOIRL"/>
    <s v="BC-91"/>
    <s v="Kingsmill Aurora Phase II"/>
    <s v="Construction of 5 ac pond with weirs, drop structures, etc."/>
    <s v="Wet Detention Pond"/>
    <x v="1"/>
    <n v="2019"/>
    <n v="6264"/>
    <n v="814"/>
    <x v="0"/>
    <n v="1212.8"/>
    <n v="990000"/>
    <s v="N/A"/>
    <s v="SOIRL/ BC"/>
    <s v="Not provided"/>
    <s v="N/A"/>
    <s v="Structural"/>
    <x v="6"/>
    <s v="North Indian River Lagoon"/>
    <s v="Not provided"/>
    <s v="Not provided"/>
    <n v="2017"/>
  </r>
  <r>
    <x v="0"/>
    <s v="N/A"/>
    <s v="BC-92"/>
    <s v="Baffle Box/Sediment Trap Cleaning"/>
    <s v="Increasing cleanout frequency to quarterly."/>
    <s v="BMP Cleanout"/>
    <x v="0"/>
    <s v="N/A"/>
    <n v="1"/>
    <n v="1"/>
    <x v="0"/>
    <s v="N/A"/>
    <s v="Not provided"/>
    <n v="276303.28000000003"/>
    <s v="County"/>
    <s v="Not provided"/>
    <s v="N/A"/>
    <s v="Non-structural"/>
    <x v="1"/>
    <s v="North Indian River Lagoon"/>
    <s v="Not provided"/>
    <s v="Not provided"/>
    <n v="2008"/>
  </r>
  <r>
    <x v="0"/>
    <s v="N/A"/>
    <s v="BC-93"/>
    <s v="N. Wickham Road Upflow Filter - BB#1298"/>
    <s v="Upflow filter with Biosorption Activated Media installed within existing  detention pond  system to remove nitrogen from baseflow."/>
    <s v="Biosorption Activated Media (BAM)"/>
    <x v="1"/>
    <n v="2019"/>
    <n v="917"/>
    <n v="116"/>
    <x v="1"/>
    <n v="170"/>
    <n v="125000"/>
    <n v="2500"/>
    <s v="Legislative Funding"/>
    <s v="Legislative Funding - $35,000"/>
    <s v="LP0511A"/>
    <s v="Structural"/>
    <x v="7"/>
    <s v="North Indian River Lagoon"/>
    <s v="Not provided"/>
    <s v="Not provided"/>
    <s v="Not provided"/>
  </r>
  <r>
    <x v="0"/>
    <s v="SOIRL"/>
    <s v="BC-94"/>
    <s v="Johns Rd Pond BAM - BB#62 (Actually located in 51)"/>
    <s v="Adding a media to remove nitrogen by denitrification.  The media will be added to the side slope of the pond or the bottom of the swale."/>
    <s v="Biosorption Activated Media (BAM)"/>
    <x v="1"/>
    <n v="2020"/>
    <n v="245"/>
    <n v="37"/>
    <x v="0"/>
    <s v="Not provided"/>
    <n v="172000"/>
    <s v="Not provided"/>
    <s v="LF/SOIRL"/>
    <n v="58030"/>
    <s v="N/A"/>
    <s v="Structural"/>
    <x v="7"/>
    <s v="North Indian River Lagoon"/>
    <s v="Not provided"/>
    <s v="Not provided"/>
    <s v="Not provided"/>
  </r>
  <r>
    <x v="0"/>
    <s v="SOIRL"/>
    <s v="BC-95"/>
    <s v="Burkholm Rd BAM - BB#100"/>
    <s v="Adding a media to remove nitrogen by denitrification.  The media will be added to the side slope of the pond or the bottom of the swale."/>
    <s v="Biosorption Activated Media (BAM)"/>
    <x v="1"/>
    <n v="2020"/>
    <n v="685"/>
    <n v="104"/>
    <x v="0"/>
    <s v="Not provided"/>
    <n v="161000"/>
    <s v="Not provided"/>
    <s v="LF/SOIRL"/>
    <n v="99390"/>
    <s v="N/A"/>
    <s v="Structural"/>
    <x v="7"/>
    <s v="North Indian River Lagoon"/>
    <s v="Not provided"/>
    <s v="Not provided"/>
    <s v="Not provided"/>
  </r>
  <r>
    <x v="0"/>
    <s v="SOIRL"/>
    <s v="BC-96"/>
    <s v="Carter Rd BAM- BB#115"/>
    <s v="Adding a media to remove nitrogen by denitrification.  The media will be added to the side slope of the pond or the bottom of the swale."/>
    <s v="Biosorption Activated Media (BAM)"/>
    <x v="1"/>
    <n v="2020"/>
    <n v="665"/>
    <n v="101"/>
    <x v="0"/>
    <s v="Not provided"/>
    <n v="176000"/>
    <s v="Not provided"/>
    <s v="LF/SOIRL"/>
    <n v="97510"/>
    <s v="N/A"/>
    <s v="Structural"/>
    <x v="7"/>
    <s v="North Indian River Lagoon"/>
    <s v="Not provided"/>
    <s v="Not provided"/>
    <s v="Not provided"/>
  </r>
  <r>
    <x v="0"/>
    <s v="SOIRL"/>
    <s v="BC-97"/>
    <s v="Wiley Rd BAM - BB#193"/>
    <s v="Adding a media to remove nitrogen by denitrification.  The media will be added to the side slope of the pond or the bottom of the swale."/>
    <s v="Biosorption Activated Media (BAM)"/>
    <x v="1"/>
    <n v="2020"/>
    <n v="954"/>
    <n v="144"/>
    <x v="0"/>
    <s v="Not provided"/>
    <n v="179000"/>
    <s v="Not provided"/>
    <s v="LF/SOIRL"/>
    <n v="117735"/>
    <s v="N/A"/>
    <s v="Structural"/>
    <x v="7"/>
    <s v="North Indian River Lagoon"/>
    <s v="Not provided"/>
    <s v="Not provided"/>
    <s v="Not provided"/>
  </r>
  <r>
    <x v="0"/>
    <s v="SOIRL"/>
    <s v="BC-98"/>
    <s v="Broadway Pond BAM - BB#832"/>
    <s v="Adding a media to remove nitrogen by denitrification.  The media will be added to the side slope of the pond or the bottom of the swale."/>
    <s v="Biosorption Activated Media (BAM)"/>
    <x v="1"/>
    <n v="2020"/>
    <n v="456"/>
    <n v="69"/>
    <x v="0"/>
    <s v="Not provided"/>
    <n v="290000"/>
    <s v="Not provided"/>
    <s v="LF/SOIRL"/>
    <n v="77864"/>
    <s v="N/A"/>
    <s v="Structural"/>
    <x v="7"/>
    <s v="North Indian River Lagoon"/>
    <s v="Not provided"/>
    <s v="Not provided"/>
    <s v="Not provided"/>
  </r>
  <r>
    <x v="1"/>
    <s v="SOIRL"/>
    <s v="BC-82"/>
    <s v="Stormwater Project - NIRL - Cocoa - Church St Type II Baffle Box"/>
    <s v="SOIRL-14."/>
    <s v="Baffle Boxes- Second Generation"/>
    <x v="0"/>
    <n v="2018"/>
    <s v="TBD"/>
    <s v="TBD"/>
    <x v="1"/>
    <n v="75.203298000000018"/>
    <n v="233455"/>
    <s v="Not provided"/>
    <s v="DEP TMDL"/>
    <s v="DEP TMDL - $20,856"/>
    <s v="NF025"/>
    <s v="Structural"/>
    <x v="6"/>
    <s v="North Indian River Lagoon"/>
    <s v="Not provided"/>
    <s v="Not provided"/>
    <s v="TBD"/>
  </r>
  <r>
    <x v="1"/>
    <s v="SJRWMD"/>
    <s v="CC-01"/>
    <s v="Bracco Pond B"/>
    <s v="SOIRL-01."/>
    <s v="Wet Detention Pond"/>
    <x v="0"/>
    <n v="2014"/>
    <n v="2328"/>
    <n v="1049.5999999999999"/>
    <x v="1"/>
    <n v="591.79999999999995"/>
    <n v="35000"/>
    <n v="12000"/>
    <s v="City/ SJRWMD"/>
    <s v="City - $250,000/ SJRWMD - $250,000"/>
    <s v="N/A"/>
    <s v="Structural"/>
    <x v="0"/>
    <s v="North Indian River Lagoon"/>
    <s v="28-21-58 N"/>
    <s v="80-44-22 W"/>
    <s v="Not provided"/>
  </r>
  <r>
    <x v="1"/>
    <s v="SJRWMD"/>
    <s v="CC-02"/>
    <s v="Bracco Expansion Area"/>
    <s v="Provide the community with a park along the ponds."/>
    <s v="Wet Detention Pond"/>
    <x v="0"/>
    <n v="2014"/>
    <n v="156"/>
    <n v="41.8"/>
    <x v="1"/>
    <n v="775.2"/>
    <n v="570762"/>
    <n v="5000"/>
    <s v="City/ SJRWMD"/>
    <s v="City - $262,500/ SJRWMD - $262,500"/>
    <s v="N/A"/>
    <s v="Structural"/>
    <x v="0"/>
    <s v="North Indian River Lagoon"/>
    <s v="28-22-04 N"/>
    <s v="80-44-18 W"/>
    <s v="Not provided"/>
  </r>
  <r>
    <x v="1"/>
    <s v="EPA/ SJRWMD"/>
    <s v="CC-03"/>
    <s v="Cocoa Village Park"/>
    <s v="Subsurface detention storage that is part of a redevelopment project of the Cocoa Village Park and Riverwalk Esplanade areas."/>
    <s v="Dry Detention Pond"/>
    <x v="0"/>
    <n v="2018"/>
    <n v="37"/>
    <n v="6.9"/>
    <x v="1"/>
    <n v="13.5"/>
    <n v="330000"/>
    <n v="35000"/>
    <s v="City/ SJRWMD"/>
    <s v="City - $1,250,000/ SJRWMD - $1,250,000"/>
    <s v="WM736"/>
    <s v="Structural"/>
    <x v="0"/>
    <s v="North Indian River Lagoon"/>
    <s v="28-21-15 N"/>
    <s v="80-43-27 W"/>
    <n v="2014"/>
  </r>
  <r>
    <x v="1"/>
    <s v="Rockledge/ SOIRL"/>
    <s v="CC-04"/>
    <s v="Morris Pond"/>
    <s v="Joint project with the City of Rockledge to accommodate previously untreated runoff."/>
    <s v="Wet Detention Pond"/>
    <x v="0"/>
    <n v="2014"/>
    <n v="128"/>
    <n v="46.7"/>
    <x v="1"/>
    <n v="16.2"/>
    <n v="247480"/>
    <s v="N/A"/>
    <s v="City of Rockledge"/>
    <s v="N/A"/>
    <s v="N/A"/>
    <s v="Structural"/>
    <x v="0"/>
    <s v="North Indian River Lagoon"/>
    <s v="Not provided"/>
    <s v="Not provided"/>
    <s v="Not provided"/>
  </r>
  <r>
    <x v="1"/>
    <s v="N/A"/>
    <s v="CC-05"/>
    <s v="North Brevard Avenue Stormwater Treatment Facility"/>
    <s v="Hydrodynamic separators that remove sediment, trap debris and separate floating oils from runoff."/>
    <s v="Hydrodynamic Separators"/>
    <x v="0"/>
    <n v="2014"/>
    <n v="0"/>
    <n v="4.8"/>
    <x v="1"/>
    <n v="11.3"/>
    <s v="N/A"/>
    <s v="N/A"/>
    <s v="City of Titusville"/>
    <s v="N/A"/>
    <s v="N/A"/>
    <s v="Structural"/>
    <x v="0"/>
    <s v="North Indian River Lagoon"/>
    <s v="Not provided"/>
    <s v="Not provided"/>
    <s v="Not provided"/>
  </r>
  <r>
    <x v="1"/>
    <s v="SJRWMD"/>
    <s v="CC-06"/>
    <s v="North Fiske Stormwater Retention Facility"/>
    <s v="Wet detention pond to reduce the discharge of stormwater runoff into surface waters in the state by complete on-site storage."/>
    <s v="100% On-site Retention"/>
    <x v="0"/>
    <n v="2014"/>
    <n v="42"/>
    <n v="2.4"/>
    <x v="1"/>
    <n v="33.9"/>
    <n v="330000"/>
    <n v="5000"/>
    <s v="City"/>
    <s v="City - $250,000/ SJRWMD - $250,000"/>
    <s v="N/A"/>
    <s v="Structural"/>
    <x v="0"/>
    <s v="North Indian River Lagoon"/>
    <s v="28-22-57 N"/>
    <s v="80-44-38 W"/>
    <s v="Not provided"/>
  </r>
  <r>
    <x v="1"/>
    <s v="N/A"/>
    <s v="CC-07"/>
    <s v="Suntree Baffle Box #1 on 2116 IRD"/>
    <s v="Capture previously untreated runoff."/>
    <s v="Baffle Boxes- Second Generation"/>
    <x v="0"/>
    <n v="2014"/>
    <n v="7"/>
    <n v="0.7"/>
    <x v="1"/>
    <n v="5.9"/>
    <n v="80000"/>
    <n v="3500"/>
    <s v="City"/>
    <s v="City - $40,000"/>
    <s v="N/A"/>
    <s v="Structural"/>
    <x v="0"/>
    <s v="North Indian River Lagoon"/>
    <s v="Not provided"/>
    <s v="Not provided"/>
    <s v="Not provided"/>
  </r>
  <r>
    <x v="1"/>
    <s v="N/A"/>
    <s v="CC-08"/>
    <s v="Street Sweeping"/>
    <s v="Pavement cleaning by sweeping, vacuum, or cleaning."/>
    <s v="Street Sweeping"/>
    <x v="0"/>
    <s v="N/A"/>
    <n v="405"/>
    <n v="260"/>
    <x v="1"/>
    <s v="N/A"/>
    <n v="80000"/>
    <n v="100000"/>
    <s v="City"/>
    <s v="N/A"/>
    <s v="N/A"/>
    <s v="Non-structural"/>
    <x v="0"/>
    <s v="North Indian River Lagoon"/>
    <s v="N/A"/>
    <s v="N/A"/>
    <s v="Not provided"/>
  </r>
  <r>
    <x v="1"/>
    <s v="N/A"/>
    <s v="CC-09"/>
    <s v="Bracco Supplemental Water Supply"/>
    <s v="Joint project with the WWTP to provide reclaimed water."/>
    <s v="Reclaimed Water"/>
    <x v="0"/>
    <n v="2014"/>
    <n v="1102"/>
    <n v="107.6"/>
    <x v="1"/>
    <s v="N/A"/>
    <n v="1200000"/>
    <s v="N/A"/>
    <s v="City"/>
    <s v="City - $250,000"/>
    <s v="N/A"/>
    <s v="Structural"/>
    <x v="0"/>
    <s v="North Indian River Lagoon"/>
    <s v="28-21-49 N"/>
    <s v="80-44-21 W"/>
    <s v="Not provided"/>
  </r>
  <r>
    <x v="1"/>
    <s v="Community Development Block Grant (CDBG)"/>
    <s v="CC-10"/>
    <s v="Diamond Square Stormwater Improvements"/>
    <s v="Retrofit existing storm sewer in Dimond Square, including the construction of a wet detention pond."/>
    <s v="Wet Detention Pond"/>
    <x v="0"/>
    <n v="2011"/>
    <n v="108"/>
    <n v="0"/>
    <x v="1"/>
    <n v="95.4"/>
    <n v="210000"/>
    <n v="2500"/>
    <s v="City"/>
    <s v="City - $450,000"/>
    <s v="N/A"/>
    <s v="Structural"/>
    <x v="0"/>
    <s v="North Indian River Lagoon"/>
    <s v="Not provided"/>
    <s v="Not provided"/>
    <s v="Not provided"/>
  </r>
  <r>
    <x v="1"/>
    <s v="N/A"/>
    <s v="CC-11"/>
    <s v="Education Efforts"/>
    <s v="Fertilizer ordinance."/>
    <s v="Education Efforts"/>
    <x v="0"/>
    <s v="N/A"/>
    <n v="128"/>
    <n v="25.8"/>
    <x v="1"/>
    <s v="N/A"/>
    <s v="N/A"/>
    <s v="N/A"/>
    <s v="City"/>
    <s v="N/A"/>
    <s v="N/A"/>
    <s v="Non-structural"/>
    <x v="4"/>
    <s v="North Indian River Lagoon"/>
    <s v="N/A"/>
    <s v="N/A"/>
    <s v="Not provided"/>
  </r>
  <r>
    <x v="1"/>
    <s v="Space Coast Transportation Planning Organization (SCTPO)/ FDOT"/>
    <s v="CC-12"/>
    <s v="Peachtree St. Reconstruction"/>
    <s v="Roadway and stormwater improvements."/>
    <s v="Stormwater System Rehabilitation"/>
    <x v="0"/>
    <n v="2016"/>
    <s v="TBD"/>
    <s v="TBD"/>
    <x v="1"/>
    <n v="3"/>
    <n v="1700000"/>
    <s v="N/A"/>
    <s v="City/ FDOT"/>
    <s v="City - $161,250/ FDOT - $1,387,500"/>
    <s v="N/A"/>
    <s v="Structural"/>
    <x v="5"/>
    <s v="North Indian River Lagoon"/>
    <s v="28-21-28 N"/>
    <s v="80-44-20 W"/>
    <s v="Not provided"/>
  </r>
  <r>
    <x v="1"/>
    <s v="N/A"/>
    <s v="CC-13"/>
    <s v="Cocoa Riverfront Park"/>
    <s v="Amphitheatre and stormwater improvements. Same as Project Number CC-03 where information is captured. Recommend removing from list."/>
    <s v="Stormwater System Rehabilitation"/>
    <x v="0"/>
    <n v="2016"/>
    <s v="TBD"/>
    <s v="TBD"/>
    <x v="1"/>
    <n v="12"/>
    <n v="162000"/>
    <s v="N/A"/>
    <s v="City"/>
    <s v="N/A"/>
    <s v="N/A"/>
    <s v="Structural"/>
    <x v="5"/>
    <s v="North Indian River Lagoon"/>
    <s v="28-21-15 N"/>
    <s v="80-43-27 W"/>
    <s v="Not provided"/>
  </r>
  <r>
    <x v="1"/>
    <s v="N/A"/>
    <s v="CC-14"/>
    <s v="Control Gate"/>
    <s v="Flood control gate installed at Bracco pond outfall."/>
    <s v="Control Structure"/>
    <x v="0"/>
    <n v="2016"/>
    <s v="TBD"/>
    <s v="TBD"/>
    <x v="1"/>
    <s v="N/A"/>
    <s v="Not provided"/>
    <s v="N/A"/>
    <s v="City"/>
    <s v="City - $50,000"/>
    <s v="N/A"/>
    <s v="Structural"/>
    <x v="5"/>
    <s v="North Indian River Lagoon"/>
    <s v="28-26-06 N"/>
    <s v="80-44-17 W"/>
    <s v="Not provided"/>
  </r>
  <r>
    <x v="1"/>
    <s v="SCTPO/ FDOT"/>
    <s v="CC-15"/>
    <s v="Florida Avenue Improvements"/>
    <s v="Infiltration through pervious pavers and then ultimately to the AT&amp;T pond."/>
    <s v="BMP Treatment Train"/>
    <x v="0"/>
    <n v="2017"/>
    <s v="TBD"/>
    <s v="TBD"/>
    <x v="1"/>
    <n v="6.9"/>
    <n v="3344222"/>
    <n v="1500"/>
    <s v="City/ FDOT"/>
    <s v="City - $2,587,000/ FDOT - $913,000"/>
    <s v="N/A"/>
    <s v="Structural"/>
    <x v="5"/>
    <s v="North Indian River Lagoon"/>
    <n v="28.353297999999999"/>
    <n v="-80.727722999999997"/>
    <s v="2016"/>
  </r>
  <r>
    <x v="1"/>
    <s v="SJRWMD"/>
    <s v="CC-16"/>
    <s v="AT&amp;T Detention Pond Retrofit"/>
    <s v="Incoming inlets will have 2nd generation baffle boxes."/>
    <s v="BMP Treatment Train"/>
    <x v="0"/>
    <n v="2017"/>
    <n v="12.78"/>
    <n v="2.58"/>
    <x v="1"/>
    <n v="14.5"/>
    <n v="297877"/>
    <n v="1500"/>
    <s v="City/ SJRWMD"/>
    <s v="City - $199,578/ SJRWMD - $98,299"/>
    <s v="N/A"/>
    <s v="Structural"/>
    <x v="5"/>
    <s v="North Indian River Lagoon"/>
    <n v="28.351983000000001"/>
    <n v="-80.727380999999994"/>
    <n v="2016"/>
  </r>
  <r>
    <x v="1"/>
    <s v="SJRWMD/ SOIRL"/>
    <s v="CC-17"/>
    <s v="Church Street Baffle Box"/>
    <s v="The goal of this project is to capture and treat stormwater that flows untreated and directly into the Indian River Lagoon."/>
    <s v="Baffle Boxes- Second Generation with Media"/>
    <x v="0"/>
    <n v="2018"/>
    <n v="341.44"/>
    <n v="54.6"/>
    <x v="1"/>
    <n v="75"/>
    <n v="173620"/>
    <n v="1500"/>
    <s v="City/ SJRWMD/ SOIRL"/>
    <s v="City - $116,326/ SJRWMD - $50,000/ SOIRL - $20,000"/>
    <s v="N/A"/>
    <s v="Structural"/>
    <x v="5"/>
    <s v="North Indian River Lagoon"/>
    <s v="28-21-12 N"/>
    <s v="80-43-34 W"/>
    <s v="TBD"/>
  </r>
  <r>
    <x v="1"/>
    <s v="TBD"/>
    <s v="CC-18"/>
    <s v="John Garren Street Realignment &amp; Parking"/>
    <s v="Roadway and stormwater improvements."/>
    <s v="BMP Treatment Train"/>
    <x v="2"/>
    <s v="N/A"/>
    <s v="N/A"/>
    <s v="N/A"/>
    <x v="1"/>
    <s v="N/A"/>
    <s v="N/A"/>
    <s v="N/A"/>
    <s v="N/A"/>
    <s v="N/A"/>
    <s v="N/A"/>
    <s v="Structural"/>
    <x v="5"/>
    <s v="North Indian River Lagoon"/>
    <s v="Not provided"/>
    <s v="Not provided"/>
    <s v="TBD"/>
  </r>
  <r>
    <x v="1"/>
    <s v="TBD"/>
    <s v="CC-19"/>
    <s v="Brevard Ave. Bioretention and Tree Preservation"/>
    <s v="Roadway and stormwater improvements."/>
    <s v="BMP Treatment Train"/>
    <x v="2"/>
    <s v="N/A"/>
    <s v="N/A"/>
    <s v="N/A"/>
    <x v="1"/>
    <s v="N/A"/>
    <s v="N/A"/>
    <s v="N/A"/>
    <s v="N/A"/>
    <s v="N/A"/>
    <s v="N/A"/>
    <s v="Structural"/>
    <x v="5"/>
    <s v="North Indian River Lagoon"/>
    <s v="Not provided"/>
    <s v="Not provided"/>
    <s v="TBD"/>
  </r>
  <r>
    <x v="1"/>
    <s v="TBD"/>
    <s v="CC-20"/>
    <s v="U.S. 1 and Forrest Ave. Stormwater Treatment Facility"/>
    <s v="Develop a dry detention stormwater facility adjacent to U.S. 1."/>
    <s v="Dry Detention Pond"/>
    <x v="1"/>
    <n v="2021"/>
    <s v="TBD"/>
    <s v="TBD"/>
    <x v="1"/>
    <n v="16.39"/>
    <s v="TBD"/>
    <s v="TBD"/>
    <s v="City"/>
    <s v="TBD"/>
    <s v="N/A"/>
    <s v="Structural"/>
    <x v="6"/>
    <s v="North Indian River Lagoon"/>
    <s v="28-22-09 N"/>
    <s v="80-44-04 W"/>
    <n v="2018"/>
  </r>
  <r>
    <x v="1"/>
    <s v="SJRWMD"/>
    <s v="CC-21"/>
    <s v="Broadmoor Acres and Fiske Blvd. Drainage  Improvements"/>
    <s v="Roadway and stormwater improvements."/>
    <s v="Stormwater System Rehabilitation"/>
    <x v="3"/>
    <n v="2020"/>
    <s v="TBD"/>
    <s v="TBD"/>
    <x v="1"/>
    <n v="7"/>
    <s v="TBD"/>
    <s v="TBD"/>
    <s v="City/ SJRWMD"/>
    <s v="TBD"/>
    <s v="TBD"/>
    <s v="Structural"/>
    <x v="7"/>
    <s v="North Indian River Lagoon"/>
    <s v="28-21-44 N"/>
    <s v="80-44-37 W"/>
    <s v="Not provided"/>
  </r>
  <r>
    <x v="1"/>
    <s v="TBD"/>
    <s v="CC-22"/>
    <s v="Cocoa Waterfront Stormwater Study"/>
    <s v="Stormwater Study for the Cocoa waterfront."/>
    <s v="Study"/>
    <x v="0"/>
    <n v="2019"/>
    <s v="N/A"/>
    <s v="N/A"/>
    <x v="1"/>
    <s v="N/A"/>
    <s v="TBD"/>
    <s v="N/A"/>
    <s v="City"/>
    <s v="N/A"/>
    <s v="N/A"/>
    <s v="Non-structural"/>
    <x v="7"/>
    <s v="North Indian River Lagoon"/>
    <s v="N/A"/>
    <s v="N/A"/>
    <n v="2018"/>
  </r>
  <r>
    <x v="1"/>
    <s v="Brevard County"/>
    <s v="CC-23"/>
    <s v="Septic to Sewer Indian River Drive"/>
    <s v="Design and Install new sewer along Indian River to provide sewer service and remove septic tank use."/>
    <s v="OSTDS Phase Out"/>
    <x v="1"/>
    <n v="2021"/>
    <s v="TBD"/>
    <s v="TBD"/>
    <x v="1"/>
    <s v="N/A"/>
    <n v="3000000"/>
    <s v="N/A"/>
    <s v="City/SOIRL Tax"/>
    <s v="N/A"/>
    <s v="N/A"/>
    <s v="Structural"/>
    <x v="2"/>
    <s v="North Indian River Lagoon"/>
    <s v="Not provided"/>
    <s v="Not provided"/>
    <s v="Not provided"/>
  </r>
  <r>
    <x v="1"/>
    <s v="N/A"/>
    <s v="CC-24"/>
    <s v="Annual Sewer Inspection"/>
    <s v="Annual sewer inspection and maintenance."/>
    <s v="Sanitary Sewer Inspections"/>
    <x v="1"/>
    <s v="N/A"/>
    <s v="N/A"/>
    <s v="N/A"/>
    <x v="1"/>
    <s v="N/A"/>
    <s v="N/A"/>
    <n v="335000"/>
    <s v="City"/>
    <s v="N/A"/>
    <s v="N/A"/>
    <s v="Non-structural"/>
    <x v="2"/>
    <s v="North Indian River Lagoon"/>
    <s v="Not provided"/>
    <s v="Not provided"/>
    <s v="Not provided"/>
  </r>
  <r>
    <x v="1"/>
    <s v="N/A"/>
    <s v="CC-25"/>
    <s v="Diamond Square Stormwater PS Feasibility Study"/>
    <s v="PS study for pumping stormwater across US 1 to Church Street baffle box."/>
    <s v="Study"/>
    <x v="1"/>
    <n v="2020"/>
    <s v="N/A"/>
    <s v="N/A"/>
    <x v="1"/>
    <s v="N/A"/>
    <n v="26620"/>
    <s v="N/A"/>
    <s v="City"/>
    <s v="N/A"/>
    <s v="N/A"/>
    <s v="Non-structural"/>
    <x v="2"/>
    <s v="North Indian River Lagoon"/>
    <s v="Not provided"/>
    <s v="Not provided"/>
    <s v="Not provided"/>
  </r>
  <r>
    <x v="2"/>
    <s v="Not provided"/>
    <s v="EW-1"/>
    <s v="Education Efforts"/>
    <s v="FYN; landscape, irrigation, fertilizer, and pet waste ordinances; PSAs; pamphlets; website, Illicit Discharge Program."/>
    <s v="Education Efforts"/>
    <x v="0"/>
    <s v="N/A"/>
    <n v="84"/>
    <n v="11.3"/>
    <x v="0"/>
    <s v="N/A"/>
    <s v="Not provided"/>
    <n v="15000"/>
    <s v="Not provided"/>
    <s v="Not provided"/>
    <s v="N/A"/>
    <s v="Non-structural"/>
    <x v="0"/>
    <s v="North Indian River Lagoon"/>
    <s v="Not provided"/>
    <s v="Not provided"/>
    <s v="Not provided"/>
  </r>
  <r>
    <x v="3"/>
    <s v="N/A"/>
    <s v="MEL-01"/>
    <s v="Fee and Apollo Drainage Improvements"/>
    <s v="No treatment is provided within the existing development; complete a water quality addition."/>
    <s v="Wet Detention Pond"/>
    <x v="0"/>
    <n v="2010"/>
    <n v="28"/>
    <n v="78.8"/>
    <x v="1"/>
    <n v="43.6"/>
    <n v="525161"/>
    <s v="Not provided"/>
    <s v="City"/>
    <s v="Not provided"/>
    <s v="N/A"/>
    <s v="Structural"/>
    <x v="0"/>
    <s v="North Indian River Lagoon"/>
    <n v="28.082322999999999"/>
    <n v="-80.617699000000002"/>
    <s v="Not provided"/>
  </r>
  <r>
    <x v="3"/>
    <s v="N/A"/>
    <s v="MEL-02"/>
    <s v="Dove Street Pond"/>
    <s v="No treatment is provided within the existing development; complete a water quality addition."/>
    <s v="Wet Detention Pond"/>
    <x v="0"/>
    <n v="2003"/>
    <n v="69"/>
    <n v="31.3"/>
    <x v="1"/>
    <n v="14.9"/>
    <n v="156164"/>
    <s v="Not provided"/>
    <s v="City"/>
    <s v="Not provided"/>
    <s v="N/A"/>
    <s v="Structural"/>
    <x v="0"/>
    <s v="North Indian River Lagoon"/>
    <n v="28.141853000000001"/>
    <n v="-80.636156999999997"/>
    <s v="Not provided"/>
  </r>
  <r>
    <x v="3"/>
    <s v="N/A"/>
    <s v="MEL-03"/>
    <s v="Charles Drive Pipe Replacement"/>
    <s v="Replaced failing stormwater pipe and created wet detention pond; little to no treatment is provided within existing developments."/>
    <s v="Wet Detention Pond"/>
    <x v="0"/>
    <n v="2010"/>
    <n v="183"/>
    <n v="161.6"/>
    <x v="1"/>
    <n v="143.30000000000001"/>
    <n v="462644"/>
    <s v="Not provided"/>
    <s v="City"/>
    <s v="Not provided"/>
    <s v="N/A"/>
    <s v="Structural"/>
    <x v="0"/>
    <s v="North Indian River Lagoon"/>
    <n v="28.109914"/>
    <n v="-80.626047999999997"/>
    <s v="Not provided"/>
  </r>
  <r>
    <x v="3"/>
    <s v="N/A"/>
    <s v="MEL-04"/>
    <s v="Wickham Park Pond"/>
    <s v="Ponds along with piping upgrades help eliminate flooding within the area along with treatment."/>
    <s v="Wet Detention Pond"/>
    <x v="0"/>
    <n v="2004"/>
    <n v="627"/>
    <n v="248.3"/>
    <x v="1"/>
    <n v="1796.9"/>
    <n v="250000"/>
    <s v="Not provided"/>
    <s v="City"/>
    <s v="City - $250,000"/>
    <s v="N/A"/>
    <s v="Structural"/>
    <x v="0"/>
    <s v="North Indian River Lagoon"/>
    <n v="28.157971"/>
    <n v="-80.656353999999993"/>
    <s v="Not provided"/>
  </r>
  <r>
    <x v="3"/>
    <s v="N/A"/>
    <s v="MEL-05"/>
    <s v="Babcock Street Realignment"/>
    <s v="Additional treatment was provided for the adjacent drainage basins."/>
    <s v="On-line Retention BMPs"/>
    <x v="0"/>
    <n v="2005"/>
    <n v="163"/>
    <n v="41.9"/>
    <x v="1"/>
    <n v="42.3"/>
    <n v="1757186"/>
    <s v="Not provided"/>
    <s v="City"/>
    <s v="Not provided"/>
    <s v="N/A"/>
    <s v="Structural"/>
    <x v="0"/>
    <s v="North Indian River Lagoon"/>
    <n v="28.114015999999999"/>
    <n v="-80.622285000000005"/>
    <s v="Not provided"/>
  </r>
  <r>
    <x v="3"/>
    <s v="N/A"/>
    <s v="MEL-06"/>
    <s v="Garfield Street Ponds - Lot 12 (North)"/>
    <s v="Two small dry detention ponds within an existing subdivision (with MEL-7)."/>
    <s v="Dry Detention Pond"/>
    <x v="2"/>
    <s v="N/A"/>
    <s v="N/A"/>
    <s v="N/A"/>
    <x v="1"/>
    <s v="N/A"/>
    <s v="N/A"/>
    <s v="N/A"/>
    <s v="N/A"/>
    <s v="N/A"/>
    <s v="N/A"/>
    <s v="Structural"/>
    <x v="0"/>
    <s v="North Indian River Lagoon"/>
    <s v="N/A"/>
    <s v="N/A"/>
    <s v="N/A"/>
  </r>
  <r>
    <x v="3"/>
    <s v="N/A"/>
    <s v="MEL-07"/>
    <s v="Garfield Street Ponds - Lot 24 (South)"/>
    <s v="Two small dry detention ponds within an existing subdivision (with MEL-6)."/>
    <s v="Dry Detention Pond"/>
    <x v="2"/>
    <s v="N/A"/>
    <s v="N/A"/>
    <s v="N/A"/>
    <x v="1"/>
    <s v="N/A"/>
    <s v="N/A"/>
    <s v="N/A"/>
    <s v="N/A"/>
    <s v="N/A"/>
    <s v="N/A"/>
    <s v="Structural"/>
    <x v="0"/>
    <s v="North Indian River Lagoon"/>
    <s v="N/A"/>
    <s v="N/A"/>
    <s v="N/A"/>
  </r>
  <r>
    <x v="3"/>
    <s v="N/A"/>
    <s v="MEL-08"/>
    <s v="Education Efforts"/>
    <s v="Irrigation, fertilizer, pet waste management, and landscaping ordinances; pamphlets, presentations, website, Illicit Discharge Program."/>
    <s v="Education Efforts"/>
    <x v="0"/>
    <s v="N/A"/>
    <n v="2583"/>
    <n v="587.20000000000005"/>
    <x v="1"/>
    <s v="N/A"/>
    <s v="Not provided"/>
    <s v="Not provided"/>
    <s v="City"/>
    <s v="Not provided"/>
    <s v="N/A"/>
    <s v="Non-structural"/>
    <x v="0"/>
    <s v="North Indian River Lagoon"/>
    <s v="N/A"/>
    <s v="N/A"/>
    <s v="Not provided"/>
  </r>
  <r>
    <x v="3"/>
    <s v="N/A"/>
    <s v="MEL-09"/>
    <s v="Street Sweeping"/>
    <s v="Street sweeping in the basin and debris removal."/>
    <s v="Street Sweeping"/>
    <x v="0"/>
    <s v="N/A"/>
    <n v="701"/>
    <n v="378"/>
    <x v="1"/>
    <s v="N/A"/>
    <s v="N/A"/>
    <n v="162500"/>
    <s v="City"/>
    <s v="Not provided"/>
    <s v="N/A"/>
    <s v="Non-structural"/>
    <x v="0"/>
    <s v="North Indian River Lagoon"/>
    <s v="N/A"/>
    <s v="N/A"/>
    <s v="Not provided"/>
  </r>
  <r>
    <x v="3"/>
    <s v="DEP"/>
    <s v="MEL-10"/>
    <s v="Autumn Woods"/>
    <s v="Construction of a wet detention pond for water quality treatment."/>
    <s v="Wet Detention Pond"/>
    <x v="0"/>
    <n v="2016"/>
    <n v="315"/>
    <n v="135"/>
    <x v="1"/>
    <n v="56.909561379078809"/>
    <n v="879220"/>
    <s v="Not provided"/>
    <s v="City/ DEP"/>
    <s v="Not provided"/>
    <s v="LP05094"/>
    <s v="Structural"/>
    <x v="0"/>
    <s v="North Indian River Lagoon"/>
    <s v="80°38'35&quot;W"/>
    <s v="28°7'16&quot;N"/>
    <n v="2017"/>
  </r>
  <r>
    <x v="3"/>
    <s v="N/A"/>
    <s v="MEL-11"/>
    <s v="Participation in FYN"/>
    <s v="Future participation in FYN Program."/>
    <s v="Education Efforts"/>
    <x v="0"/>
    <s v="N/A"/>
    <n v="2583"/>
    <n v="587.20000000000005"/>
    <x v="1"/>
    <s v="N/A"/>
    <s v="Not provided"/>
    <s v="Not provided"/>
    <s v="City"/>
    <s v="Not provided"/>
    <s v="N/A"/>
    <s v="Non-structural"/>
    <x v="0"/>
    <s v="North Indian River Lagoon"/>
    <s v="N/A"/>
    <s v="N/A"/>
    <s v="Not provided"/>
  </r>
  <r>
    <x v="3"/>
    <s v="DEP"/>
    <s v="MEL-12"/>
    <s v="South Croton Baffle Box"/>
    <s v="Dry retention and baffle box."/>
    <s v="BMP Treatment Train"/>
    <x v="0"/>
    <n v="2017"/>
    <n v="133"/>
    <n v="32"/>
    <x v="1"/>
    <n v="14.8"/>
    <n v="487296"/>
    <s v="Not provided"/>
    <s v="City/ DEP"/>
    <n v="191100"/>
    <s v="LP05092"/>
    <s v="Structural"/>
    <x v="1"/>
    <s v="North Indian River Lagoon"/>
    <s v="80°39'17&quot;W"/>
    <s v="28°6'51&quot;N"/>
    <n v="2016"/>
  </r>
  <r>
    <x v="3"/>
    <s v="DEP"/>
    <s v="MEL-13"/>
    <s v="Bell Street Baffle Box"/>
    <s v="Construction of a new baffle box."/>
    <s v="Baffle Boxes- Second Generation with Media"/>
    <x v="0"/>
    <n v="2017"/>
    <n v="1877"/>
    <n v="467"/>
    <x v="1"/>
    <n v="127.2"/>
    <n v="300000"/>
    <s v="Not provided"/>
    <s v="City/ DEP"/>
    <n v="517050"/>
    <s v="LP05093"/>
    <s v="Structural"/>
    <x v="1"/>
    <s v="North Indian River Lagoon"/>
    <s v="80°38'55&quot;W"/>
    <s v="28°7'19&quot;N"/>
    <n v="2016"/>
  </r>
  <r>
    <x v="3"/>
    <s v="N/A"/>
    <s v="MEL-14"/>
    <s v="Paradise Baffle Box"/>
    <s v="Retrofit existing baffle box to upgrade to second generation."/>
    <s v="Baffle Boxes- Second Generation with Media"/>
    <x v="0"/>
    <n v="2016"/>
    <n v="125.57"/>
    <n v="17.09"/>
    <x v="1"/>
    <n v="125.6"/>
    <n v="19000"/>
    <s v="Not provided"/>
    <s v="City"/>
    <s v="City - $19,000"/>
    <s v="N/A"/>
    <s v="Structural"/>
    <x v="1"/>
    <s v="North Indian River Lagoon"/>
    <s v="80°35'15&quot;W"/>
    <s v="28°7'16&quot;N"/>
    <n v="2016"/>
  </r>
  <r>
    <x v="3"/>
    <s v="DEP"/>
    <s v="MEL-15"/>
    <s v="Garfield North Baffle Box"/>
    <s v="Construction of a new baffle box."/>
    <s v="Baffle Boxes- Second Generation with Media"/>
    <x v="0"/>
    <n v="2017"/>
    <n v="993"/>
    <n v="244"/>
    <x v="1"/>
    <n v="67"/>
    <n v="350000"/>
    <s v="Not provided"/>
    <s v="City/ DEP"/>
    <s v="Not provided"/>
    <s v="LP05093"/>
    <s v="Structural"/>
    <x v="1"/>
    <s v="North Indian River Lagoon"/>
    <s v="80°38'58&quot;W"/>
    <s v="28°7'34&quot;N"/>
    <n v="2016"/>
  </r>
  <r>
    <x v="3"/>
    <s v="DEP"/>
    <s v="MEL-16"/>
    <s v="Garfield South Baffle Box"/>
    <s v="Construction of a new baffle box."/>
    <s v="Baffle Boxes- Second Generation with Media"/>
    <x v="0"/>
    <n v="2017"/>
    <n v="176"/>
    <n v="43"/>
    <x v="1"/>
    <n v="11.8"/>
    <n v="150000"/>
    <s v="Not provided"/>
    <s v="City/ DEP"/>
    <s v="Not provided"/>
    <s v="LP05093"/>
    <s v="Structural"/>
    <x v="1"/>
    <s v="North Indian River Lagoon"/>
    <s v="80°38'55&quot;W"/>
    <s v="28°7'25&quot;N"/>
    <n v="2016"/>
  </r>
  <r>
    <x v="3"/>
    <s v="DEP"/>
    <s v="MEL-17"/>
    <s v="Sherwood Stormwater Quality Project"/>
    <s v="Construction of a new wet detention pond for a subdivision without any treatment."/>
    <s v="Wet Detention Pond"/>
    <x v="1"/>
    <n v="2020"/>
    <s v="TBD"/>
    <s v="TBD"/>
    <x v="1"/>
    <n v="246.1713603778675"/>
    <n v="2168800"/>
    <s v="Not provided"/>
    <s v="City/ DEP"/>
    <n v="400000"/>
    <s v="NS013"/>
    <s v="Structural"/>
    <x v="5"/>
    <s v="North Indian River Lagoon"/>
    <s v="80°39'17&quot;W"/>
    <s v="28°10'36&quot;N"/>
    <n v="2016"/>
  </r>
  <r>
    <x v="3"/>
    <s v="SJRWMD"/>
    <s v="MEL-18"/>
    <s v="Croton Road (Lime) Baffle Box"/>
    <s v="Installation of baffle box."/>
    <s v="Baffle Boxes- Second Generation with Media"/>
    <x v="0"/>
    <n v="2016"/>
    <n v="149"/>
    <n v="35"/>
    <x v="1"/>
    <n v="70"/>
    <n v="260660"/>
    <s v="Not provided"/>
    <s v="City/ SJRWMD"/>
    <n v="72752"/>
    <s v="Not provided"/>
    <s v="Structural"/>
    <x v="5"/>
    <s v="North Indian River Lagoon"/>
    <n v="-80.654976000000005"/>
    <n v="28.132553000000001"/>
    <n v="2016"/>
  </r>
  <r>
    <x v="3"/>
    <s v="N/A"/>
    <s v="MEL-19"/>
    <s v="Young Street Existing Baffle Box Upgrade"/>
    <s v="Upgrade existing 1st generation baffle boxes to 2nd generation baffle boxes with BAM."/>
    <s v="Baffle Boxes- Second Generation with Media"/>
    <x v="0"/>
    <n v="2016"/>
    <n v="39.299999999999997"/>
    <n v="4.6500000000000004"/>
    <x v="1"/>
    <n v="7.04"/>
    <n v="20000"/>
    <s v="Not provided"/>
    <s v="City"/>
    <s v="City - $20,000"/>
    <s v="N/A"/>
    <s v="Structural"/>
    <x v="5"/>
    <s v="North Indian River Lagoon"/>
    <s v="80°37'39&quot;W"/>
    <s v="28°7'35&quot;N"/>
    <n v="2016"/>
  </r>
  <r>
    <x v="3"/>
    <s v="SOIRL"/>
    <s v="MEL-20"/>
    <s v="Thrush Drive Baffle Box"/>
    <s v="Baffle Box - 2nd generation with media filter."/>
    <s v="Baffle Boxes- Second Generation with Media"/>
    <x v="1"/>
    <s v="TBD"/>
    <s v="TBD"/>
    <s v="TBD"/>
    <x v="1"/>
    <n v="422"/>
    <n v="450000"/>
    <s v="Not provided"/>
    <s v="City/ SOIRL"/>
    <n v="322200"/>
    <s v="N/A"/>
    <s v="Structural"/>
    <x v="6"/>
    <s v="North Indian River Lagoon"/>
    <n v="28.156099999999999"/>
    <n v="-80.650400000000005"/>
    <n v="2018"/>
  </r>
  <r>
    <x v="3"/>
    <s v="SOIRL"/>
    <s v="MEL-21"/>
    <s v="Cliff Creek Baffle Box"/>
    <s v="Baffle Box - 2nd generation with media filter."/>
    <s v="Baffle Boxes- Second Generation with Media"/>
    <x v="1"/>
    <s v="TBD"/>
    <s v="TBD"/>
    <s v="TBD"/>
    <x v="1"/>
    <n v="515"/>
    <n v="450000"/>
    <s v="Not provided"/>
    <s v="City/ SOIRL"/>
    <n v="347781"/>
    <s v="N/A"/>
    <s v="Structural"/>
    <x v="6"/>
    <s v="North Indian River Lagoon"/>
    <n v="28.144400000000001"/>
    <n v="-80.634900000000002"/>
    <n v="2016"/>
  </r>
  <r>
    <x v="3"/>
    <s v="SOIRL"/>
    <s v="MEL-22"/>
    <s v="Riverside Drive Septic to Sewer Conversion"/>
    <s v="Providing for 12 lots to be converted to municipal sewer."/>
    <s v="Wastewater Service Area Expansion"/>
    <x v="1"/>
    <s v="TBD"/>
    <s v="TBD"/>
    <s v="TBD"/>
    <x v="1"/>
    <s v="TBD"/>
    <n v="215000"/>
    <s v="Not provided"/>
    <s v="City/ SOIRL"/>
    <n v="265960"/>
    <s v="N/A"/>
    <s v="Structural"/>
    <x v="6"/>
    <s v="North Indian River Lagoon"/>
    <n v="28.1691"/>
    <n v="-80.645099999999999"/>
    <n v="2016"/>
  </r>
  <r>
    <x v="3"/>
    <s v="SOIRL"/>
    <s v="MEL-23"/>
    <s v="Leewood Forest Wetland and Baffle Box"/>
    <s v="The proposed project consists of construction a wetland treatment area and baffle box to provide stormwater quality treatment."/>
    <s v="Wetland Treatment"/>
    <x v="3"/>
    <s v="TBD"/>
    <s v="TBD"/>
    <s v="TBD"/>
    <x v="1"/>
    <n v="149.5"/>
    <n v="2590000"/>
    <s v="Not provided"/>
    <s v="City/ SOIRL"/>
    <s v="TBD"/>
    <s v="N/A"/>
    <s v="Structural"/>
    <x v="6"/>
    <s v="North Indian River Lagoon"/>
    <n v="28.134799999999998"/>
    <n v="-80.664900000000003"/>
    <s v="TBD"/>
  </r>
  <r>
    <x v="3"/>
    <s v="N/A"/>
    <s v="MEL-24"/>
    <s v="South Sarno Drainage Improvements"/>
    <s v="Retrofit existing ditch system to include dry detention shelves."/>
    <s v="Dry Detention Pond"/>
    <x v="0"/>
    <n v="2015"/>
    <s v="TBD"/>
    <s v="TBD"/>
    <x v="1"/>
    <n v="1475"/>
    <n v="2227000"/>
    <s v="Not provided"/>
    <s v="City"/>
    <s v="City - $2,227,000"/>
    <s v="N/A"/>
    <s v="Structural"/>
    <x v="6"/>
    <s v="North Indian River Lagoon"/>
    <s v="28°6'50&quot;"/>
    <s v="-80°38'12&quot;"/>
    <n v="2017"/>
  </r>
  <r>
    <x v="3"/>
    <s v="N/A"/>
    <s v="MEL-25"/>
    <s v="Sarno Road Turn Lane"/>
    <s v="Dry detention above needs for turn lane construction."/>
    <s v="Dry Detention Pond"/>
    <x v="0"/>
    <n v="2018"/>
    <n v="31"/>
    <n v="6"/>
    <x v="1"/>
    <n v="6.79"/>
    <n v="560000"/>
    <s v="Not provided"/>
    <s v="City"/>
    <s v="City - $560,000"/>
    <s v="N/A"/>
    <s v="Structural"/>
    <x v="6"/>
    <s v="North Indian River Lagoon"/>
    <s v="28°7'17&quot;"/>
    <s v="-80°37'53&quot;"/>
    <n v="2017"/>
  </r>
  <r>
    <x v="3"/>
    <s v="SOIRL"/>
    <s v="MEL-26"/>
    <s v="Apollo/GA Baffle Box"/>
    <s v="2nd generation baffle box with BAM."/>
    <s v="Baffle Boxes- Second Generation with Media"/>
    <x v="3"/>
    <n v="2019"/>
    <s v="TBD"/>
    <s v="TBD"/>
    <x v="1"/>
    <n v="854"/>
    <n v="825000"/>
    <s v="Not provided"/>
    <s v="City/ SOIRL"/>
    <n v="297522"/>
    <s v="N/A"/>
    <s v="Structural"/>
    <x v="6"/>
    <s v="North Indian River Lagoon"/>
    <s v="28°6'45&quot;"/>
    <s v="-80°38'1&quot;"/>
    <n v="2019"/>
  </r>
  <r>
    <x v="3"/>
    <s v="SOIRL"/>
    <s v="MEL-27"/>
    <s v="Stewart Road WQ Project"/>
    <s v="Installation of BAM filter box on existing culvert."/>
    <s v="Biosorption Activated Media (BAM)"/>
    <x v="3"/>
    <n v="2020"/>
    <s v="TBD"/>
    <s v="TBD"/>
    <x v="1"/>
    <n v="36"/>
    <n v="435000"/>
    <s v="Not provided"/>
    <s v="City/ SOIRL"/>
    <n v="18344"/>
    <s v="N/A"/>
    <s v="Structural"/>
    <x v="6"/>
    <s v="North Indian River Lagoon"/>
    <s v="28°8'50&quot;"/>
    <s v="-80°38'49&quot;"/>
    <n v="2020"/>
  </r>
  <r>
    <x v="3"/>
    <s v="SOIRL"/>
    <s v="MEL-28"/>
    <s v="Cherry Street Baffle Box"/>
    <s v="2nd generation baffle box with BAM."/>
    <s v="Baffle Boxes- Second Generation with Media"/>
    <x v="1"/>
    <n v="2020"/>
    <s v="TBD"/>
    <s v="TBD"/>
    <x v="1"/>
    <n v="1307"/>
    <n v="550000"/>
    <s v="Not provided"/>
    <s v="City/ SOIRL"/>
    <n v="92120"/>
    <s v="N/A"/>
    <s v="Structural"/>
    <x v="7"/>
    <s v="North Indian River Lagoon"/>
    <s v="Not provided"/>
    <s v="Not provided"/>
    <s v="Not provided"/>
  </r>
  <r>
    <x v="3"/>
    <s v="SOIRL"/>
    <s v="MEL-29"/>
    <s v="Spring Creek Baffle Box"/>
    <s v="2nd generation baffle box with BAM."/>
    <s v="Baffle Boxes- Second Generation with Media"/>
    <x v="1"/>
    <n v="2020"/>
    <s v="TBD"/>
    <s v="TBD"/>
    <x v="1"/>
    <n v="110"/>
    <n v="450000"/>
    <s v="Not provided"/>
    <s v="City/ SOIRL"/>
    <n v="99358"/>
    <s v="N/A"/>
    <s v="Structural"/>
    <x v="7"/>
    <s v="North Indian River Lagoon"/>
    <s v="Not provided"/>
    <s v="Not provided"/>
    <s v="Not provided"/>
  </r>
  <r>
    <x v="3"/>
    <s v="SOIRL"/>
    <s v="MEL-30"/>
    <s v="Brevard County Partnership Projects"/>
    <s v="Project approved by the SOIRL Project Plan not built by the City of Melbourne."/>
    <s v="BMP Treatment Train"/>
    <x v="1"/>
    <s v="TBD"/>
    <s v="TBD"/>
    <s v="TBD"/>
    <x v="1"/>
    <s v="TBD"/>
    <s v="TBD"/>
    <s v="N/A"/>
    <s v="SOIRL"/>
    <s v="TBD"/>
    <s v="N/A"/>
    <s v="Structural"/>
    <x v="7"/>
    <s v="North Indian River Lagoon"/>
    <s v="Not provided"/>
    <s v="Not provided"/>
    <s v="Not provided"/>
  </r>
  <r>
    <x v="3"/>
    <s v="SOIRL/ SRF Loan"/>
    <s v="MEL-31"/>
    <s v="Grant Street Water Reclamation Facility Improvements"/>
    <s v="Improvements include rehabilitation of major treatment elements and structures of facility."/>
    <s v="WWTF Nutrient Reduction"/>
    <x v="3"/>
    <s v="TBD"/>
    <s v="TBD"/>
    <s v="TBD"/>
    <x v="1"/>
    <s v="TBD"/>
    <n v="10038000"/>
    <s v="Not provided"/>
    <s v="City/ SOIRL/ SRF"/>
    <n v="5415600"/>
    <s v="N/A"/>
    <s v="Structural"/>
    <x v="2"/>
    <s v="North Indian River Lagoon"/>
    <s v="N/A"/>
    <s v="N/A"/>
    <s v="N/A"/>
  </r>
  <r>
    <x v="3"/>
    <s v="TBD"/>
    <s v="MEL-32"/>
    <s v="Dove Street Pond Retrofit"/>
    <s v="Retrofting of existing pond to enhance treatment potential."/>
    <s v="BMP Treatment Train"/>
    <x v="3"/>
    <s v="TBD"/>
    <s v="TBD"/>
    <s v="TBD"/>
    <x v="1"/>
    <s v="TBD"/>
    <s v="TBD"/>
    <s v="Not provided"/>
    <s v="TBD"/>
    <s v="TBD"/>
    <s v="N/A"/>
    <s v="Structural"/>
    <x v="2"/>
    <s v="North Indian River Lagoon"/>
    <s v="N/A"/>
    <s v="N/A"/>
    <s v="N/A"/>
  </r>
  <r>
    <x v="3"/>
    <s v="TBD"/>
    <s v="MEL-33"/>
    <s v="Melbourne Cemetery Baffle Box"/>
    <s v="2nd generation baffle box with BAM."/>
    <s v="Baffle Boxes- Second Generation with Media"/>
    <x v="3"/>
    <s v="TBD"/>
    <s v="TBD"/>
    <s v="TBD"/>
    <x v="1"/>
    <s v="TBD"/>
    <s v="TBD"/>
    <s v="Not provided"/>
    <s v="TBD"/>
    <s v="TBD"/>
    <s v="N/A"/>
    <s v="Structural"/>
    <x v="2"/>
    <s v="North Indian River Lagoon"/>
    <s v="N/A"/>
    <s v="N/A"/>
    <s v="N/A"/>
  </r>
  <r>
    <x v="3"/>
    <s v="TBD"/>
    <s v="MEL-34"/>
    <s v="Funeral Home Baffle Box"/>
    <s v="2nd generation baffle box with BAM."/>
    <s v="Baffle Boxes- Second Generation with Media"/>
    <x v="3"/>
    <s v="TBD"/>
    <s v="TBD"/>
    <s v="TBD"/>
    <x v="1"/>
    <s v="TBD"/>
    <s v="TBD"/>
    <s v="Not provided"/>
    <s v="TBD"/>
    <s v="TBD"/>
    <s v="N/A"/>
    <s v="Structural"/>
    <x v="2"/>
    <s v="North Indian River Lagoon"/>
    <s v="N/A"/>
    <s v="N/A"/>
    <s v="N/A"/>
  </r>
  <r>
    <x v="3"/>
    <s v="TBD"/>
    <s v="MEL-35"/>
    <s v="Melbourne High Baffle Box"/>
    <s v="2nd generation baffle box with BAM."/>
    <s v="Baffle Boxes- Second Generation with Media"/>
    <x v="3"/>
    <s v="TBD"/>
    <s v="TBD"/>
    <s v="TBD"/>
    <x v="1"/>
    <s v="TBD"/>
    <s v="TBD"/>
    <s v="Not provided"/>
    <s v="TBD"/>
    <s v="TBD"/>
    <s v="N/A"/>
    <s v="Structural"/>
    <x v="2"/>
    <s v="North Indian River Lagoon"/>
    <s v="N/A"/>
    <s v="N/A"/>
    <s v="N/A"/>
  </r>
  <r>
    <x v="4"/>
    <s v="SOIRL"/>
    <s v="ROCK-01"/>
    <s v="Orange Avenue Baffle Box"/>
    <s v="The second generation (nutrient separating) baffle box includes a wire mesh box that captures vegetative debris, litter, and other materials from settling in the water in the bottom of the box, thereby preventing leaching of the nutrients."/>
    <s v="Baffle Boxes- Second Generation"/>
    <x v="0"/>
    <n v="2009"/>
    <n v="16"/>
    <n v="2.2999999999999998"/>
    <x v="1"/>
    <n v="10.4"/>
    <n v="8600"/>
    <n v="2555"/>
    <s v="Not provided"/>
    <s v="Not provided"/>
    <s v="N/A"/>
    <s v="Structural"/>
    <x v="0"/>
    <s v="North Indian River Lagoon"/>
    <s v="Not provided"/>
    <s v="Not provided"/>
    <s v="Not provided"/>
  </r>
  <r>
    <x v="4"/>
    <s v="SOIRL"/>
    <s v="ROCK-02"/>
    <s v="Barton Avenue Baffle Box"/>
    <s v="The second generation (nutrient separating) baffle box includes a wire mesh box that captures vegetative debris, litter, and other materials from settling in the water in the bottom of the box, thereby preventing leaching of the nutrients."/>
    <s v="Baffle Boxes- Second Generation"/>
    <x v="0"/>
    <n v="2009"/>
    <n v="35"/>
    <n v="4.9000000000000004"/>
    <x v="1"/>
    <n v="27.1"/>
    <n v="9350"/>
    <n v="2555"/>
    <s v="Not provided"/>
    <s v="Not provided"/>
    <s v="N/A"/>
    <s v="Structural"/>
    <x v="0"/>
    <s v="North Indian River Lagoon"/>
    <s v="Not provided"/>
    <s v="Not provided"/>
    <s v="Not provided"/>
  </r>
  <r>
    <x v="4"/>
    <s v="Not provided"/>
    <s v="ROCK-03"/>
    <s v="Hardee Circle Baffle Box"/>
    <s v="The second generation (nutrient separating) baffle box includes a wire mesh box that captures vegetative debris, litter, and other materials from settling in the water in the bottom of the box, thereby preventing leaching of the nutrients."/>
    <s v="Baffle Boxes- Second Generation"/>
    <x v="0"/>
    <n v="2009"/>
    <n v="16"/>
    <n v="1.8"/>
    <x v="1"/>
    <n v="14.5994778587876"/>
    <n v="43420"/>
    <n v="2555"/>
    <s v="Not provided"/>
    <s v="Not provided"/>
    <s v="N/A"/>
    <s v="Structural"/>
    <x v="0"/>
    <s v="North Indian River Lagoon"/>
    <s v="Not provided"/>
    <s v="Not provided"/>
    <s v="Not provided"/>
  </r>
  <r>
    <x v="4"/>
    <s v="Not provided"/>
    <s v="ROCK-04"/>
    <s v="Rockledge Avenue Baffle Box"/>
    <s v="The second generation (nutrient separating) baffle box includes a wire mesh box that captures vegetative debris, litter, and other materials from settling in the water in the bottom of the box, thereby preventing leaching of the nutrients."/>
    <s v="Baffle Boxes- Second Generation"/>
    <x v="0"/>
    <n v="2004"/>
    <n v="73"/>
    <n v="13.5"/>
    <x v="1"/>
    <n v="40.973816420750424"/>
    <n v="21448"/>
    <n v="3682"/>
    <s v="Not provided"/>
    <s v="Not provided"/>
    <s v="N/A"/>
    <s v="Structural"/>
    <x v="0"/>
    <s v="North Indian River Lagoon"/>
    <s v="Not provided"/>
    <s v="Not provided"/>
    <s v="Not provided"/>
  </r>
  <r>
    <x v="4"/>
    <s v="Not provided"/>
    <s v="ROCK-05"/>
    <s v="Bougainvillea Drive Baffle Box"/>
    <s v="The second generation (nutrient separating) baffle box includes a wire mesh box that captures vegetative debris, litter, and other materials from settling in the water in the bottom of the box, thereby preventing leaching of the nutrients."/>
    <s v="Baffle Boxes- Second Generation"/>
    <x v="0"/>
    <n v="2000"/>
    <n v="104"/>
    <n v="17.7"/>
    <x v="1"/>
    <n v="35.739179351579295"/>
    <n v="29495"/>
    <n v="2566"/>
    <s v="Not provided"/>
    <s v="Not provided"/>
    <s v="N/A"/>
    <s v="Structural"/>
    <x v="0"/>
    <s v="North Indian River Lagoon"/>
    <s v="Not provided"/>
    <s v="Not provided"/>
    <s v="Not provided"/>
  </r>
  <r>
    <x v="4"/>
    <s v="Not provided"/>
    <s v="ROCK-06"/>
    <s v="Park Avenue Baffle Box"/>
    <s v="The second generation (nutrient separating) baffle box includes a wire mesh box that captures vegetative debris, litter, and other materials from settling in the water in the bottom of the box, thereby preventing leaching of the nutrients."/>
    <s v="Baffle Boxes- Second Generation"/>
    <x v="0"/>
    <n v="2007"/>
    <n v="17"/>
    <n v="2"/>
    <x v="1"/>
    <n v="13.182457592484651"/>
    <n v="52529"/>
    <n v="2555"/>
    <s v="Not provided"/>
    <s v="Not provided"/>
    <s v="N/A"/>
    <s v="Structural"/>
    <x v="0"/>
    <s v="North Indian River Lagoon"/>
    <s v="Not provided"/>
    <s v="Not provided"/>
    <s v="Not provided"/>
  </r>
  <r>
    <x v="4"/>
    <s v="Not provided"/>
    <s v="ROCK-07"/>
    <s v="Little John Lane Baffle Box"/>
    <s v="The second generation (nutrient separating) baffle box includes a wire mesh box that captures vegetative debris, litter, and other materials from settling in the water in the bottom of the box, thereby preventing leaching of the nutrients."/>
    <s v="Baffle Boxes- Second Generation"/>
    <x v="0"/>
    <n v="2004"/>
    <n v="16"/>
    <n v="1.9"/>
    <x v="1"/>
    <n v="11.869761643550452"/>
    <n v="60000"/>
    <n v="2555"/>
    <s v="Not provided"/>
    <s v="Not provided"/>
    <s v="N/A"/>
    <s v="Structural"/>
    <x v="0"/>
    <s v="North Indian River Lagoon"/>
    <s v="Not provided"/>
    <s v="Not provided"/>
    <s v="Not provided"/>
  </r>
  <r>
    <x v="4"/>
    <s v="Not provided"/>
    <s v="ROCK-08"/>
    <s v="Fernwood Drive Baffle Box"/>
    <s v="The second generation (nutrient separating) baffle box includes a wire mesh box that captures vegetative debris, litter, and other materials from settling in the water in the bottom of the box, thereby preventing leaching of the nutrients."/>
    <s v="Baffle Boxes- Second Generation"/>
    <x v="0"/>
    <s v="Prior to 2013"/>
    <n v="14"/>
    <n v="1.6"/>
    <x v="1"/>
    <n v="12.880904086636283"/>
    <n v="55750"/>
    <s v="Not provided"/>
    <s v="Not provided"/>
    <s v="Not provided"/>
    <s v="N/A"/>
    <s v="Structural"/>
    <x v="0"/>
    <s v="North Indian River Lagoon"/>
    <s v="Not provided"/>
    <s v="Not provided"/>
    <s v="Not provided"/>
  </r>
  <r>
    <x v="4"/>
    <s v="Not provided"/>
    <s v="ROCK-09"/>
    <s v="Valencia Drive Baffle Box"/>
    <s v="The second generation (nutrient separating) baffle box includes a wire mesh box that captures vegetative debris, litter, and other materials from settling in the water in the bottom of the box, thereby preventing leaching of the nutrients."/>
    <s v="Baffle Boxes- Second Generation"/>
    <x v="0"/>
    <n v="2008"/>
    <n v="38"/>
    <n v="5.8"/>
    <x v="1"/>
    <n v="22.878503267697543"/>
    <n v="58960"/>
    <n v="2555"/>
    <s v="Not provided"/>
    <s v="Not provided"/>
    <s v="N/A"/>
    <s v="Structural"/>
    <x v="0"/>
    <s v="North Indian River Lagoon"/>
    <s v="Not provided"/>
    <s v="Not provided"/>
    <s v="Not provided"/>
  </r>
  <r>
    <x v="4"/>
    <s v="Not provided"/>
    <s v="ROCK-10"/>
    <s v="Knollwood Baffle Box"/>
    <s v="The second generation (nutrient separating) baffle box includes a wire mesh box that captures vegetative debris, litter, and other materials from settling in the water in the bottom of the box, thereby preventing leaching of the nutrients."/>
    <s v="Baffle Boxes- Second Generation"/>
    <x v="0"/>
    <n v="2002"/>
    <n v="26"/>
    <n v="3"/>
    <x v="1"/>
    <n v="24.3"/>
    <n v="68248"/>
    <n v="3682"/>
    <s v="Not provided"/>
    <s v="Not provided"/>
    <s v="N/A"/>
    <s v="Structural"/>
    <x v="0"/>
    <s v="North Indian River Lagoon"/>
    <s v="Not provided"/>
    <s v="Not provided"/>
    <s v="Not provided"/>
  </r>
  <r>
    <x v="4"/>
    <s v="Not provided"/>
    <s v="ROCK-11"/>
    <s v="Sutton Street Baffle Box"/>
    <s v="The second generation (nutrient separating) baffle box includes a wire mesh box that captures vegetative debris, litter, and other materials from settling in the water in the bottom of the box, thereby preventing leaching of the nutrients."/>
    <s v="Baffle Boxes- Second Generation"/>
    <x v="0"/>
    <n v="2011"/>
    <n v="9"/>
    <n v="1"/>
    <x v="1"/>
    <n v="8"/>
    <s v="Not provided"/>
    <s v="Not provided"/>
    <s v="Not provided"/>
    <s v="Not provided"/>
    <s v="N/A"/>
    <s v="Structural"/>
    <x v="0"/>
    <s v="North Indian River Lagoon"/>
    <s v="Not provided"/>
    <s v="Not provided"/>
    <s v="Not provided"/>
  </r>
  <r>
    <x v="4"/>
    <s v="Not provided"/>
    <s v="ROCK-12"/>
    <s v="River Groves Baffle Box"/>
    <s v="The second generation (nutrient separating) baffle box includes a wire mesh box that captures vegetative debris, litter, and other materials from settling in the water in the bottom of the box, thereby preventing leaching of the nutrients."/>
    <s v="Baffle Boxes- Second Generation"/>
    <x v="0"/>
    <n v="2011"/>
    <n v="11"/>
    <n v="1"/>
    <x v="1"/>
    <n v="7.4"/>
    <s v="Not provided"/>
    <s v="Not provided"/>
    <s v="Not provided"/>
    <s v="Not provided"/>
    <s v="N/A"/>
    <s v="Structural"/>
    <x v="0"/>
    <s v="North Indian River Lagoon"/>
    <s v="Not provided"/>
    <s v="Not provided"/>
    <s v="Not provided"/>
  </r>
  <r>
    <x v="4"/>
    <s v="Not provided"/>
    <s v="ROCK-13"/>
    <s v="Summer Place Baffle Box"/>
    <s v="The second generation (nutrient separating) baffle box includes a wire mesh box that captures vegetative debris, litter, and other materials from settling in the water in the bottom of the box, thereby preventing leaching of the nutrients."/>
    <s v="Baffle Boxes- Second Generation"/>
    <x v="0"/>
    <n v="2011"/>
    <n v="7"/>
    <n v="0.7"/>
    <x v="1"/>
    <n v="9.8000000000000007"/>
    <n v="35000"/>
    <s v="Not provided"/>
    <s v="Not provided"/>
    <s v="Not provided"/>
    <s v="N/A"/>
    <s v="Structural"/>
    <x v="0"/>
    <s v="North Indian River Lagoon"/>
    <s v="Not provided"/>
    <s v="Not provided"/>
    <s v="Not provided"/>
  </r>
  <r>
    <x v="4"/>
    <s v="Not provided"/>
    <s v="ROCK-14"/>
    <s v="Sweet Street Swale"/>
    <s v="Swales are designed to infiltrate a defined quantity of runoff (the treatment volume) through the permeable soils of the swale floor and side slopes into the shallow ground water aquifer immediately following a storm event."/>
    <s v="Grass Swales without Swale Blocks or Raised Culverts"/>
    <x v="0"/>
    <n v="2011"/>
    <n v="38"/>
    <n v="5.0999999999999996"/>
    <x v="1"/>
    <n v="8"/>
    <n v="10000"/>
    <s v="Not provided"/>
    <s v="Not provided"/>
    <s v="Not provided"/>
    <s v="N/A"/>
    <s v="Structural"/>
    <x v="0"/>
    <s v="North Indian River Lagoon"/>
    <s v="Not provided"/>
    <s v="Not provided"/>
    <s v="Not provided"/>
  </r>
  <r>
    <x v="4"/>
    <s v="Not provided"/>
    <s v="ROCK-15"/>
    <s v="Community Park of Rockledge Regional Facility Phase 1"/>
    <s v="&quot;Wet detention&quot; means the collection and temporary storage of stormwater in a permanently wet impoundment in such a manner as to provide for treatment through physical, chemical, and biological processes with subsequent gradual release of the stormwater."/>
    <s v="Wet Detention Pond"/>
    <x v="0"/>
    <n v="2004"/>
    <n v="5"/>
    <n v="0.5"/>
    <x v="1"/>
    <n v="25.6"/>
    <n v="50000"/>
    <n v="23974"/>
    <s v="Not provided"/>
    <s v="Not provided"/>
    <s v="N/A"/>
    <s v="Structural"/>
    <x v="0"/>
    <s v="North Indian River Lagoon"/>
    <s v="Not provided"/>
    <s v="Not provided"/>
    <s v="Not provided"/>
  </r>
  <r>
    <x v="4"/>
    <s v="Not provided"/>
    <s v="ROCK-16"/>
    <s v="Pineland Park Unit Three"/>
    <s v="&quot;Wet detention&quot; means the collection and temporary storage of stormwater in a permanently wet impoundment in such a manner as to provide for treatment through physical, chemical, and biological processes with subsequent gradual release of the stormwater."/>
    <s v="Wet Detention Pond"/>
    <x v="0"/>
    <n v="2009"/>
    <n v="1"/>
    <n v="0.2"/>
    <x v="1"/>
    <n v="54.3"/>
    <n v="100000"/>
    <n v="6234"/>
    <s v="Not provided"/>
    <s v="Not provided"/>
    <s v="N/A"/>
    <s v="Structural"/>
    <x v="0"/>
    <s v="North Indian River Lagoon"/>
    <s v="Not provided"/>
    <s v="Not provided"/>
    <s v="Not provided"/>
  </r>
  <r>
    <x v="4"/>
    <s v="DEP"/>
    <s v="ROCK-17"/>
    <s v="Barton Park Regional Detention System"/>
    <s v="&quot;Wet detention&quot; means the collection and temporary storage of stormwater in a permanently wet impoundment in such a manner as to provide for treatment through physical, chemical, and biological processes with subsequent gradual release of the stormwater."/>
    <s v="Wet Detention Pond"/>
    <x v="0"/>
    <n v="2010"/>
    <n v="2823"/>
    <n v="1248.9000000000001"/>
    <x v="1"/>
    <n v="757"/>
    <n v="2600000"/>
    <n v="40000"/>
    <s v="DEP"/>
    <s v="Not provided"/>
    <s v="S0538"/>
    <s v="Structural"/>
    <x v="0"/>
    <s v="North Indian River Lagoon"/>
    <s v="Not provided"/>
    <s v="Not provided"/>
    <s v="Not provided"/>
  </r>
  <r>
    <x v="4"/>
    <s v="Not provided"/>
    <s v="ROCK-18"/>
    <s v="Florida Avenue Stormwater Facility"/>
    <s v="&quot;Wet detention&quot; means the collection and temporary storage of stormwater in a permanently wet impoundment in such a manner as to provide for treatment through physical, chemical, and biological processes with subsequent gradual release of the stormwater."/>
    <s v="Wet Detention Pond"/>
    <x v="0"/>
    <n v="2010"/>
    <n v="76"/>
    <n v="49.5"/>
    <x v="1"/>
    <n v="25.2"/>
    <n v="435000"/>
    <n v="40950"/>
    <s v="Not provided"/>
    <s v="Not provided"/>
    <s v="N/A"/>
    <s v="Structural"/>
    <x v="0"/>
    <s v="North Indian River Lagoon"/>
    <s v="Not provided"/>
    <s v="Not provided"/>
    <s v="Not provided"/>
  </r>
  <r>
    <x v="4"/>
    <s v="Not provided"/>
    <s v="ROCK-19"/>
    <s v="Police Department Pond"/>
    <s v="&quot;Wet detention&quot; means the collection and temporary storage of stormwater in a permanently wet impoundment in such a manner as to provide for treatment through physical, chemical, and biological processes with subsequent gradual release of the stormwater."/>
    <s v="Wet Detention Pond"/>
    <x v="0"/>
    <n v="2010"/>
    <n v="16"/>
    <n v="5.0999999999999996"/>
    <x v="1"/>
    <n v="39.1"/>
    <n v="350000"/>
    <n v="7035"/>
    <s v="Not provided"/>
    <s v="Not provided"/>
    <s v="N/A"/>
    <s v="Structural"/>
    <x v="0"/>
    <s v="North Indian River Lagoon"/>
    <s v="Not provided"/>
    <s v="Not provided"/>
    <s v="Not provided"/>
  </r>
  <r>
    <x v="4"/>
    <s v="Not provided"/>
    <s v="ROCK-20"/>
    <s v="Huntington Lakes I"/>
    <s v="&quot;Wet detention&quot; means the collection and temporary storage of stormwater in a permanently wet impoundment in such a manner as to provide for treatment through physical, chemical, and biological processes with subsequent gradual release of the stormwater."/>
    <s v="Wet Detention Pond"/>
    <x v="0"/>
    <n v="2014"/>
    <n v="7.84"/>
    <n v="2"/>
    <x v="1"/>
    <n v="36.9"/>
    <n v="950000"/>
    <s v="Not provided"/>
    <s v="Not provided"/>
    <s v="Not provided"/>
    <s v="N/A"/>
    <s v="Structural"/>
    <x v="0"/>
    <s v="North Indian River Lagoon"/>
    <s v="Not provided"/>
    <s v="Not provided"/>
    <s v="Not provided"/>
  </r>
  <r>
    <x v="4"/>
    <s v="Not provided"/>
    <s v="ROCK-21"/>
    <s v="Street Sweeping"/>
    <s v="Pavement cleaning by sweeping, vacuum, or washing."/>
    <s v="Street Sweeping"/>
    <x v="0"/>
    <s v="N/A"/>
    <n v="794"/>
    <n v="337"/>
    <x v="1"/>
    <s v="N/A"/>
    <s v="Not provided"/>
    <n v="54000"/>
    <s v="Not provided"/>
    <s v="Not provided"/>
    <s v="N/A"/>
    <s v="Non-structural"/>
    <x v="0"/>
    <s v="North Indian River Lagoon"/>
    <s v="N/A"/>
    <s v="N/A"/>
    <s v="Not provided"/>
  </r>
  <r>
    <x v="4"/>
    <s v="Not provided"/>
    <s v="ROCK-22"/>
    <s v="Treatment Missing from Model"/>
    <s v="Wet detention ponds – missing from model."/>
    <s v="Monitoring/Data Collection"/>
    <x v="0"/>
    <n v="1999"/>
    <n v="1248"/>
    <n v="477.3"/>
    <x v="1"/>
    <n v="383.2"/>
    <s v="Not provided"/>
    <s v="Not provided"/>
    <s v="Not provided"/>
    <s v="Not provided"/>
    <s v="N/A"/>
    <s v="Non-structural"/>
    <x v="0"/>
    <s v="North Indian River Lagoon"/>
    <s v="Not provided"/>
    <s v="Not provided"/>
    <n v="1986"/>
  </r>
  <r>
    <x v="4"/>
    <s v="Not provided"/>
    <s v="ROCK-23"/>
    <s v="Education Efforts"/>
    <s v="Irrigation, fertilizer, pet waste management, and landscaping ordinances; pamphlets, presentations, website, illicit discharge program. Video &quot;Know Your Waterways&quot;."/>
    <s v="Education Efforts"/>
    <x v="0"/>
    <s v="N/A"/>
    <n v="1541"/>
    <n v="346.5"/>
    <x v="1"/>
    <s v="N/A"/>
    <n v="7385"/>
    <n v="0"/>
    <s v="Not provided"/>
    <s v="Not provided"/>
    <s v="N/A"/>
    <s v="Non-structural"/>
    <x v="0"/>
    <s v="North Indian River Lagoon"/>
    <s v="N/A"/>
    <s v="N/A"/>
    <s v="Not provided"/>
  </r>
  <r>
    <x v="4"/>
    <s v="Not provided"/>
    <s v="ROCK-24"/>
    <s v="Huntington Lakes II"/>
    <s v="Project provides treatment to some of the basin that leads into ROCK-17."/>
    <s v="Wet Detention Pond"/>
    <x v="0"/>
    <n v="2016"/>
    <n v="40.799999999999997"/>
    <n v="72"/>
    <x v="1"/>
    <n v="133.5"/>
    <n v="900000"/>
    <n v="15000"/>
    <s v="Not provided"/>
    <s v="Not provided"/>
    <s v="N/A"/>
    <s v="Structural"/>
    <x v="1"/>
    <s v="North Indian River Lagoon"/>
    <s v="Not provided"/>
    <s v="Not provided"/>
    <s v="Not provided"/>
  </r>
  <r>
    <x v="4"/>
    <s v="Not provided"/>
    <s v="ROCK-25"/>
    <s v="Aquatic Harvesting"/>
    <s v="Data is collected by location in yards; determining method to convert to dry weight."/>
    <s v="Aquatic Vegetation Harvesting"/>
    <x v="0"/>
    <n v="2015"/>
    <s v="N/A"/>
    <s v="N/A"/>
    <x v="1"/>
    <s v="N/A"/>
    <s v="Not provided"/>
    <s v="Not provided"/>
    <s v="Not provided"/>
    <s v="Not provided"/>
    <s v="N/A"/>
    <s v="Non-structural"/>
    <x v="5"/>
    <s v="North Indian River Lagoon"/>
    <s v="Not provided"/>
    <s v="Not provided"/>
    <s v="Not provided"/>
  </r>
  <r>
    <x v="4"/>
    <s v="Not provided"/>
    <s v="ROCK-26"/>
    <s v="Breeze Swept Septic Phase-out"/>
    <s v="Estimates will be calculated using the latest version of ArcNLET for the septic tank phase out."/>
    <s v="Wastewater Service Area Expansion"/>
    <x v="0"/>
    <n v="2017"/>
    <s v="TBD"/>
    <s v="TBD"/>
    <x v="1"/>
    <n v="39.6"/>
    <n v="3700000"/>
    <n v="20000"/>
    <s v="DEP, SJRWMD, 1/2 cent Lagoon Tax"/>
    <n v="2580000"/>
    <s v="N/A"/>
    <s v="Structural"/>
    <x v="5"/>
    <s v="North Indian River Lagoon"/>
    <s v="Not provided"/>
    <s v="Not provided"/>
    <s v="Not provided"/>
  </r>
  <r>
    <x v="4"/>
    <s v="Not provided"/>
    <s v="ROCK-27"/>
    <s v="River Ridge Non Discharge"/>
    <s v="Nondisharge dry retention basin."/>
    <s v="100% On-site Retention"/>
    <x v="0"/>
    <n v="2015"/>
    <n v="93.12"/>
    <n v="13.75"/>
    <x v="1"/>
    <n v="35.259830204997925"/>
    <s v="Not provided"/>
    <s v="Not provided"/>
    <s v="Not provided"/>
    <s v="Not provided"/>
    <s v="N/A"/>
    <s v="Structural"/>
    <x v="5"/>
    <s v="North Indian River Lagoon"/>
    <s v="Not provided"/>
    <s v="Not provided"/>
    <s v="Not provided"/>
  </r>
  <r>
    <x v="4"/>
    <s v="Not provided"/>
    <s v="ROCK-28"/>
    <s v="Southwest Gus Hipp Conveyance"/>
    <s v="Add BAM for denitrification to major canal in the city."/>
    <s v="BMP Treatment Train"/>
    <x v="1"/>
    <n v="2019"/>
    <s v="TBD"/>
    <s v="TBD"/>
    <x v="1"/>
    <s v="TBD"/>
    <n v="17000"/>
    <s v="Not provided"/>
    <s v="Not provided"/>
    <s v="Not provided"/>
    <s v="N/A"/>
    <s v="Structural"/>
    <x v="5"/>
    <s v="North Indian River Lagoon"/>
    <s v="Not provided"/>
    <s v="Not provided"/>
    <n v="2017"/>
  </r>
  <r>
    <x v="4"/>
    <s v="Not provided"/>
    <s v="ROCK-29"/>
    <s v="Gus Hipp Pond"/>
    <s v="Conversion of borrow pit to a wet detention pond."/>
    <s v="Wet Detention Pond"/>
    <x v="3"/>
    <s v="TBD"/>
    <s v="TBD"/>
    <s v="TBD"/>
    <x v="1"/>
    <s v="TBD"/>
    <n v="335000"/>
    <s v="Not provided"/>
    <s v="Not provided"/>
    <s v="Not provided"/>
    <s v="N/A"/>
    <s v="Structural"/>
    <x v="5"/>
    <s v="North Indian River Lagoon"/>
    <s v="Not provided"/>
    <s v="Not provided"/>
    <s v="TBD"/>
  </r>
  <r>
    <x v="4"/>
    <s v="Not provided"/>
    <s v="ROCK-30"/>
    <s v="Public Works Pond 1"/>
    <s v="Enlarge current retention area."/>
    <s v="Dry Detention Pond"/>
    <x v="0"/>
    <n v="2017"/>
    <s v="TBD"/>
    <n v="0.98"/>
    <x v="1"/>
    <n v="5.6879289296432489"/>
    <n v="5000"/>
    <n v="600"/>
    <s v="Not provided"/>
    <s v="Not provided"/>
    <s v="N/A"/>
    <s v="Structural"/>
    <x v="5"/>
    <s v="North Indian River Lagoon"/>
    <s v="Not provided"/>
    <s v="Not provided"/>
    <n v="2017"/>
  </r>
  <r>
    <x v="4"/>
    <s v="Not provided"/>
    <s v="ROCK-31"/>
    <s v="Public Works Pond 2"/>
    <s v="Enlarge current retention area."/>
    <s v="Dry Detention Pond"/>
    <x v="0"/>
    <n v="2017"/>
    <n v="12.600000000000001"/>
    <n v="3.39"/>
    <x v="1"/>
    <n v="6.9616296387169498"/>
    <n v="10000"/>
    <n v="600"/>
    <s v="Not provided"/>
    <s v="Not provided"/>
    <s v="N/A"/>
    <s v="Structural"/>
    <x v="5"/>
    <s v="North Indian River Lagoon"/>
    <s v="Not provided"/>
    <s v="Not provided"/>
    <n v="2018"/>
  </r>
  <r>
    <x v="4"/>
    <s v="Not provided"/>
    <s v="ROCK-32"/>
    <s v="School Triangle Pond"/>
    <s v="Create dry detention pond on city-owned land."/>
    <s v="Dry Detention Pond"/>
    <x v="0"/>
    <n v="2017"/>
    <s v="TBD"/>
    <s v="TBD"/>
    <x v="1"/>
    <n v="1.2199594036496"/>
    <n v="20300"/>
    <n v="1000"/>
    <s v="Not provided"/>
    <s v="Not provided"/>
    <s v="N/A"/>
    <s v="Structural"/>
    <x v="5"/>
    <s v="North Indian River Lagoon"/>
    <s v="Not provided"/>
    <s v="Not provided"/>
    <n v="2018"/>
  </r>
  <r>
    <x v="4"/>
    <s v="Not provided"/>
    <s v="ROCK-33"/>
    <s v="Barton Park Irrigation"/>
    <s v="Use wet pond (Barton Lake) for irrigation."/>
    <s v="Stormwater Reuse"/>
    <x v="3"/>
    <s v="TBD"/>
    <s v="TBD"/>
    <s v="TBD"/>
    <x v="1"/>
    <s v="TBD"/>
    <s v="TBD"/>
    <s v="TBD"/>
    <s v="TBD"/>
    <s v="TBD"/>
    <s v="N/A"/>
    <s v="Structural"/>
    <x v="5"/>
    <s v="North Indian River Lagoon"/>
    <s v="TBD"/>
    <s v="TBD"/>
    <s v="TBD"/>
  </r>
  <r>
    <x v="4"/>
    <s v="Not provided"/>
    <s v="ROCK-34"/>
    <s v="Winchester Cove Non Discharge"/>
    <s v="Nondisharge dry retention basin."/>
    <s v="100% On-site Retention"/>
    <x v="0"/>
    <n v="2015"/>
    <s v="TBD"/>
    <n v="1.6"/>
    <x v="1"/>
    <n v="1.9"/>
    <s v="Not provided"/>
    <s v="Not provided"/>
    <s v="Not provided"/>
    <s v="Not provided"/>
    <s v="N/A"/>
    <s v="Structural"/>
    <x v="5"/>
    <s v="North Indian River Lagoon"/>
    <s v="Not provided"/>
    <s v="Not provided"/>
    <s v="Not provided"/>
  </r>
  <r>
    <x v="4"/>
    <s v="Not provided"/>
    <s v="ROCK-35"/>
    <s v="Florida Ave and Dixie Lane Swale"/>
    <s v="Grass swale with blocks or culverts."/>
    <s v="Grass swales with swale blocks or raised culverts"/>
    <x v="0"/>
    <n v="2018"/>
    <n v="63.31"/>
    <n v="10.62"/>
    <x v="1"/>
    <n v="9.6"/>
    <n v="5000"/>
    <s v="Not provided"/>
    <s v="Not provided"/>
    <s v="Not provided"/>
    <s v="N/A"/>
    <s v="Structural"/>
    <x v="7"/>
    <s v="North Indian River Lagoon"/>
    <s v="Not provided"/>
    <s v="Not provided"/>
    <s v="Not provided"/>
  </r>
  <r>
    <x v="4"/>
    <s v="Not provided"/>
    <s v="ROCK-36"/>
    <s v="WWTP EQ Basin Nutrient Uptake"/>
    <s v="Modification of WWTP Process."/>
    <s v="WWTF Upgrade"/>
    <x v="3"/>
    <s v="TBD"/>
    <s v="TBD"/>
    <s v="TBD"/>
    <x v="1"/>
    <s v="TBD"/>
    <s v="Not provided"/>
    <s v="Not provided"/>
    <s v="Not provided"/>
    <s v="Not provided"/>
    <s v="N/A"/>
    <s v="Structural"/>
    <x v="2"/>
    <s v="North Indian River Lagoon"/>
    <s v="Not provided"/>
    <s v="Not provided"/>
    <s v="Not provided"/>
  </r>
  <r>
    <x v="4"/>
    <s v="Not provided"/>
    <s v="ROCK-37"/>
    <s v="WWTP Biosolids"/>
    <s v="Modification of WWTP Process."/>
    <s v="WWTF Upgrade"/>
    <x v="3"/>
    <s v="TBD"/>
    <s v="TBD"/>
    <s v="TBD"/>
    <x v="1"/>
    <s v="TBD"/>
    <s v="Not provided"/>
    <s v="Not provided"/>
    <s v="Not provided"/>
    <s v="Not provided"/>
    <s v="N/A"/>
    <s v="Structural"/>
    <x v="2"/>
    <s v="North Indian River Lagoon"/>
    <s v="Not provided"/>
    <s v="Not provided"/>
    <s v="Not provided"/>
  </r>
  <r>
    <x v="4"/>
    <s v="Not provided"/>
    <s v="ROCK-38"/>
    <s v="Rockled Indian River Dr"/>
    <s v="Septic to Sewer."/>
    <s v="Wastewater Service Area Expansion"/>
    <x v="3"/>
    <s v="TBD"/>
    <s v="TBD"/>
    <s v="TBD"/>
    <x v="1"/>
    <s v="TBD"/>
    <s v="Not provided"/>
    <s v="Not provided"/>
    <s v="Not provided"/>
    <s v="Not provided"/>
    <s v="N/A"/>
    <s v="Structural"/>
    <x v="2"/>
    <s v="North Indian River Lagoon"/>
    <s v="Not provided"/>
    <s v="Not provided"/>
    <s v="Not provided"/>
  </r>
  <r>
    <x v="5"/>
    <s v="Brevard County"/>
    <s v="TV-01"/>
    <s v="Area 1 Stormwater Improvements"/>
    <s v="Upsize existing storm pipes and enclose the Florida Ditch; water directed to TV-02."/>
    <s v="Wet Detention Pond"/>
    <x v="0"/>
    <n v="2010"/>
    <n v="1019"/>
    <n v="411.8"/>
    <x v="0"/>
    <n v="432.2"/>
    <n v="2151510"/>
    <n v="4797"/>
    <s v="City/ Brevard County"/>
    <s v="City - $1,410,072/ County - $470,000"/>
    <s v="N/A"/>
    <s v="Structural"/>
    <x v="0"/>
    <s v="North Indian River Lagoon"/>
    <n v="28.630269999999999"/>
    <n v="-80.82611"/>
    <n v="2010"/>
  </r>
  <r>
    <x v="5"/>
    <s v="Brevard County/ Parrish Medical Center (PMC)/ Brevard Community College (BCC)/ SJRWMD"/>
    <s v="TV-02"/>
    <s v="Chain of Lakes Regional Stormwater Pond"/>
    <s v="Construction of a regional park featuring wetlands, treatment ponds, and recreational features."/>
    <s v="Regional Stormwater Treatment"/>
    <x v="0"/>
    <n v="2010"/>
    <n v="360"/>
    <n v="159.6"/>
    <x v="0"/>
    <n v="339.8"/>
    <n v="3521489"/>
    <n v="15620"/>
    <s v="City/ Brevard County/ SJRWMD/ PMC/ BCC"/>
    <s v="City - $1,210,013/ County - $1,910,709/ SJRWMD - $577,145/ PMC - $350,000/ BCC - $217,500"/>
    <s v="N/A"/>
    <s v="Structural"/>
    <x v="0"/>
    <s v="North Indian River Lagoon"/>
    <n v="28.640830000000001"/>
    <n v="-80.822770000000006"/>
    <n v="2002"/>
  </r>
  <r>
    <x v="5"/>
    <s v="DEP/ SJRWMD"/>
    <s v="TV-03"/>
    <s v="Draa Field Stormwater Park"/>
    <s v="Water quality treatment for Area 2 drainage basin."/>
    <s v="Wet Detention Pond"/>
    <x v="0"/>
    <n v="2016"/>
    <n v="771"/>
    <n v="312"/>
    <x v="0"/>
    <n v="105.074653"/>
    <n v="1810000"/>
    <n v="15000"/>
    <s v="DEP/ SJRWMD/ Florida Legislature/ City"/>
    <s v="DEP - $388,825/ SJRWMD - $366,000/ Florida Legislature - $800,000/ City - $255,000"/>
    <s v="G0416"/>
    <s v="Structural"/>
    <x v="0"/>
    <s v="North Indian River Lagoon"/>
    <n v="28.61861"/>
    <n v="-80.820549999999997"/>
    <n v="2015"/>
  </r>
  <r>
    <x v="5"/>
    <s v="DEP/ SJRWMD"/>
    <s v="TV-04"/>
    <s v="St. Johns Basin Stormwater Improvements"/>
    <s v="Construction of a 3. 5-acre wet detention pond to treat runoff from mixed use lands prior to discharge to the lagoon."/>
    <s v="Wet Detention Pond"/>
    <x v="0"/>
    <n v="2014"/>
    <n v="317"/>
    <n v="1155.9000000000001"/>
    <x v="0"/>
    <n v="882.1"/>
    <n v="2024000"/>
    <n v="8000"/>
    <s v="DEP/ Brevard County/ City"/>
    <s v="DEP - $681,563/ County - $141,655/ City - $1,314,625"/>
    <s v="S0338"/>
    <s v="Structural"/>
    <x v="0"/>
    <s v="North Indian River Lagoon"/>
    <n v="28.603767000000001"/>
    <n v="-80.822007999999997"/>
    <n v="2012"/>
  </r>
  <r>
    <x v="5"/>
    <s v="DEP/ SJRWMD"/>
    <s v="TV-05"/>
    <s v="St. Johns Basin Stormwater Improvements"/>
    <s v="Installation of a baffle box downstream of the pond to treat runoff from mixed use lands prior to discharge to the lagoon."/>
    <s v="Baffle Boxes- Second Generation"/>
    <x v="0"/>
    <n v="2011"/>
    <n v="1510"/>
    <n v="215.9"/>
    <x v="0"/>
    <n v="882.1"/>
    <n v="167343"/>
    <n v="8000"/>
    <s v="DEP/ City"/>
    <s v="DEP - $100,000/ City - $67,343"/>
    <s v="S0338"/>
    <s v="Structural"/>
    <x v="0"/>
    <s v="North Indian River Lagoon"/>
    <n v="28.60388"/>
    <n v="-80.80583"/>
    <n v="2011"/>
  </r>
  <r>
    <x v="5"/>
    <s v="DEP/ SJRWMD/ FCT/ Florida Recreation Development Assistance Program (FRDAP)/ FDOT"/>
    <s v="TV-06"/>
    <s v="Spaceview Park"/>
    <s v="Alum treatment."/>
    <s v="Alum Injection Systems"/>
    <x v="0"/>
    <n v="2007"/>
    <n v="1153"/>
    <n v="377.9"/>
    <x v="0"/>
    <n v="110.6"/>
    <n v="2727394"/>
    <n v="15000"/>
    <s v="DEP/ SJRWMD/ FCT/ FRDAP/ FDOT/ City"/>
    <s v="DEP - $981,151/ SJRWMD - $83,600/ FCT - $228,375/ FRDAP - $103,956/ FDOT - $72,195/ City - $1,258,116"/>
    <s v="G0053"/>
    <s v="Structural"/>
    <x v="0"/>
    <s v="North Indian River Lagoon"/>
    <n v="28.614159999999998"/>
    <n v="-80.806380000000004"/>
    <n v="2006"/>
  </r>
  <r>
    <x v="5"/>
    <s v="N/A"/>
    <s v="TV-07"/>
    <s v="Education Efforts"/>
    <s v="Irrigation, fertilizer, pet waste management, and landscaping ordinances; pamphlets, presentations, website, Illicit Discharge Program."/>
    <s v="Education Efforts"/>
    <x v="0"/>
    <s v="N/A"/>
    <n v="1522"/>
    <n v="292"/>
    <x v="0"/>
    <s v="N/A"/>
    <s v="N/A"/>
    <n v="5000"/>
    <s v="City"/>
    <s v="N/A"/>
    <s v="N/A"/>
    <s v="Non-structural"/>
    <x v="0"/>
    <s v="North Indian River Lagoon"/>
    <s v="N/A"/>
    <s v="N/A"/>
    <n v="2013"/>
  </r>
  <r>
    <x v="5"/>
    <s v="N/A"/>
    <s v="TV-08"/>
    <s v="Street Sweeping"/>
    <s v="Approximately 2,006,375 lbs. of debris were removed in North A during the reporting period."/>
    <s v="Street Sweeping"/>
    <x v="0"/>
    <s v="N/A"/>
    <n v="1130"/>
    <n v="724"/>
    <x v="0"/>
    <s v="N/A"/>
    <n v="188120"/>
    <n v="63106"/>
    <s v="City"/>
    <s v="Not provided"/>
    <s v="N/A"/>
    <s v="Non-structural"/>
    <x v="0"/>
    <s v="North Indian River Lagoon"/>
    <s v="N/A"/>
    <s v="N/A"/>
    <n v="2013"/>
  </r>
  <r>
    <x v="5"/>
    <s v="N/A"/>
    <s v="TV-09"/>
    <s v="Education Efforts"/>
    <s v="Irrigation, fertilizer, pet waste management, and landscaping ordinances; pamphlets, presentations, website, illicit discharge program."/>
    <s v="Education Efforts"/>
    <x v="0"/>
    <s v="N/A"/>
    <n v="56"/>
    <n v="5.8"/>
    <x v="1"/>
    <s v="N/A"/>
    <s v="N/A"/>
    <n v="5000"/>
    <s v="City"/>
    <s v="N/A"/>
    <s v="N/A"/>
    <s v="Non-structural"/>
    <x v="0"/>
    <s v="North Indian River Lagoon"/>
    <s v="N/A"/>
    <s v="N/A"/>
    <n v="2013"/>
  </r>
  <r>
    <x v="5"/>
    <s v="N/A"/>
    <s v="TV-10"/>
    <s v="Street Sweeping"/>
    <s v="Approximately 205,725 lbs of debris removed from North B during the reporting period."/>
    <s v="Street Sweeping"/>
    <x v="0"/>
    <s v="N/A"/>
    <n v="116"/>
    <n v="74"/>
    <x v="1"/>
    <s v="N/A"/>
    <n v="188120"/>
    <n v="63106"/>
    <s v="City"/>
    <s v="Not provided"/>
    <s v="N/A"/>
    <s v="Non-structural"/>
    <x v="0"/>
    <s v="North Indian River Lagoon"/>
    <s v="N/A"/>
    <s v="N/A"/>
    <n v="2013"/>
  </r>
  <r>
    <x v="5"/>
    <s v="N/A"/>
    <s v="TV-11"/>
    <s v="Senior Center Pond Floating Islands"/>
    <s v="Floating islands within a wet detention pond."/>
    <s v="Floating Islands/ Managed Aquatic Plant Systems (MAPS)"/>
    <x v="0"/>
    <n v="2015"/>
    <n v="719.41"/>
    <n v="87.08"/>
    <x v="0"/>
    <n v="624"/>
    <n v="52536"/>
    <n v="43720"/>
    <s v="City"/>
    <s v="City - $52,536"/>
    <s v="N/A"/>
    <s v="Structural"/>
    <x v="5"/>
    <s v="North Indian River Lagoon"/>
    <n v="28.603767000000001"/>
    <n v="-80.822007999999997"/>
    <n v="2015"/>
  </r>
  <r>
    <x v="5"/>
    <s v="DEP"/>
    <s v="TV-12"/>
    <s v="Senior Center Ponds Littoral Zone Plantings"/>
    <s v="Littoral vegetation plantings around an already existing wet detention pond."/>
    <s v="BMP Treatment Train"/>
    <x v="0"/>
    <n v="2016"/>
    <n v="189.4"/>
    <n v="90.1"/>
    <x v="0"/>
    <n v="413.6"/>
    <n v="50000"/>
    <n v="2000"/>
    <s v="DEP/ City"/>
    <s v="DEP - $21,144/ City - $14,721"/>
    <s v="G0433"/>
    <s v="Structural"/>
    <x v="5"/>
    <s v="North Indian River Lagoon"/>
    <n v="28.603767000000001"/>
    <n v="-80.822007999999997"/>
    <n v="2016"/>
  </r>
  <r>
    <x v="5"/>
    <s v="DEP"/>
    <s v="TV-13"/>
    <s v="Royal Oak Littoral Zone Plantings"/>
    <s v="Littoral vegetation plantings around an already existing wet detention pond."/>
    <s v="BMP Treatment Train"/>
    <x v="0"/>
    <n v="2016"/>
    <n v="79.099999999999994"/>
    <n v="18.8"/>
    <x v="0"/>
    <n v="123.1"/>
    <n v="50000"/>
    <n v="2000"/>
    <s v="DEP/ City"/>
    <s v="DEP - $21,144/ City - $14,721"/>
    <s v="G0433"/>
    <s v="Structural"/>
    <x v="5"/>
    <s v="North Indian River Lagoon"/>
    <n v="28.582839"/>
    <n v="-80.827464000000006"/>
    <n v="2016"/>
  </r>
  <r>
    <x v="5"/>
    <s v="DEP"/>
    <s v="TV-14"/>
    <s v="Main Street Baffle Box with BAM"/>
    <s v="2nd generation baffle box with media."/>
    <s v="Baffle Boxes- Second Generation with Media"/>
    <x v="0"/>
    <n v="2018"/>
    <n v="876"/>
    <n v="136"/>
    <x v="0"/>
    <n v="295.95999999999998"/>
    <n v="393363"/>
    <n v="4000"/>
    <s v="DEP/ City"/>
    <s v="DEP - $176,376/ City - $216,987"/>
    <s v="G0442"/>
    <s v="Structural"/>
    <x v="5"/>
    <s v="North Indian River Lagoon"/>
    <n v="28.612628000000001"/>
    <n v="-80.805674999999994"/>
    <n v="2017"/>
  </r>
  <r>
    <x v="5"/>
    <s v="DEP"/>
    <s v="TV-15"/>
    <s v="Sycamore Street Baffle Box with BAM"/>
    <s v="2nd generation baffle box with media."/>
    <s v="Baffle Boxes- Second Generation with Media"/>
    <x v="0"/>
    <n v="2018"/>
    <n v="686"/>
    <n v="102"/>
    <x v="0"/>
    <n v="300.07"/>
    <n v="570517.72"/>
    <n v="4000"/>
    <s v="DEP/ City"/>
    <s v="DEP - $176,376/ City - $394,142"/>
    <s v="G0442"/>
    <s v="Structural"/>
    <x v="5"/>
    <s v="North Indian River Lagoon"/>
    <n v="28.596596999999999"/>
    <n v="-80.806866999999997"/>
    <n v="2017"/>
  </r>
  <r>
    <x v="5"/>
    <s v="N/A"/>
    <s v="TV-16"/>
    <s v="Knox Mc Rae Baffle Box"/>
    <s v="2nd generation baffle box with media."/>
    <s v="Baffle Boxes- Second Generation with Media"/>
    <x v="0"/>
    <n v="2018"/>
    <n v="173"/>
    <n v="27"/>
    <x v="0"/>
    <n v="37.9"/>
    <n v="225000"/>
    <n v="4000"/>
    <s v="Florida Legislature/ City"/>
    <s v="Florida Legislature - $105,000/ City - $120,000"/>
    <s v="LP05031"/>
    <s v="Structural"/>
    <x v="5"/>
    <s v="North Indian River Lagoon"/>
    <n v="28.564522"/>
    <n v="-80.798227999999995"/>
    <n v="2017"/>
  </r>
  <r>
    <x v="5"/>
    <s v="TBD"/>
    <s v="TV-17"/>
    <s v="Coleman Basin TMDL Improvements"/>
    <s v="Managed aquatic plant system within a one acre pond."/>
    <s v="Floating Islands/ Managed Aquatic Plant Systems (MAPS)"/>
    <x v="0"/>
    <n v="2019"/>
    <s v="TBD"/>
    <s v="TBD"/>
    <x v="0"/>
    <n v="107"/>
    <n v="11437.5"/>
    <n v="12000"/>
    <s v="County"/>
    <s v="County - $11,438"/>
    <s v="N/A"/>
    <s v="Structural"/>
    <x v="5"/>
    <s v="North Indian River Lagoon"/>
    <n v="28.630269999999999"/>
    <n v="-80.82611"/>
    <s v="TBD"/>
  </r>
  <r>
    <x v="5"/>
    <s v="SJRWMD/ Brevard County"/>
    <s v="TV-18"/>
    <s v="South Street Basin TMDL Improvements"/>
    <s v="Three 2nd generation baffle boxes with media."/>
    <s v="Baffle Boxes- Second Generation with Media"/>
    <x v="0"/>
    <n v="2019"/>
    <s v="TBD"/>
    <s v="TBD"/>
    <x v="0"/>
    <n v="235"/>
    <n v="450000"/>
    <n v="12000"/>
    <s v="City/ SJRWMD/ County"/>
    <s v="City - $254,144/ SJRWMD - $110,000/ County - $86,856"/>
    <s v="N/A"/>
    <s v="Structural"/>
    <x v="5"/>
    <s v="North Indian River Lagoon"/>
    <n v="28.607769999999999"/>
    <n v="-80.806110000000004"/>
    <n v="2018"/>
  </r>
  <r>
    <x v="5"/>
    <s v="Brevard County"/>
    <s v="TV-19"/>
    <s v="St. Theresa Basin TMDL Improvements"/>
    <s v="2nd generation baffle box with media."/>
    <s v="Baffle Boxes- Second Generation with Media"/>
    <x v="0"/>
    <n v="2019"/>
    <s v="TBD"/>
    <s v="TBD"/>
    <x v="0"/>
    <n v="314"/>
    <n v="375000"/>
    <n v="4000"/>
    <s v="City/ County"/>
    <s v="City - $102,200/ County - $272,800"/>
    <s v="N/A"/>
    <s v="Structural"/>
    <x v="5"/>
    <s v="North Indian River Lagoon"/>
    <n v="28.580269999999999"/>
    <n v="-80.800550000000001"/>
    <n v="2018"/>
  </r>
  <r>
    <x v="5"/>
    <s v="Brevard County"/>
    <s v="TV-20"/>
    <s v="La Paloma Basin TMDL Improvements"/>
    <s v="2nd generation baffle box with media."/>
    <s v="Baffle Boxes- Second Generation with Media"/>
    <x v="0"/>
    <n v="2019"/>
    <s v="TBD"/>
    <s v="TBD"/>
    <x v="0"/>
    <n v="488"/>
    <n v="375000"/>
    <n v="4000"/>
    <s v="City/ County"/>
    <s v="City - $166,704/ County - $208,296"/>
    <s v="N/A"/>
    <s v="Structural"/>
    <x v="5"/>
    <s v="North Indian River Lagoon"/>
    <n v="28.570830000000001"/>
    <n v="-80.801109999999994"/>
    <n v="2018"/>
  </r>
  <r>
    <x v="5"/>
    <s v="TBD"/>
    <s v="TV-21"/>
    <s v="THS Basin TMDL Improvements"/>
    <s v="Future project."/>
    <s v="Baffle Boxes- Second Generation with Media"/>
    <x v="3"/>
    <n v="2020"/>
    <s v="TBD"/>
    <s v="TBD"/>
    <x v="0"/>
    <n v="239.65"/>
    <s v="TBD"/>
    <s v="TBD"/>
    <s v="TBD"/>
    <s v="TBD"/>
    <s v="N/A"/>
    <s v="Structural"/>
    <x v="5"/>
    <s v="North Indian River Lagoon"/>
    <n v="28.593330000000002"/>
    <n v="-80.803610000000006"/>
    <s v="TBD"/>
  </r>
  <r>
    <x v="5"/>
    <s v="TBD"/>
    <s v="TV-22"/>
    <s v="Brevard Street Basin TMDL Improvements"/>
    <s v="Future project."/>
    <s v="BMP Treatment Train"/>
    <x v="3"/>
    <s v="TBD"/>
    <s v="TBD"/>
    <s v="TBD"/>
    <x v="0"/>
    <n v="17.71"/>
    <s v="TBD"/>
    <s v="TBD"/>
    <s v="TBD"/>
    <s v="TBD"/>
    <s v="N/A"/>
    <s v="Structural"/>
    <x v="5"/>
    <s v="North Indian River Lagoon"/>
    <s v="TBD"/>
    <s v="TBD"/>
    <s v="TBD"/>
  </r>
  <r>
    <x v="5"/>
    <s v="TBD"/>
    <s v="TV-23"/>
    <s v="St. Johns 2nd Baffle Box TMDL Improvements"/>
    <s v="Future project."/>
    <s v="BMP Treatment Train"/>
    <x v="3"/>
    <s v="TBD"/>
    <s v="TBD"/>
    <s v="TBD"/>
    <x v="0"/>
    <n v="882.1"/>
    <s v="TBD"/>
    <s v="TBD"/>
    <s v="TBD"/>
    <s v="TBD"/>
    <s v="N/A"/>
    <s v="Structural"/>
    <x v="5"/>
    <s v="North Indian River Lagoon"/>
    <s v="TBD"/>
    <s v="TBD"/>
    <s v="TBD"/>
  </r>
  <r>
    <x v="5"/>
    <s v="Brevard County"/>
    <s v="TV-24"/>
    <s v="Marina Basin TMDL Improvements - Osprey Pond MAPS"/>
    <s v="Future project."/>
    <s v="Floating Islands/ Managed Aquatic Plant Systems (MAPS)"/>
    <x v="3"/>
    <s v="TBD"/>
    <s v="TBD"/>
    <s v="TBD"/>
    <x v="0"/>
    <n v="271.17"/>
    <n v="60000"/>
    <n v="30000"/>
    <s v="County"/>
    <s v="County - $60,000"/>
    <s v="N/A"/>
    <s v="Structural"/>
    <x v="5"/>
    <s v="North Indian River Lagoon"/>
    <n v="28.622769999999999"/>
    <n v="-80.814719999999994"/>
    <s v="TBD"/>
  </r>
  <r>
    <x v="5"/>
    <s v="TBD"/>
    <s v="TV-25"/>
    <s v="Grace Basin TMDL Improvements"/>
    <s v="Future project."/>
    <s v="BMP Treatment Train"/>
    <x v="3"/>
    <s v="TBD"/>
    <s v="TBD"/>
    <s v="TBD"/>
    <x v="0"/>
    <n v="17.73"/>
    <s v="TBD"/>
    <s v="TBD"/>
    <s v="TBD"/>
    <s v="TBD"/>
    <s v="N/A"/>
    <s v="Structural"/>
    <x v="5"/>
    <s v="North Indian River Lagoon"/>
    <s v="TBD"/>
    <s v="TBD"/>
    <s v="TBD"/>
  </r>
  <r>
    <x v="5"/>
    <s v="Private Development"/>
    <s v="TV-26"/>
    <s v="Miracle City Basin TMDL Improvements"/>
    <s v="2nd generation baffle box."/>
    <s v="Baffle Boxes- Second Generation"/>
    <x v="0"/>
    <n v="2018"/>
    <s v="TBD"/>
    <s v="TBD"/>
    <x v="0"/>
    <n v="2.448"/>
    <s v="TBD"/>
    <n v="4000"/>
    <s v="Private Development"/>
    <s v="TBD"/>
    <s v="N/A"/>
    <s v="Structural"/>
    <x v="5"/>
    <s v="North Indian River Lagoon"/>
    <n v="28.586196999999999"/>
    <n v="-80.805989999999994"/>
    <n v="2017"/>
  </r>
  <r>
    <x v="5"/>
    <s v="TBD"/>
    <s v="TV-27"/>
    <s v="South Marina Basin TMDL Improvements"/>
    <s v="Future project."/>
    <s v="BMP Treatment Train"/>
    <x v="3"/>
    <s v="TBD"/>
    <s v="TBD"/>
    <s v="TBD"/>
    <x v="0"/>
    <n v="322.88"/>
    <s v="TBD"/>
    <s v="TBD"/>
    <s v="TBD"/>
    <s v="TBD"/>
    <s v="N/A"/>
    <s v="Structural"/>
    <x v="5"/>
    <s v="North Indian River Lagoon"/>
    <s v="TBD"/>
    <s v="TBD"/>
    <s v="TBD"/>
  </r>
  <r>
    <x v="5"/>
    <s v="TBD"/>
    <s v="TV-28"/>
    <s v="S.R. 50 Basin TMDL Improvements"/>
    <s v="Future project."/>
    <s v="BMP Treatment Train"/>
    <x v="3"/>
    <s v="TBD"/>
    <s v="TBD"/>
    <s v="TBD"/>
    <x v="0"/>
    <n v="131.09"/>
    <s v="TBD"/>
    <s v="TBD"/>
    <s v="TBD"/>
    <s v="TBD"/>
    <s v="N/A"/>
    <s v="Structural"/>
    <x v="5"/>
    <s v="North Indian River Lagoon"/>
    <s v="TBD"/>
    <s v="TBD"/>
    <s v="TBD"/>
  </r>
  <r>
    <x v="5"/>
    <s v="TBD"/>
    <s v="TV-29"/>
    <s v="Commons Basin TMDL Improvements"/>
    <s v="Future project."/>
    <s v="BMP Treatment Train"/>
    <x v="3"/>
    <s v="TBD"/>
    <s v="TBD"/>
    <s v="TBD"/>
    <x v="0"/>
    <n v="4.37"/>
    <s v="TBD"/>
    <s v="TBD"/>
    <s v="TBD"/>
    <s v="TBD"/>
    <s v="N/A"/>
    <s v="Structural"/>
    <x v="5"/>
    <s v="North Indian River Lagoon"/>
    <s v="TBD"/>
    <s v="TBD"/>
    <s v="TBD"/>
  </r>
  <r>
    <x v="5"/>
    <s v="TBD"/>
    <s v="TV-30"/>
    <s v="Broad Street Basin TMDL Improvements"/>
    <s v="Future project."/>
    <s v="BMP Treatment Train"/>
    <x v="3"/>
    <s v="TBD"/>
    <s v="TBD"/>
    <s v="TBD"/>
    <x v="0"/>
    <n v="13.44"/>
    <s v="TBD"/>
    <s v="TBD"/>
    <s v="TBD"/>
    <s v="TBD"/>
    <s v="N/A"/>
    <s v="Structural"/>
    <x v="5"/>
    <s v="North Indian River Lagoon"/>
    <s v="TBD"/>
    <s v="TBD"/>
    <s v="TBD"/>
  </r>
  <r>
    <x v="5"/>
    <s v="TBD"/>
    <s v="TV-31"/>
    <s v="Riverview Street Basin TMDL Improvements"/>
    <s v="Future project."/>
    <s v="BMP Treatment Train"/>
    <x v="3"/>
    <s v="TBD"/>
    <s v="TBD"/>
    <s v="TBD"/>
    <x v="0"/>
    <n v="7.32"/>
    <s v="TBD"/>
    <s v="TBD"/>
    <s v="TBD"/>
    <s v="TBD"/>
    <s v="N/A"/>
    <s v="Structural"/>
    <x v="5"/>
    <s v="North Indian River Lagoon"/>
    <s v="TBD"/>
    <s v="TBD"/>
    <s v="TBD"/>
  </r>
  <r>
    <x v="5"/>
    <s v="TBD"/>
    <s v="TV-32"/>
    <s v="THS 2 Basin TMDL Improvements"/>
    <s v="Future project."/>
    <s v="BMP Treatment Train"/>
    <x v="3"/>
    <s v="TBD"/>
    <s v="TBD"/>
    <s v="TBD"/>
    <x v="0"/>
    <n v="26.54"/>
    <s v="TBD"/>
    <s v="TBD"/>
    <s v="TBD"/>
    <s v="TBD"/>
    <s v="N/A"/>
    <s v="Structural"/>
    <x v="5"/>
    <s v="North Indian River Lagoon"/>
    <s v="TBD"/>
    <s v="TBD"/>
    <s v="TBD"/>
  </r>
  <r>
    <x v="5"/>
    <s v="Brevard County"/>
    <s v="TV-33"/>
    <s v="Osprey Water Reclamation Nutrient Removal Upgrade"/>
    <s v="Nitrogen effluent reduction of reclaimed water from 17.9 mg/l to 6 mg/l."/>
    <s v="WWTF Nutrient Reduction"/>
    <x v="3"/>
    <n v="2022"/>
    <s v="TBD"/>
    <s v="TBD"/>
    <x v="0"/>
    <s v="N/A"/>
    <n v="8000000"/>
    <s v="TBD"/>
    <s v="City/ County"/>
    <s v="TBD"/>
    <s v="N/A"/>
    <s v="Structural"/>
    <x v="6"/>
    <s v="North Indian River Lagoon"/>
    <n v="28.62416"/>
    <n v="80.816109999999995"/>
    <n v="2019"/>
  </r>
  <r>
    <x v="5"/>
    <s v="Brevard County"/>
    <s v="TV-34"/>
    <s v="Draa Field Pond MAPS"/>
    <s v="Managed aquatic plant system within a 3 acre pond."/>
    <s v="Floating Islands/ Managed Aquatic Plant Systems (MAPS)"/>
    <x v="3"/>
    <n v="2020"/>
    <s v="TBD"/>
    <s v="TBD"/>
    <x v="0"/>
    <n v="105"/>
    <n v="60000"/>
    <n v="40000"/>
    <s v="City/ Brevard County"/>
    <s v="City - $28,719 / County - $31,281"/>
    <s v="N/A"/>
    <s v="Structural"/>
    <x v="2"/>
    <s v="North Indian River Lagoon"/>
    <n v="28.61861"/>
    <n v="-80.820549999999997"/>
    <s v="N/A"/>
  </r>
  <r>
    <x v="5"/>
    <s v="Brevard County"/>
    <s v="TV-35"/>
    <s v="Draa Field Vegetation Harvesting"/>
    <s v="Aquatic vegetation harvesting of a 3 acre pond."/>
    <s v="Aquatic Vegetation Harvesting"/>
    <x v="3"/>
    <n v="2020"/>
    <s v="TBD"/>
    <s v="TBD"/>
    <x v="0"/>
    <n v="3"/>
    <n v="50000"/>
    <n v="0"/>
    <s v="City/ Brevard County"/>
    <s v="TBD"/>
    <s v="N/A"/>
    <s v="Non-structural"/>
    <x v="2"/>
    <s v="North Indian River Lagoon"/>
    <n v="28.61861"/>
    <n v="-80.820549999999997"/>
    <s v="N/A"/>
  </r>
  <r>
    <x v="6"/>
    <s v="N/A"/>
    <s v="AG-01"/>
    <s v="Credit for Changes in Land Use"/>
    <s v="Credit for changes in land use."/>
    <s v="Land Use Change"/>
    <x v="0"/>
    <s v="N/A"/>
    <n v="5047"/>
    <n v="1420.3"/>
    <x v="0"/>
    <s v="N/A"/>
    <s v="N/A"/>
    <s v="N/A"/>
    <s v="N/A"/>
    <s v="N/A"/>
    <s v="N/A"/>
    <s v="Non-structural"/>
    <x v="0"/>
    <s v="North Indian River Lagoon"/>
    <s v="N/A"/>
    <s v="N/A"/>
    <s v="Not provided"/>
  </r>
  <r>
    <x v="6"/>
    <s v="N/A"/>
    <s v="AG-02"/>
    <s v="Credit for Changes in Land Use"/>
    <s v="Credit for changes in land use."/>
    <s v="Land Use Change"/>
    <x v="0"/>
    <s v="N/A"/>
    <n v="4739"/>
    <n v="1029.4000000000001"/>
    <x v="1"/>
    <s v="N/A"/>
    <s v="N/A"/>
    <s v="N/A"/>
    <s v="N/A"/>
    <s v="N/A"/>
    <s v="N/A"/>
    <s v="Non-structural"/>
    <x v="0"/>
    <s v="North Indian River Lagoon"/>
    <s v="N/A"/>
    <s v="N/A"/>
    <s v="Not provided"/>
  </r>
  <r>
    <x v="6"/>
    <s v="Agricultural Producers"/>
    <s v="AG-03"/>
    <s v="BMP Implementation and Verification"/>
    <s v="Enrollment and verification of BMPs by agricultural producers. Acres treated based on FDACS OAWP December 2019 Enrollment and FSAID VI."/>
    <s v="Agricultural BMPs"/>
    <x v="1"/>
    <s v="N/A"/>
    <s v="N/A"/>
    <s v="N/A"/>
    <x v="0"/>
    <n v="212.4498796826222"/>
    <s v="TBD"/>
    <s v="TBD"/>
    <s v="FDACS"/>
    <s v="TBD"/>
    <s v="N/A"/>
    <s v="Non-structural"/>
    <x v="7"/>
    <s v="North Indian River Lagoon"/>
    <s v="N/A"/>
    <s v="N/A"/>
    <s v="N/A"/>
  </r>
  <r>
    <x v="6"/>
    <s v="Agricultural Producers"/>
    <s v="AG-04"/>
    <s v="BMP Implementation and Verification"/>
    <s v="Enrollment and verification of BMPs by agricultural producers. Acres treated based on FDACS OAWP December 2019 Enrollment and FSAID VI."/>
    <s v="Agricultural BMPs"/>
    <x v="1"/>
    <s v="N/A"/>
    <s v="N/A"/>
    <s v="N/A"/>
    <x v="1"/>
    <n v="67.796502288520003"/>
    <s v="TBD"/>
    <s v="TBD"/>
    <s v="FDACS"/>
    <s v="TBD"/>
    <s v="N/A"/>
    <s v="Non-structural"/>
    <x v="2"/>
    <s v="North Indian River Lagoon"/>
    <s v="N/A"/>
    <s v="N/A"/>
    <s v="N/A"/>
  </r>
  <r>
    <x v="7"/>
    <s v="N/A"/>
    <s v="FDOT-01"/>
    <s v="Education Efforts"/>
    <s v="IDDE training, brochures, and NDPES flyer."/>
    <s v="Education Efforts"/>
    <x v="0"/>
    <s v="N/A"/>
    <n v="39"/>
    <n v="11.3"/>
    <x v="0"/>
    <s v="N/A"/>
    <s v="Not provided"/>
    <s v="Not provided"/>
    <s v="Florida Legislature"/>
    <s v="Not provided"/>
    <s v="N/A"/>
    <s v="Non-structural"/>
    <x v="0"/>
    <s v="North Indian River Lagoon"/>
    <s v="N/A"/>
    <s v="N/A"/>
    <n v="2004"/>
  </r>
  <r>
    <x v="7"/>
    <s v="N/A"/>
    <s v="FDOT-02"/>
    <s v="Street Sweeping"/>
    <s v="Not provided."/>
    <s v="Street Sweeping"/>
    <x v="0"/>
    <s v="N/A"/>
    <n v="185"/>
    <n v="119"/>
    <x v="0"/>
    <s v="N/A"/>
    <s v="Not provided"/>
    <s v="Not provided"/>
    <s v="Florida Legislature"/>
    <s v="Not provided"/>
    <s v="N/A"/>
    <s v="Non-structural"/>
    <x v="0"/>
    <s v="North Indian River Lagoon"/>
    <s v="N/A"/>
    <s v="N/A"/>
    <n v="2013"/>
  </r>
  <r>
    <x v="7"/>
    <s v="N/A"/>
    <s v="FDOT-03"/>
    <s v="Fertilizer Cessation"/>
    <s v="Elimination of fertilizer use along the rights-of-way."/>
    <s v="Fertilizer Cessation"/>
    <x v="0"/>
    <n v="2005"/>
    <n v="595"/>
    <n v="0"/>
    <x v="0"/>
    <s v="N/A"/>
    <s v="Not provided"/>
    <s v="Not provided"/>
    <s v="Florida Legislature"/>
    <s v="Not provided"/>
    <s v="N/A"/>
    <s v="Non-structural"/>
    <x v="0"/>
    <s v="North Indian River Lagoon"/>
    <s v="N/A"/>
    <s v="N/A"/>
    <n v="2013"/>
  </r>
  <r>
    <x v="7"/>
    <s v="N/A"/>
    <s v="FDOT-04"/>
    <s v="70010-3517-01 French Drains"/>
    <s v="Missing from Model. French Drain system along State Road 5 from University Boulevard to Aurora Road."/>
    <s v="100% On-site Retention"/>
    <x v="0"/>
    <n v="1996"/>
    <n v="57"/>
    <n v="34.200000000000003"/>
    <x v="1"/>
    <n v="21.3"/>
    <s v="Not provided"/>
    <s v="Not provided"/>
    <s v="Florida Legislature"/>
    <s v="Not provided"/>
    <s v="N/A"/>
    <s v="Structural"/>
    <x v="0"/>
    <s v="North Indian River Lagoon"/>
    <n v="28.071010999999999"/>
    <n v="-80.613906"/>
    <n v="1995"/>
  </r>
  <r>
    <x v="7"/>
    <s v="N/A"/>
    <s v="FDOT-05"/>
    <s v="70100-3544-01 French Drains"/>
    <s v="Missing from Model. Add lanes East of H.  Humphrey Bridge to Sykes Creek Parkway."/>
    <s v="100% On-site Retention"/>
    <x v="0"/>
    <n v="1995"/>
    <n v="26"/>
    <n v="13.6"/>
    <x v="1"/>
    <n v="7"/>
    <s v="Not provided"/>
    <s v="Not provided"/>
    <s v="Florida Legislature"/>
    <s v="Not provided"/>
    <s v="N/A"/>
    <s v="Structural"/>
    <x v="0"/>
    <s v="North Indian River Lagoon"/>
    <n v="28.356532000000001"/>
    <n v="-80.708950000000002"/>
    <n v="1995"/>
  </r>
  <r>
    <x v="7"/>
    <s v="N/A"/>
    <s v="FDOT-06"/>
    <s v="70020-3501-01 Pond 1"/>
    <s v="Missing from Model. State Road 5 -Add lanes and reconstruct from Aurora Road to Post Road."/>
    <s v="Wet Detention Pond"/>
    <x v="0"/>
    <n v="2004"/>
    <n v="38"/>
    <n v="22.4"/>
    <x v="1"/>
    <n v="17.100000000000001"/>
    <s v="Not provided"/>
    <s v="Not provided"/>
    <s v="Florida Legislature"/>
    <s v="Not provided"/>
    <s v="N/A"/>
    <s v="Structural"/>
    <x v="0"/>
    <s v="North Indian River Lagoon"/>
    <n v="28.142420000000001"/>
    <n v="-80.634010000000004"/>
    <n v="2014"/>
  </r>
  <r>
    <x v="7"/>
    <s v="N/A"/>
    <s v="FDOT-07"/>
    <s v="70020-3501-02A Pond 2A"/>
    <s v="Missing from Model. State Road 5 -Add lanes and reconstruct from Aurora Road to Post Road."/>
    <s v="Wet Detention Pond"/>
    <x v="0"/>
    <n v="2004"/>
    <n v="35"/>
    <n v="19.2"/>
    <x v="1"/>
    <n v="12.6"/>
    <s v="Not provided"/>
    <s v="Not provided"/>
    <s v="Florida Legislature"/>
    <s v="Not provided"/>
    <s v="N/A"/>
    <s v="Structural"/>
    <x v="0"/>
    <s v="North Indian River Lagoon"/>
    <n v="28.153860000000002"/>
    <n v="-80.639700000000005"/>
    <n v="2014"/>
  </r>
  <r>
    <x v="7"/>
    <s v="N/A"/>
    <s v="FDOT-08"/>
    <s v="70020-3501-02B Pond 2B"/>
    <s v="Missing from Model. State Road 5 -Add lanes and reconstruct from Aurora Road to Post Road."/>
    <s v="Wet Detention Pond"/>
    <x v="0"/>
    <n v="2004"/>
    <n v="10"/>
    <n v="5.2"/>
    <x v="1"/>
    <n v="4.8"/>
    <s v="Not provided"/>
    <s v="Not provided"/>
    <s v="Florida Legislature"/>
    <s v="Not provided"/>
    <s v="N/A"/>
    <s v="Structural"/>
    <x v="0"/>
    <s v="North Indian River Lagoon"/>
    <n v="28.158059999999999"/>
    <n v="-80.641059999999996"/>
    <n v="2014"/>
  </r>
  <r>
    <x v="7"/>
    <s v="N/A"/>
    <s v="FDOT-09"/>
    <s v="70020-3501-03 Pond 3"/>
    <s v="Missing from Model. State Road 5 -Add lanes and reconstruct from Aurora Road to Post Road."/>
    <s v="Wet Detention Pond"/>
    <x v="0"/>
    <n v="2004"/>
    <n v="18"/>
    <n v="10.4"/>
    <x v="1"/>
    <n v="8.4"/>
    <s v="Not provided"/>
    <s v="Not provided"/>
    <s v="Florida Legislature"/>
    <s v="Not provided"/>
    <s v="N/A"/>
    <s v="Structural"/>
    <x v="0"/>
    <s v="North Indian River Lagoon"/>
    <n v="28.158059999999999"/>
    <n v="-80.641059999999996"/>
    <n v="2014"/>
  </r>
  <r>
    <x v="7"/>
    <s v="N/A"/>
    <s v="FDOT-10"/>
    <s v="70020-3501-04 Pond 4"/>
    <s v="Missing from Model. State Road 5 -Add lanes and reconstruct from Aurora Road to Post Road."/>
    <s v="Dry Detention Pond"/>
    <x v="0"/>
    <n v="2004"/>
    <n v="17"/>
    <n v="8.8000000000000007"/>
    <x v="1"/>
    <n v="7.9"/>
    <s v="Not provided"/>
    <s v="Not provided"/>
    <s v="Florida Legislature"/>
    <s v="Not provided"/>
    <s v="N/A"/>
    <s v="Structural"/>
    <x v="0"/>
    <s v="North Indian River Lagoon"/>
    <n v="28.16545"/>
    <n v="-80.644840000000002"/>
    <n v="2014"/>
  </r>
  <r>
    <x v="7"/>
    <s v="N/A"/>
    <s v="FDOT-11"/>
    <s v="70020-3549-01 Pond 1"/>
    <s v="Missing from Model. State Road 5 - Add lanes and reconstruct from Post Road to State Road 404."/>
    <s v="Wet Detention Pond"/>
    <x v="0"/>
    <n v="2005"/>
    <n v="28"/>
    <n v="14.2"/>
    <x v="1"/>
    <n v="9.9"/>
    <s v="Not provided"/>
    <s v="Not provided"/>
    <s v="Florida Legislature"/>
    <s v="Not provided"/>
    <s v="N/A"/>
    <s v="Structural"/>
    <x v="0"/>
    <s v="North Indian River Lagoon"/>
    <n v="28.176938"/>
    <n v="-80.650852999999998"/>
    <n v="2009"/>
  </r>
  <r>
    <x v="7"/>
    <s v="N/A"/>
    <s v="FDOT-12"/>
    <s v="70020-3549-02 Pond 2"/>
    <s v="Missing from Model. State Road 5 - Add lanes and reconstruct from Post Road to State Road 404."/>
    <s v="Wet Detention Pond"/>
    <x v="0"/>
    <n v="2005"/>
    <n v="34"/>
    <n v="18.2"/>
    <x v="1"/>
    <n v="18.899999999999999"/>
    <s v="Not provided"/>
    <s v="Not provided"/>
    <s v="Florida Legislature"/>
    <s v="Not provided"/>
    <s v="N/A"/>
    <s v="Structural"/>
    <x v="0"/>
    <s v="North Indian River Lagoon"/>
    <n v="28.187348"/>
    <n v="-80.655460000000005"/>
    <n v="2009"/>
  </r>
  <r>
    <x v="7"/>
    <s v="N/A"/>
    <s v="FDOT-13"/>
    <s v="70020-3549-03 Pond 3"/>
    <s v="Missing from Model. State Road 5 - Add lanes and reconstruct from Post Road to State Road 404."/>
    <s v="Wet Detention Pond"/>
    <x v="0"/>
    <n v="2005"/>
    <n v="32"/>
    <n v="16.5"/>
    <x v="1"/>
    <n v="11.2"/>
    <s v="Not provided"/>
    <s v="Not provided"/>
    <s v="Florida Legislature"/>
    <s v="Not provided"/>
    <s v="N/A"/>
    <s v="Structural"/>
    <x v="0"/>
    <s v="North Indian River Lagoon"/>
    <n v="28.195774"/>
    <n v="-80.659115"/>
    <n v="2009"/>
  </r>
  <r>
    <x v="7"/>
    <s v="N/A"/>
    <s v="FDOT-14"/>
    <s v="70020-3549-04 Pond 4"/>
    <s v="Missing from Model. State Road 5 - Add lanes and reconstruct from Post Road to State Road 404."/>
    <s v="Wet Detention Pond"/>
    <x v="0"/>
    <n v="2005"/>
    <n v="14"/>
    <n v="7"/>
    <x v="1"/>
    <n v="3.4"/>
    <s v="Not provided"/>
    <s v="Not provided"/>
    <s v="Florida Legislature"/>
    <s v="Not provided"/>
    <s v="N/A"/>
    <s v="Structural"/>
    <x v="0"/>
    <s v="North Indian River Lagoon"/>
    <n v="28.197889"/>
    <n v="-80.660989999999998"/>
    <n v="2009"/>
  </r>
  <r>
    <x v="7"/>
    <s v="N/A"/>
    <s v="FDOT-15"/>
    <s v="70020-3549-05 Pond 5"/>
    <s v="Missing from Model. State Road 5 - Add lanes and reconstruct from Post Road to State Road 404."/>
    <s v="Wet Detention Pond"/>
    <x v="0"/>
    <n v="2005"/>
    <n v="11"/>
    <n v="6"/>
    <x v="1"/>
    <n v="3.4"/>
    <s v="Not provided"/>
    <s v="Not provided"/>
    <s v="Florida Legislature"/>
    <s v="Not provided"/>
    <s v="N/A"/>
    <s v="Structural"/>
    <x v="0"/>
    <s v="North Indian River Lagoon"/>
    <n v="28.200246"/>
    <n v="-80.660730000000001"/>
    <n v="2009"/>
  </r>
  <r>
    <x v="7"/>
    <s v="N/A"/>
    <s v="FDOT-16"/>
    <s v=" 70140-3514-01 Pond A"/>
    <s v="Missing from Model. State Road 3 - Replace Christa McAuliffe Bridge."/>
    <s v="Dry Detention Pond"/>
    <x v="0"/>
    <n v="1997"/>
    <n v="4"/>
    <n v="2.4"/>
    <x v="1"/>
    <n v="1.5"/>
    <s v="Not provided"/>
    <s v="Not provided"/>
    <s v="Florida Legislature"/>
    <s v="Not provided"/>
    <s v="N/A"/>
    <s v="Structural"/>
    <x v="0"/>
    <s v="North Indian River Lagoon"/>
    <n v="28.407125000000001"/>
    <n v="-80.705574999999996"/>
    <n v="2000"/>
  </r>
  <r>
    <x v="7"/>
    <s v="N/A"/>
    <s v="FDOT-17"/>
    <s v=" 70140-3514-02 Pond B"/>
    <s v="Missing from Model. State Road 3 - Replace Christa McAuliffe Bridge."/>
    <s v="Wet Detention Pond"/>
    <x v="0"/>
    <n v="1997"/>
    <n v="18"/>
    <n v="7.5"/>
    <x v="1"/>
    <n v="5.9"/>
    <s v="Not provided"/>
    <s v="Not provided"/>
    <s v="Florida Legislature"/>
    <s v="Not provided"/>
    <s v="N/A"/>
    <s v="Structural"/>
    <x v="0"/>
    <s v="North Indian River Lagoon"/>
    <n v="28.409645000000001"/>
    <n v="-80.704307"/>
    <n v="2000"/>
  </r>
  <r>
    <x v="7"/>
    <s v="N/A"/>
    <s v="FDOT-18"/>
    <s v="70120-3518-01 Pond 7"/>
    <s v="Missing from Model. State Road 518 at State Road 513."/>
    <s v="Wet Detention Pond"/>
    <x v="0"/>
    <n v="1984"/>
    <n v="45"/>
    <n v="21.1"/>
    <x v="1"/>
    <n v="9.9"/>
    <s v="Not provided"/>
    <s v="Not provided"/>
    <s v="Florida Legislature"/>
    <s v="Not provided"/>
    <s v="N/A"/>
    <s v="Structural"/>
    <x v="0"/>
    <s v="North Indian River Lagoon"/>
    <n v="28.137447000000002"/>
    <n v="-80.600211000000002"/>
    <n v="1988"/>
  </r>
  <r>
    <x v="7"/>
    <s v="N/A"/>
    <s v="FDOT-19"/>
    <s v="70008-3505-01 Pond 1"/>
    <s v="Missing from Model. From south of State Road 518 (Eau Gallie Causeway) to Banana River Drive."/>
    <s v="Wet Detention Pond"/>
    <x v="0"/>
    <n v="1992"/>
    <n v="6"/>
    <n v="3.4"/>
    <x v="1"/>
    <n v="2.2999999999999998"/>
    <s v="Not provided"/>
    <s v="Not provided"/>
    <s v="Florida Legislature"/>
    <s v="Not provided"/>
    <s v="N/A"/>
    <s v="Structural"/>
    <x v="0"/>
    <s v="North Indian River Lagoon"/>
    <n v="28.136172999999999"/>
    <n v="-80.597804999999994"/>
    <n v="1997"/>
  </r>
  <r>
    <x v="7"/>
    <s v="N/A"/>
    <s v="FDOT-20"/>
    <s v="Education Efforts"/>
    <s v="IDDE training, stormwater brochures, NDPES flyer."/>
    <s v="Education Efforts"/>
    <x v="0"/>
    <s v="N/A"/>
    <n v="86"/>
    <n v="28"/>
    <x v="1"/>
    <s v="N/A"/>
    <s v="Not provided"/>
    <s v="Not provided"/>
    <s v="Florida Legislature"/>
    <s v="Not provided"/>
    <s v="N/A"/>
    <s v="Non-structural"/>
    <x v="0"/>
    <s v="North Indian River Lagoon"/>
    <s v="N/A"/>
    <s v="N/A"/>
    <n v="2004"/>
  </r>
  <r>
    <x v="7"/>
    <s v="N/A"/>
    <s v="FDOT-21"/>
    <s v="Street Sweeping"/>
    <s v="Street sweeping."/>
    <s v="Street Sweeping"/>
    <x v="0"/>
    <s v="N/A"/>
    <n v="466"/>
    <n v="254"/>
    <x v="1"/>
    <s v="N/A"/>
    <s v="Not provided"/>
    <s v="Not provided"/>
    <s v="Florida Legislature"/>
    <s v="Not provided"/>
    <s v="N/A"/>
    <s v="Non-structural"/>
    <x v="0"/>
    <s v="North Indian River Lagoon"/>
    <s v="N/A"/>
    <s v="N/A"/>
    <n v="2015"/>
  </r>
  <r>
    <x v="7"/>
    <s v="N/A"/>
    <s v="FDOT-22"/>
    <s v="Fertilizer Cessation"/>
    <s v="Elimination of fertilizer use along the rights-of-way."/>
    <s v="Fertilizer Cessation"/>
    <x v="0"/>
    <n v="2005"/>
    <n v="2785"/>
    <n v="426"/>
    <x v="1"/>
    <s v="N/A"/>
    <s v="Not provided"/>
    <s v="Not provided"/>
    <s v="Florida Legislature"/>
    <s v="Not provided"/>
    <s v="N/A"/>
    <s v="Non-structural"/>
    <x v="0"/>
    <s v="North Indian River Lagoon"/>
    <s v="N/A"/>
    <s v="N/A"/>
    <n v="2005"/>
  </r>
  <r>
    <x v="8"/>
    <s v="Not provided"/>
    <s v="KSC-01"/>
    <s v="Landscape Fertilizer Reduction"/>
    <s v="Fertilizer use reduced from 60 tons/year in 2000 to 20 tons/year in 2010; formula changed from rapid nitrogen release 16-4-8 to slow nitrogen release, phosphate-free 15-0-15."/>
    <s v="Fertilizer Reduction"/>
    <x v="0"/>
    <s v="Prior to 2013"/>
    <n v="312"/>
    <n v="44.2"/>
    <x v="0"/>
    <s v="N/A"/>
    <s v="Not provided"/>
    <s v="Not provided"/>
    <s v="Not provided"/>
    <s v="Not provided"/>
    <s v="N/A"/>
    <s v="Non-structural"/>
    <x v="0"/>
    <s v="North Indian River Lagoon"/>
    <s v="N/A"/>
    <s v="N/A"/>
    <s v="Not provided"/>
  </r>
  <r>
    <x v="8"/>
    <s v="Not provided"/>
    <s v="KSC-02"/>
    <s v="Citrus Grove Termination Roberts Road"/>
    <s v="Grove lease termination resulted in abandonment of previously fertilized areas."/>
    <s v="Fertilizer Reduction"/>
    <x v="0"/>
    <n v="2010"/>
    <n v="140"/>
    <n v="557.20000000000005"/>
    <x v="0"/>
    <s v="Not provided"/>
    <s v="Not provided"/>
    <s v="Not provided"/>
    <s v="Not provided"/>
    <s v="Not provided"/>
    <s v="N/A"/>
    <s v="Non-structural"/>
    <x v="0"/>
    <s v="North Indian River Lagoon"/>
    <s v="Not provided"/>
    <s v="Not provided"/>
    <s v="Not provided"/>
  </r>
  <r>
    <x v="8"/>
    <s v="Not provided"/>
    <s v="KSC-03"/>
    <s v="Citrus Grove Termination Schwartz Road"/>
    <s v="Grove lease termination resulted in abandonment of previously fertilized areas."/>
    <s v="Fertilizer Reduction"/>
    <x v="0"/>
    <n v="2010"/>
    <n v="256"/>
    <n v="308.10000000000002"/>
    <x v="0"/>
    <s v="Not provided"/>
    <s v="Not provided"/>
    <s v="Not provided"/>
    <s v="Not provided"/>
    <s v="Not provided"/>
    <s v="N/A"/>
    <s v="Non-structural"/>
    <x v="0"/>
    <s v="North Indian River Lagoon"/>
    <s v="Not provided"/>
    <s v="Not provided"/>
    <s v="Not provided"/>
  </r>
  <r>
    <x v="8"/>
    <s v="N/A"/>
    <s v="KSC-04"/>
    <s v="Storage Building L5-0734"/>
    <s v="Demolition of facility resulted in loss of impervious area and change of land use."/>
    <s v="Land Use Change"/>
    <x v="0"/>
    <n v="2010"/>
    <n v="0"/>
    <n v="0"/>
    <x v="0"/>
    <s v="N/A"/>
    <s v="N/A"/>
    <s v="N/A"/>
    <s v="N/A"/>
    <s v="N/A"/>
    <s v="N/A"/>
    <s v="Non-structural"/>
    <x v="0"/>
    <s v="North Indian River Lagoon"/>
    <s v="Not provided"/>
    <s v="Not provided"/>
    <s v="Not provided"/>
  </r>
  <r>
    <x v="8"/>
    <s v="N/A"/>
    <s v="KSC-05"/>
    <s v="Support Building L5-0683"/>
    <s v="Demolition of facility resulted in loss of impervious area and change of land use."/>
    <s v="Land Use Change"/>
    <x v="0"/>
    <n v="2010"/>
    <n v="3"/>
    <n v="1"/>
    <x v="0"/>
    <n v="0.2"/>
    <s v="N/A"/>
    <s v="N/A"/>
    <s v="N/A"/>
    <s v="N/A"/>
    <s v="N/A"/>
    <s v="Non-structural"/>
    <x v="0"/>
    <s v="North Indian River Lagoon"/>
    <s v="Not provided"/>
    <s v="Not provided"/>
    <s v="Not provided"/>
  </r>
  <r>
    <x v="8"/>
    <s v="Not provided"/>
    <s v="KSC-06"/>
    <s v="Shuttle Landing Facility - missing from model"/>
    <s v="Runoff is captured and treated before discharging to the lagoon."/>
    <s v="Wet Detention Pond"/>
    <x v="0"/>
    <s v="Prior to 2013"/>
    <n v="2566"/>
    <n v="1005"/>
    <x v="0"/>
    <n v="617.79999999999995"/>
    <s v="Not provided"/>
    <s v="Not provided"/>
    <s v="Not provided"/>
    <s v="Not provided"/>
    <s v="N/A"/>
    <s v="Structural"/>
    <x v="0"/>
    <s v="North Indian River Lagoon"/>
    <s v="Not provided"/>
    <s v="Not provided"/>
    <s v="Not provided"/>
  </r>
  <r>
    <x v="8"/>
    <s v="Not provided"/>
    <s v="KSC-07"/>
    <s v="Launch Pad 39A"/>
    <s v="This area is a closed basin."/>
    <s v="Closed Basin"/>
    <x v="0"/>
    <n v="2014"/>
    <n v="1255"/>
    <n v="326.3"/>
    <x v="0"/>
    <n v="456.5"/>
    <s v="Not provided"/>
    <s v="Not provided"/>
    <s v="Not provided"/>
    <s v="Not provided"/>
    <s v="N/A"/>
    <s v="Non-structural"/>
    <x v="0"/>
    <s v="North Indian River Lagoon"/>
    <s v="Not provided"/>
    <s v="Not provided"/>
    <s v="Not provided"/>
  </r>
  <r>
    <x v="8"/>
    <s v="Not provided"/>
    <s v="KSC-08"/>
    <s v="Launch Pad 39B"/>
    <s v="This area is a closed basin."/>
    <s v="Closed Basin"/>
    <x v="0"/>
    <n v="2014"/>
    <n v="3043"/>
    <n v="588.5"/>
    <x v="0"/>
    <n v="549"/>
    <s v="Not provided"/>
    <s v="Not provided"/>
    <s v="Not provided"/>
    <s v="Not provided"/>
    <s v="N/A"/>
    <s v="Non-structural"/>
    <x v="0"/>
    <s v="North Indian River Lagoon"/>
    <s v="Not provided"/>
    <s v="Not provided"/>
    <s v="Not provided"/>
  </r>
  <r>
    <x v="8"/>
    <s v="Not provided"/>
    <s v="KSC-09"/>
    <s v="Schwartz Road Drainage System - missing from model"/>
    <s v="Closed system that ultimately drains to the northwest before discharging to an impoundment area adjacent to the lagoon."/>
    <s v="Impoundment"/>
    <x v="0"/>
    <n v="2014"/>
    <n v="1290"/>
    <n v="270.8"/>
    <x v="0"/>
    <n v="1614.1"/>
    <s v="Not provided"/>
    <s v="Not provided"/>
    <s v="Not provided"/>
    <s v="Not provided"/>
    <s v="N/A"/>
    <s v="Structural"/>
    <x v="0"/>
    <s v="North Indian River Lagoon"/>
    <s v="Not provided"/>
    <s v="Not provided"/>
    <s v="Not provided"/>
  </r>
  <r>
    <x v="8"/>
    <s v="Not provided"/>
    <s v="KSC-10"/>
    <s v="Warehouse/Processing Area - missing from model"/>
    <s v="Receives treatment from permitted stormwater treatment systems."/>
    <s v="Wet Detention Pond"/>
    <x v="0"/>
    <n v="2014"/>
    <n v="75"/>
    <n v="33.200000000000003"/>
    <x v="0"/>
    <n v="15.2"/>
    <s v="Not provided"/>
    <s v="Not provided"/>
    <s v="Not provided"/>
    <s v="Not provided"/>
    <s v="N/A"/>
    <s v="Structural"/>
    <x v="0"/>
    <s v="North Indian River Lagoon"/>
    <s v="Not provided"/>
    <s v="Not provided"/>
    <s v="Not provided"/>
  </r>
  <r>
    <x v="8"/>
    <s v="Not provided"/>
    <s v="KSC-11"/>
    <s v="Landscape Fertilizer Reduction"/>
    <s v="Fertilizer use reduced from 60 tons/year in 2000 to 20 tons/year in 2010; formula changed from rapid nitrogen release 16-4-8 to slow nitrogen release, phosphate-free 15-0-15."/>
    <s v="Fertilizer Reduction"/>
    <x v="0"/>
    <s v="Prior to 2013"/>
    <n v="312"/>
    <n v="44.2"/>
    <x v="1"/>
    <s v="N/A"/>
    <s v="Not provided"/>
    <s v="Not provided"/>
    <s v="Not provided"/>
    <s v="Not provided"/>
    <s v="N/A"/>
    <s v="Non-structural"/>
    <x v="0"/>
    <s v="North Indian River Lagoon"/>
    <s v="Not provided"/>
    <s v="Not provided"/>
    <s v="Not provided"/>
  </r>
  <r>
    <x v="8"/>
    <s v="Not provided"/>
    <s v="KSC-12"/>
    <s v="Citrus Grove Termination Jerome Road West"/>
    <s v="Grove lease termination resulted in abandonment of previously fertilized areas."/>
    <s v="Fertilizer Reduction"/>
    <x v="0"/>
    <n v="2010"/>
    <n v="184"/>
    <n v="850.8"/>
    <x v="1"/>
    <s v="N/A"/>
    <s v="Not provided"/>
    <s v="Not provided"/>
    <s v="Not provided"/>
    <s v="Not provided"/>
    <s v="N/A"/>
    <s v="Non-structural"/>
    <x v="0"/>
    <s v="North Indian River Lagoon"/>
    <s v="Not provided"/>
    <s v="Not provided"/>
    <s v="Not provided"/>
  </r>
  <r>
    <x v="8"/>
    <s v="N/A"/>
    <s v="KSC-13"/>
    <s v="KARS II Racquetball Court M6-0328A"/>
    <s v="Demolition of facility resulted in loss of impervious area and change of land use."/>
    <s v="Land Use Change"/>
    <x v="0"/>
    <n v="2010"/>
    <n v="1"/>
    <n v="0.2"/>
    <x v="1"/>
    <n v="0.1"/>
    <s v="N/A"/>
    <s v="N/A"/>
    <s v="N/A"/>
    <s v="N/A"/>
    <s v="N/A"/>
    <s v="Non-structural"/>
    <x v="0"/>
    <s v="North Indian River Lagoon"/>
    <s v="Not provided"/>
    <s v="Not provided"/>
    <s v="Not provided"/>
  </r>
  <r>
    <x v="8"/>
    <s v="N/A"/>
    <s v="KSC-14"/>
    <s v="Visitor Center Storage Building M6-0503"/>
    <s v="Demolition of facility resulted in loss of impervious area and change of land use."/>
    <s v="Land Use Change"/>
    <x v="0"/>
    <n v="2010"/>
    <n v="1"/>
    <n v="0.3"/>
    <x v="1"/>
    <n v="0.1"/>
    <s v="N/A"/>
    <s v="N/A"/>
    <s v="N/A"/>
    <s v="N/A"/>
    <s v="N/A"/>
    <s v="Non-structural"/>
    <x v="0"/>
    <s v="North Indian River Lagoon"/>
    <s v="Not provided"/>
    <s v="Not provided"/>
    <s v="Not provided"/>
  </r>
  <r>
    <x v="8"/>
    <s v="Not provided"/>
    <s v="KSC-15"/>
    <s v="Causeway Wetland Mitigation"/>
    <s v="Missing from Model. Existing permitted stormwater treatment pond."/>
    <s v="Wet Detention Pond"/>
    <x v="0"/>
    <n v="2014"/>
    <n v="8"/>
    <n v="3.8"/>
    <x v="1"/>
    <n v="12.6"/>
    <s v="Not provided"/>
    <s v="Not provided"/>
    <s v="Not provided"/>
    <s v="Not provided"/>
    <s v="N/A"/>
    <s v="Structural"/>
    <x v="0"/>
    <s v="North Indian River Lagoon"/>
    <s v="Not provided"/>
    <s v="Not provided"/>
    <s v="Not provided"/>
  </r>
  <r>
    <x v="8"/>
    <s v="Not provided"/>
    <s v="KSC-16"/>
    <s v="Visitors Complex/ NASA Badging Center"/>
    <s v="Missing from Model. Existing permitted stormwater treatment pond."/>
    <s v="Wet Detention Pond"/>
    <x v="0"/>
    <n v="2014"/>
    <n v="452"/>
    <n v="169.4"/>
    <x v="1"/>
    <n v="131.69999999999999"/>
    <s v="Not provided"/>
    <s v="Not provided"/>
    <s v="Not provided"/>
    <s v="Not provided"/>
    <s v="N/A"/>
    <s v="Structural"/>
    <x v="0"/>
    <s v="North Indian River Lagoon"/>
    <s v="Not provided"/>
    <s v="Not provided"/>
    <s v="Not provided"/>
  </r>
  <r>
    <x v="8"/>
    <s v="Not provided"/>
    <s v="KSC-17"/>
    <s v="NASA Parkway West"/>
    <s v="Missing from Model. Ditch along south side of NASA Parkway West, ends before the lagoon."/>
    <s v="Grass Swales without Swale Blocks or Raised Culverts"/>
    <x v="0"/>
    <n v="2014"/>
    <n v="239"/>
    <n v="100.9"/>
    <x v="1"/>
    <n v="135.80000000000001"/>
    <s v="Not provided"/>
    <s v="Not provided"/>
    <s v="Not provided"/>
    <s v="Not provided"/>
    <s v="N/A"/>
    <s v="Structural"/>
    <x v="0"/>
    <s v="North Indian River Lagoon"/>
    <s v="Not provided"/>
    <s v="Not provided"/>
    <s v="Not provided"/>
  </r>
  <r>
    <x v="8"/>
    <s v="N/A"/>
    <s v="KSC-18"/>
    <s v="Demolition of Facility J6-2377"/>
    <s v="Demolition of facility resulted in loss of impervious area and change of land use."/>
    <s v="Land Use Change"/>
    <x v="0"/>
    <n v="2014"/>
    <n v="1"/>
    <n v="0.3"/>
    <x v="0"/>
    <n v="0.1"/>
    <s v="N/A"/>
    <s v="N/A"/>
    <s v="N/A"/>
    <s v="N/A"/>
    <s v="N/A"/>
    <s v="Non-structural"/>
    <x v="4"/>
    <s v="North Indian River Lagoon"/>
    <s v="Not provided"/>
    <s v="Not provided"/>
    <s v="Not provided"/>
  </r>
  <r>
    <x v="8"/>
    <s v="N/A"/>
    <s v="KSC-19"/>
    <s v="Demolition of Facility M5-1546"/>
    <s v="Demolition of facility resulted in loss of impervious area and change of land use."/>
    <s v="Land Use Change"/>
    <x v="0"/>
    <n v="2014"/>
    <n v="76"/>
    <n v="15.8"/>
    <x v="1"/>
    <n v="5"/>
    <s v="N/A"/>
    <s v="N/A"/>
    <s v="N/A"/>
    <s v="N/A"/>
    <s v="N/A"/>
    <s v="Non-structural"/>
    <x v="1"/>
    <s v="North Indian River Lagoon"/>
    <s v="Not provided"/>
    <s v="Not provided"/>
    <s v="Not provided"/>
  </r>
  <r>
    <x v="3"/>
    <s v="SOIRL"/>
    <s v="BC-86"/>
    <s v="Stormwater Project - NIRL - Melbourne - Cliff Creek Baffle Box"/>
    <s v="SOIRL-34."/>
    <s v="Baffle Boxes- Second Generation"/>
    <x v="1"/>
    <n v="2019"/>
    <n v="726.4"/>
    <n v="146.5"/>
    <x v="1"/>
    <n v="515.41"/>
    <n v="347781"/>
    <s v="Not provided"/>
    <s v="SOIRL/ City"/>
    <n v="347781"/>
    <s v="N/A"/>
    <s v="Structural"/>
    <x v="6"/>
    <s v="North Indian River Lagoon"/>
    <s v="Not provided"/>
    <s v="Not provided"/>
    <s v="TBD"/>
  </r>
  <r>
    <x v="3"/>
    <s v="SOIRL"/>
    <s v="BC-87"/>
    <s v="Stormwater Project - NIRL - Melbourne - Thrush Dr Baffle Box"/>
    <s v="SOIRL-35."/>
    <s v="Baffle Boxes- Second Generation"/>
    <x v="3"/>
    <n v="2019"/>
    <n v="623.4"/>
    <n v="131.6"/>
    <x v="1"/>
    <n v="422.95180000000005"/>
    <n v="322200"/>
    <s v="Not provided"/>
    <s v="SOIRL/ City"/>
    <n v="322200"/>
    <s v="N/A"/>
    <s v="Structural"/>
    <x v="6"/>
    <s v="North Indian River Lagoon"/>
    <s v="Not provided"/>
    <s v="Not provided"/>
    <s v="TBD"/>
  </r>
  <r>
    <x v="3"/>
    <s v="SOIRL"/>
    <s v="BC-90"/>
    <s v="Stewart Rd Dry Retrofit"/>
    <s v="Stormwater Project - CIRL - Melbourne, SOIRL-39."/>
    <s v="Dry Detention Pond"/>
    <x v="3"/>
    <n v="2020"/>
    <n v="2.1"/>
    <n v="0.5"/>
    <x v="1"/>
    <s v="Not provided"/>
    <n v="18344"/>
    <s v="Not provided"/>
    <s v="SOIRL/ City"/>
    <n v="18344"/>
    <s v="N/A"/>
    <s v="Structural"/>
    <x v="6"/>
    <s v="North Indian River Lagoon"/>
    <s v="Not provided"/>
    <s v="Not provided"/>
    <s v="TBD"/>
  </r>
  <r>
    <x v="4"/>
    <s v="SOIRL"/>
    <s v="BC-79"/>
    <s v="Breeze Swept Septic to Sewer"/>
    <s v="Hood up to sewer - SOIRL-01."/>
    <s v="Wastewater Service Area Expansion"/>
    <x v="0"/>
    <n v="2017"/>
    <s v="Not provided"/>
    <s v="Not provided"/>
    <x v="1"/>
    <s v="Not provided"/>
    <n v="3400000"/>
    <s v="Not provided"/>
    <s v="City/ SOIRL"/>
    <n v="880530"/>
    <s v="N/A"/>
    <s v="Structural"/>
    <x v="6"/>
    <s v="North Indian River Lagoon"/>
    <s v="Not provided"/>
    <s v="Not provided"/>
    <s v="Not provided"/>
  </r>
  <r>
    <x v="5"/>
    <s v="SOIRL"/>
    <s v="BC-83"/>
    <s v="Stormwater Project - NIRL - Titusville - St. Teresa Basin"/>
    <s v="SOIRL-19."/>
    <s v="Baffle Boxes- Second Generation"/>
    <x v="0"/>
    <n v="2019"/>
    <s v="TBD"/>
    <s v="TBD"/>
    <x v="0"/>
    <n v="758.06047899999999"/>
    <n v="375250"/>
    <s v="Not provided"/>
    <s v="DEP TMDL"/>
    <s v="DEP TMDL - $272,800"/>
    <s v="N/A"/>
    <s v="Structural"/>
    <x v="6"/>
    <s v="North Indian River Lagoon"/>
    <s v="Not provided"/>
    <s v="Not provided"/>
    <s v="TBD"/>
  </r>
  <r>
    <x v="5"/>
    <s v="SOIRL"/>
    <s v="BC-84"/>
    <s v="Stormwater Project - NIRL - Titusville - South St Basin"/>
    <s v="SOIRL-20."/>
    <s v="Baffle Boxes- Second Generation"/>
    <x v="0"/>
    <n v="2019"/>
    <s v="TBD"/>
    <s v="TBD"/>
    <x v="0"/>
    <n v="202.25"/>
    <n v="475125"/>
    <s v="Not provided"/>
    <s v="DEP TMDL"/>
    <s v="DEP TMDL - $86,856"/>
    <s v="NF025"/>
    <s v="Structural"/>
    <x v="6"/>
    <s v="North Indian River Lagoon"/>
    <s v="Not provided"/>
    <s v="Not provided"/>
    <s v="TBD"/>
  </r>
  <r>
    <x v="5"/>
    <s v="SOIRL"/>
    <s v="BC-85"/>
    <s v="Stormwater Project - NIRL - Titusville - La Paloma Basin"/>
    <s v="SOIRL-21."/>
    <s v="Baffle Boxes- Second Generation"/>
    <x v="0"/>
    <n v="2019"/>
    <s v="TBD"/>
    <s v="TBD"/>
    <x v="0"/>
    <n v="554.79999999999995"/>
    <n v="375250"/>
    <s v="Not provided"/>
    <s v="DEP TMDL"/>
    <s v="DEP TMDL - $208,296"/>
    <s v="N/A"/>
    <s v="Structural"/>
    <x v="6"/>
    <s v="North Indian River Lagoon"/>
    <s v="Not provided"/>
    <s v="Not provided"/>
    <s v="TBD"/>
  </r>
  <r>
    <x v="5"/>
    <s v="SOIRL"/>
    <s v="BC-89"/>
    <s v="Wastewater Treatment Facility Upgrade-NIRL-Titusville"/>
    <s v="SOIRL-02."/>
    <s v="WWTF Upgrade"/>
    <x v="3"/>
    <n v="2022"/>
    <s v="TBD"/>
    <s v="N/A"/>
    <x v="0"/>
    <s v="Not provided"/>
    <n v="8000000"/>
    <s v="Not provided"/>
    <s v="SOIRL/ City"/>
    <n v="8000000"/>
    <s v="N/A"/>
    <s v="Structural"/>
    <x v="6"/>
    <s v="North Indian River Lagoon"/>
    <s v="Not provided"/>
    <s v="Not provided"/>
    <s v="TBD"/>
  </r>
  <r>
    <x v="5"/>
    <s v="SOIRL"/>
    <s v="BC-99"/>
    <s v="Coleman Pond MAPS"/>
    <s v="Installation of floating islands within a 1 acre City owned pond located within the Chain of Lakes basin."/>
    <s v="Floating Islands/ Managed Aquatic Plant Systems (MAPS)"/>
    <x v="0"/>
    <n v="2019"/>
    <s v="TBD"/>
    <s v="TBD"/>
    <x v="0"/>
    <n v="750"/>
    <n v="35000"/>
    <s v="Not provided"/>
    <s v="SOIRL"/>
    <s v="SOIRL - $11,437.5"/>
    <s v="N/A"/>
    <s v="Structural"/>
    <x v="2"/>
    <m/>
    <m/>
    <m/>
    <m/>
  </r>
  <r>
    <x v="9"/>
    <s v="Not provided"/>
    <s v="TI-01"/>
    <s v="Swales North of U.S. 192 Causeway"/>
    <s v="Not provided."/>
    <s v="Grass Swales without Swale Blocks or Raised Culverts"/>
    <x v="0"/>
    <n v="2001"/>
    <n v="297"/>
    <n v="51.7"/>
    <x v="1"/>
    <n v="29.2"/>
    <s v="Not provided"/>
    <s v="Not provided"/>
    <s v="Not provided"/>
    <s v="Not provided"/>
    <s v="N/A"/>
    <s v="Structural"/>
    <x v="0"/>
    <s v="North Indian River Lagoon"/>
    <s v="Not provided"/>
    <s v="Not provided"/>
    <s v="Not provided"/>
  </r>
  <r>
    <x v="9"/>
    <s v="Not provided"/>
    <s v="TI-02"/>
    <s v="100% On-Site Retention"/>
    <s v="Not provided."/>
    <s v="100% On-site Retention"/>
    <x v="0"/>
    <n v="2001"/>
    <n v="35"/>
    <n v="6.1"/>
    <x v="1"/>
    <n v="3.5"/>
    <s v="Not provided"/>
    <s v="Not provided"/>
    <s v="Not provided"/>
    <s v="Not provided"/>
    <s v="N/A"/>
    <s v="Structural"/>
    <x v="0"/>
    <s v="North Indian River Lagoon"/>
    <s v="Not provided"/>
    <s v="Not provided"/>
    <s v="Not provided"/>
  </r>
  <r>
    <x v="9"/>
    <s v="Not provided"/>
    <s v="TI-03"/>
    <s v="Education Efforts"/>
    <s v="Pamphlet, website, and fertilizer ordinance."/>
    <s v="Education Efforts"/>
    <x v="0"/>
    <s v="N/A"/>
    <n v="18"/>
    <n v="3.2"/>
    <x v="1"/>
    <s v="N/A"/>
    <s v="Not provided"/>
    <s v="Not provided"/>
    <s v="Not provided"/>
    <s v="Not provided"/>
    <s v="N/A"/>
    <s v="Non-structural"/>
    <x v="0"/>
    <s v="North Indian River Lagoon"/>
    <s v="N/A"/>
    <s v="N/A"/>
    <s v="Not provided"/>
  </r>
  <r>
    <x v="9"/>
    <s v="DEP"/>
    <s v="TI-04"/>
    <s v="Lily Park"/>
    <s v="Stormwater treatment."/>
    <s v="Wet Detention Pond"/>
    <x v="0"/>
    <n v="2016"/>
    <s v="Not provided"/>
    <s v="Not provided"/>
    <x v="0"/>
    <n v="1.93"/>
    <n v="173000"/>
    <n v="500"/>
    <s v="DEP"/>
    <s v="DEP - $65,000"/>
    <s v="LP05120"/>
    <s v="Structural"/>
    <x v="6"/>
    <s v="North Indian River Lagoon"/>
    <n v="29.42"/>
    <n v="80.574166660000003"/>
    <s v="Not provided"/>
  </r>
  <r>
    <x v="10"/>
    <s v="Not provided"/>
    <s v="PS-01"/>
    <s v="Education Efforts"/>
    <s v="Fertilizer and landscaping ordinances, pamphlets, and presentations."/>
    <s v="Education Efforts"/>
    <x v="0"/>
    <s v="N/A"/>
    <n v="21"/>
    <n v="4.2"/>
    <x v="1"/>
    <s v="N/A"/>
    <s v="Not provided"/>
    <s v="Not provided"/>
    <s v="Not provided"/>
    <s v="Not provided"/>
    <s v="N/A"/>
    <s v="Non-structural"/>
    <x v="0"/>
    <s v="North Indian River Lagoon"/>
    <s v="N/A"/>
    <s v="N/A"/>
    <s v="Not provided"/>
  </r>
  <r>
    <x v="11"/>
    <s v="Not provided"/>
    <s v="VC-01"/>
    <s v="Education Efforts"/>
    <s v="Irrigation, fertilizer, pet waste management, and landscaping ordinances; pamphlets, presentations, website, illicit discharge program."/>
    <s v="Education Efforts"/>
    <x v="0"/>
    <s v="N/A"/>
    <n v="588"/>
    <n v="67.400000000000006"/>
    <x v="0"/>
    <s v="N/A"/>
    <s v="Not provided"/>
    <s v="Not provided"/>
    <s v="Not provided"/>
    <s v="Not provided"/>
    <s v="N/A"/>
    <s v="Non-structural"/>
    <x v="0"/>
    <s v="North Indian River Lagoon"/>
    <s v="N/A"/>
    <s v="N/A"/>
    <s v="Not provided"/>
  </r>
  <r>
    <x v="11"/>
    <s v="Not provided"/>
    <s v="VC-02"/>
    <s v="Roadside Ditch Cleaning"/>
    <s v="Roadside ditch cleaning."/>
    <s v="BMP Cleanout"/>
    <x v="0"/>
    <n v="2016"/>
    <s v="Not provided"/>
    <s v="Not provided"/>
    <x v="0"/>
    <s v="Not provided"/>
    <s v="Not provided"/>
    <s v="Not provided"/>
    <s v="Not provided"/>
    <s v="Not provided"/>
    <s v="N/A"/>
    <s v="Non-structural"/>
    <x v="6"/>
    <s v="North Indian River Lagoon"/>
    <s v="N/A"/>
    <s v="N/A"/>
    <s v="Not provided"/>
  </r>
  <r>
    <x v="11"/>
    <s v="Not provided"/>
    <s v="VC-03"/>
    <s v="Open Channel Cleaning"/>
    <s v="Open channel cleaning; digging sediment out of open channels."/>
    <s v="BMP Cleanout"/>
    <x v="0"/>
    <n v="2016"/>
    <s v="Not provided"/>
    <s v="Not provided"/>
    <x v="0"/>
    <s v="Not provided"/>
    <s v="Not provided"/>
    <s v="Not provided"/>
    <s v="Not provided"/>
    <s v="Not provided"/>
    <s v="N/A"/>
    <s v="Non-structural"/>
    <x v="6"/>
    <s v="North Indian River Lagoon"/>
    <s v="N/A"/>
    <s v="N/A"/>
    <s v="Not provided"/>
  </r>
  <r>
    <x v="11"/>
    <s v="N/A"/>
    <s v="VC-04"/>
    <s v="Fertilizer Ordinance"/>
    <s v="Fertilizer restrictions including summer ban on nitrogen and phosphorus."/>
    <s v="Regulations, Ordinances, and Guidelines"/>
    <x v="0"/>
    <s v="N/A"/>
    <s v="N/A"/>
    <s v="N/A"/>
    <x v="0"/>
    <s v="N/A"/>
    <s v="Not provided"/>
    <s v="Not provided"/>
    <s v="Volusia County"/>
    <s v="N/A"/>
    <s v="N/A"/>
    <s v="Non-structural"/>
    <x v="2"/>
    <s v="North Indian River Lagoon"/>
    <s v="Not provided"/>
    <s v="Not provided"/>
    <s v="Not provided"/>
  </r>
  <r>
    <x v="12"/>
    <m/>
    <m/>
    <m/>
    <m/>
    <m/>
    <x v="4"/>
    <m/>
    <m/>
    <m/>
    <x v="3"/>
    <m/>
    <m/>
    <m/>
    <m/>
    <m/>
    <m/>
    <m/>
    <x v="8"/>
    <m/>
    <m/>
    <m/>
    <m/>
  </r>
  <r>
    <x v="12"/>
    <m/>
    <m/>
    <m/>
    <m/>
    <m/>
    <x v="4"/>
    <m/>
    <m/>
    <m/>
    <x v="3"/>
    <m/>
    <m/>
    <m/>
    <m/>
    <m/>
    <m/>
    <m/>
    <x v="8"/>
    <m/>
    <m/>
    <m/>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00">
  <r>
    <n v="2769"/>
  </r>
  <r>
    <n v="2797"/>
  </r>
  <r>
    <n v="2796"/>
  </r>
  <r>
    <n v="2795"/>
  </r>
  <r>
    <n v="2794"/>
  </r>
  <r>
    <n v="2793"/>
  </r>
  <r>
    <n v="2792"/>
  </r>
  <r>
    <n v="2791"/>
  </r>
  <r>
    <n v="2790"/>
  </r>
  <r>
    <n v="3058"/>
  </r>
  <r>
    <n v="3041"/>
  </r>
  <r>
    <n v="3042"/>
  </r>
  <r>
    <n v="3043"/>
  </r>
  <r>
    <n v="3044"/>
  </r>
  <r>
    <n v="3040"/>
  </r>
  <r>
    <n v="3039"/>
  </r>
  <r>
    <n v="3038"/>
  </r>
  <r>
    <n v="3037"/>
  </r>
  <r>
    <n v="3036"/>
  </r>
  <r>
    <n v="3035"/>
  </r>
  <r>
    <n v="3034"/>
  </r>
  <r>
    <n v="3033"/>
  </r>
  <r>
    <n v="3018"/>
  </r>
  <r>
    <n v="3031"/>
  </r>
  <r>
    <n v="3045"/>
  </r>
  <r>
    <n v="3029"/>
  </r>
  <r>
    <n v="3028"/>
  </r>
  <r>
    <n v="3027"/>
  </r>
  <r>
    <n v="3026"/>
  </r>
  <r>
    <n v="3025"/>
  </r>
  <r>
    <n v="3024"/>
  </r>
  <r>
    <n v="3023"/>
  </r>
  <r>
    <n v="3022"/>
  </r>
  <r>
    <n v="3021"/>
  </r>
  <r>
    <n v="3020"/>
  </r>
  <r>
    <n v="3071"/>
  </r>
  <r>
    <n v="3070"/>
  </r>
  <r>
    <n v="3069"/>
  </r>
  <r>
    <n v="2990"/>
  </r>
  <r>
    <n v="2997"/>
  </r>
  <r>
    <n v="2988"/>
  </r>
  <r>
    <n v="2987"/>
  </r>
  <r>
    <n v="2983"/>
  </r>
  <r>
    <n v="2985"/>
  </r>
  <r>
    <n v="2984"/>
  </r>
  <r>
    <n v="2981"/>
  </r>
  <r>
    <n v="2982"/>
  </r>
  <r>
    <n v="2986"/>
  </r>
  <r>
    <n v="2989"/>
  </r>
  <r>
    <n v="3008"/>
  </r>
  <r>
    <n v="3016"/>
  </r>
  <r>
    <n v="3015"/>
  </r>
  <r>
    <n v="3014"/>
  </r>
  <r>
    <n v="3006"/>
  </r>
  <r>
    <n v="3013"/>
  </r>
  <r>
    <n v="2991"/>
  </r>
  <r>
    <n v="3012"/>
  </r>
  <r>
    <n v="3000"/>
  </r>
  <r>
    <n v="3002"/>
  </r>
  <r>
    <n v="3003"/>
  </r>
  <r>
    <n v="3004"/>
  </r>
  <r>
    <n v="3017"/>
  </r>
  <r>
    <n v="3007"/>
  </r>
  <r>
    <n v="2998"/>
  </r>
  <r>
    <n v="3009"/>
  </r>
  <r>
    <n v="3010"/>
  </r>
  <r>
    <n v="3011"/>
  </r>
  <r>
    <n v="3096"/>
  </r>
  <r>
    <n v="2992"/>
  </r>
  <r>
    <n v="2993"/>
  </r>
  <r>
    <n v="2994"/>
  </r>
  <r>
    <n v="2995"/>
  </r>
  <r>
    <n v="2996"/>
  </r>
  <r>
    <n v="3005"/>
  </r>
  <r>
    <n v="3060"/>
  </r>
  <r>
    <n v="3047"/>
  </r>
  <r>
    <n v="3048"/>
  </r>
  <r>
    <n v="3049"/>
  </r>
  <r>
    <n v="3051"/>
  </r>
  <r>
    <n v="3052"/>
  </r>
  <r>
    <n v="3019"/>
  </r>
  <r>
    <n v="3059"/>
  </r>
  <r>
    <n v="3062"/>
  </r>
  <r>
    <n v="3063"/>
  </r>
  <r>
    <n v="4451"/>
  </r>
  <r>
    <n v="4452"/>
  </r>
  <r>
    <n v="4453"/>
  </r>
  <r>
    <n v="4454"/>
  </r>
  <r>
    <n v="4455"/>
  </r>
  <r>
    <n v="4456"/>
  </r>
  <r>
    <n v="5347"/>
  </r>
  <r>
    <n v="5348"/>
  </r>
  <r>
    <n v="5349"/>
  </r>
  <r>
    <n v="5350"/>
  </r>
  <r>
    <n v="5351"/>
  </r>
  <r>
    <n v="5352"/>
  </r>
  <r>
    <n v="5353"/>
  </r>
  <r>
    <n v="5354"/>
  </r>
  <r>
    <n v="5355"/>
  </r>
  <r>
    <n v="5356"/>
  </r>
  <r>
    <n v="5357"/>
  </r>
  <r>
    <n v="5358"/>
  </r>
  <r>
    <n v="3053"/>
  </r>
  <r>
    <n v="3072"/>
  </r>
  <r>
    <n v="2999"/>
  </r>
  <r>
    <n v="3204"/>
  </r>
  <r>
    <n v="3162"/>
  </r>
  <r>
    <n v="2778"/>
  </r>
  <r>
    <n v="2766"/>
  </r>
  <r>
    <n v="2765"/>
  </r>
  <r>
    <n v="2764"/>
  </r>
  <r>
    <n v="2763"/>
  </r>
  <r>
    <n v="2762"/>
  </r>
  <r>
    <n v="2761"/>
  </r>
  <r>
    <n v="2787"/>
  </r>
  <r>
    <n v="2767"/>
  </r>
  <r>
    <n v="3163"/>
  </r>
  <r>
    <n v="3164"/>
  </r>
  <r>
    <n v="3165"/>
  </r>
  <r>
    <n v="3166"/>
  </r>
  <r>
    <n v="3177"/>
  </r>
  <r>
    <n v="3168"/>
  </r>
  <r>
    <n v="3160"/>
  </r>
  <r>
    <n v="4457"/>
  </r>
  <r>
    <n v="4458"/>
  </r>
  <r>
    <n v="5359"/>
  </r>
  <r>
    <n v="5360"/>
  </r>
  <r>
    <n v="5361"/>
  </r>
  <r>
    <n v="3170"/>
  </r>
  <r>
    <n v="3057"/>
  </r>
  <r>
    <n v="3073"/>
  </r>
  <r>
    <n v="3061"/>
  </r>
  <r>
    <n v="3171"/>
  </r>
  <r>
    <n v="3172"/>
  </r>
  <r>
    <n v="3173"/>
  </r>
  <r>
    <n v="3174"/>
  </r>
  <r>
    <n v="3175"/>
  </r>
  <r>
    <n v="3152"/>
  </r>
  <r>
    <n v="3169"/>
  </r>
  <r>
    <n v="3167"/>
  </r>
  <r>
    <n v="3144"/>
  </r>
  <r>
    <n v="3145"/>
  </r>
  <r>
    <n v="3146"/>
  </r>
  <r>
    <n v="3147"/>
  </r>
  <r>
    <n v="3148"/>
  </r>
  <r>
    <n v="3149"/>
  </r>
  <r>
    <n v="3159"/>
  </r>
  <r>
    <n v="3151"/>
  </r>
  <r>
    <n v="3143"/>
  </r>
  <r>
    <n v="3153"/>
  </r>
  <r>
    <n v="3154"/>
  </r>
  <r>
    <n v="3155"/>
  </r>
  <r>
    <n v="3156"/>
  </r>
  <r>
    <n v="3157"/>
  </r>
  <r>
    <n v="3179"/>
  </r>
  <r>
    <n v="3150"/>
  </r>
  <r>
    <n v="3176"/>
  </r>
  <r>
    <n v="3180"/>
  </r>
  <r>
    <n v="3181"/>
  </r>
  <r>
    <n v="4459"/>
  </r>
  <r>
    <n v="4460"/>
  </r>
  <r>
    <n v="4461"/>
  </r>
  <r>
    <n v="5362"/>
  </r>
  <r>
    <n v="5363"/>
  </r>
  <r>
    <n v="5364"/>
  </r>
  <r>
    <n v="5365"/>
  </r>
  <r>
    <n v="5366"/>
  </r>
  <r>
    <n v="3050"/>
  </r>
  <r>
    <n v="3182"/>
  </r>
  <r>
    <n v="3183"/>
  </r>
  <r>
    <n v="3184"/>
  </r>
  <r>
    <n v="3194"/>
  </r>
  <r>
    <n v="3186"/>
  </r>
  <r>
    <n v="3178"/>
  </r>
  <r>
    <n v="3188"/>
  </r>
  <r>
    <n v="3189"/>
  </r>
  <r>
    <n v="3190"/>
  </r>
  <r>
    <n v="3191"/>
  </r>
  <r>
    <n v="3192"/>
  </r>
  <r>
    <n v="3193"/>
  </r>
  <r>
    <n v="3126"/>
  </r>
  <r>
    <n v="3075"/>
  </r>
  <r>
    <n v="3158"/>
  </r>
  <r>
    <n v="3093"/>
  </r>
  <r>
    <n v="3094"/>
  </r>
  <r>
    <n v="3095"/>
  </r>
  <r>
    <n v="3092"/>
  </r>
  <r>
    <n v="3097"/>
  </r>
  <r>
    <n v="3001"/>
  </r>
  <r>
    <n v="3107"/>
  </r>
  <r>
    <n v="3099"/>
  </r>
  <r>
    <n v="3091"/>
  </r>
  <r>
    <n v="3101"/>
  </r>
  <r>
    <n v="3161"/>
  </r>
  <r>
    <n v="3123"/>
  </r>
  <r>
    <n v="3122"/>
  </r>
  <r>
    <n v="3121"/>
  </r>
  <r>
    <n v="3120"/>
  </r>
  <r>
    <n v="3119"/>
  </r>
  <r>
    <n v="3118"/>
  </r>
  <r>
    <n v="3108"/>
  </r>
  <r>
    <n v="3116"/>
  </r>
  <r>
    <n v="4462"/>
  </r>
  <r>
    <n v="5367"/>
  </r>
  <r>
    <n v="5368"/>
  </r>
  <r>
    <n v="5369"/>
  </r>
  <r>
    <n v="3054"/>
  </r>
  <r>
    <n v="3055"/>
  </r>
  <r>
    <n v="3056"/>
  </r>
  <r>
    <n v="3046"/>
  </r>
  <r>
    <n v="5370"/>
  </r>
  <r>
    <n v="3124"/>
  </r>
  <r>
    <n v="3114"/>
  </r>
  <r>
    <n v="3113"/>
  </r>
  <r>
    <n v="3112"/>
  </r>
  <r>
    <n v="3111"/>
  </r>
  <r>
    <n v="3110"/>
  </r>
  <r>
    <n v="3109"/>
  </r>
  <r>
    <n v="3132"/>
  </r>
  <r>
    <n v="3134"/>
  </r>
  <r>
    <n v="3117"/>
  </r>
  <r>
    <n v="3140"/>
  </r>
  <r>
    <n v="3139"/>
  </r>
  <r>
    <n v="3138"/>
  </r>
  <r>
    <n v="3137"/>
  </r>
  <r>
    <n v="3136"/>
  </r>
  <r>
    <n v="3135"/>
  </r>
  <r>
    <n v="3125"/>
  </r>
  <r>
    <n v="3133"/>
  </r>
  <r>
    <n v="3142"/>
  </r>
  <r>
    <n v="3131"/>
  </r>
  <r>
    <n v="3130"/>
  </r>
  <r>
    <n v="3129"/>
  </r>
  <r>
    <n v="3128"/>
  </r>
  <r>
    <n v="3127"/>
  </r>
  <r>
    <n v="3100"/>
  </r>
  <r>
    <n v="3141"/>
  </r>
  <r>
    <n v="3115"/>
  </r>
  <r>
    <n v="3089"/>
  </r>
  <r>
    <n v="3088"/>
  </r>
  <r>
    <n v="3087"/>
  </r>
  <r>
    <n v="3086"/>
  </r>
  <r>
    <n v="3085"/>
  </r>
  <r>
    <n v="3084"/>
  </r>
  <r>
    <n v="5371"/>
  </r>
  <r>
    <n v="5372"/>
  </r>
  <r>
    <n v="3032"/>
  </r>
  <r>
    <n v="3030"/>
  </r>
  <r>
    <n v="4837"/>
  </r>
  <r>
    <n v="4838"/>
  </r>
  <r>
    <n v="3074"/>
  </r>
  <r>
    <n v="3082"/>
  </r>
  <r>
    <n v="3090"/>
  </r>
  <r>
    <n v="3080"/>
  </r>
  <r>
    <n v="3079"/>
  </r>
  <r>
    <n v="3078"/>
  </r>
  <r>
    <n v="3077"/>
  </r>
  <r>
    <n v="3076"/>
  </r>
  <r>
    <n v="3098"/>
  </r>
  <r>
    <n v="3081"/>
  </r>
  <r>
    <n v="3083"/>
  </r>
  <r>
    <n v="3106"/>
  </r>
  <r>
    <n v="3105"/>
  </r>
  <r>
    <n v="3104"/>
  </r>
  <r>
    <n v="3103"/>
  </r>
  <r>
    <n v="3102"/>
  </r>
  <r>
    <n v="3202"/>
  </r>
  <r>
    <n v="3185"/>
  </r>
  <r>
    <n v="3187"/>
  </r>
  <r>
    <n v="3211"/>
  </r>
  <r>
    <n v="3210"/>
  </r>
  <r>
    <n v="3209"/>
  </r>
  <r>
    <n v="3208"/>
  </r>
  <r>
    <n v="3207"/>
  </r>
  <r>
    <n v="3206"/>
  </r>
  <r>
    <n v="3205"/>
  </r>
  <r>
    <n v="3195"/>
  </r>
  <r>
    <n v="3203"/>
  </r>
  <r>
    <n v="3201"/>
  </r>
  <r>
    <n v="3200"/>
  </r>
  <r>
    <n v="3199"/>
  </r>
  <r>
    <n v="3198"/>
  </r>
  <r>
    <n v="3197"/>
  </r>
  <r>
    <n v="3196"/>
  </r>
  <r>
    <n v="2779"/>
  </r>
  <r>
    <n v="2788"/>
  </r>
  <r>
    <n v="2798"/>
  </r>
  <r>
    <n v="2786"/>
  </r>
  <r>
    <n v="2785"/>
  </r>
  <r>
    <n v="2784"/>
  </r>
  <r>
    <n v="2783"/>
  </r>
  <r>
    <n v="2782"/>
  </r>
  <r>
    <n v="2781"/>
  </r>
  <r>
    <n v="2780"/>
  </r>
  <r>
    <n v="3068"/>
  </r>
  <r>
    <n v="3067"/>
  </r>
  <r>
    <n v="3066"/>
  </r>
  <r>
    <n v="3065"/>
  </r>
  <r>
    <n v="3064"/>
  </r>
  <r>
    <n v="5373"/>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01">
  <r>
    <n v="2769"/>
    <s v="Brevard County"/>
    <s v="N/A"/>
    <s v="BC-001"/>
    <s v="Old Dixie Highway 601"/>
    <s v="Sediment trap."/>
    <s v="BMP Cleanout"/>
    <x v="0"/>
    <x v="0"/>
    <s v="Not provided"/>
    <s v="Not provided"/>
    <x v="0"/>
    <s v="Not provided"/>
    <n v="2000"/>
    <n v="2000"/>
    <s v="County"/>
    <s v="County - $2,000"/>
    <s v="N/A"/>
    <s v="Non-structural"/>
    <n v="2013"/>
    <s v="North Indian River Lagoon"/>
    <s v="Not provided"/>
    <s v="Not provided"/>
    <n v="2010"/>
  </r>
  <r>
    <n v="2797"/>
    <s v="Brevard County"/>
    <s v="DEP/ Titusville"/>
    <s v="BC-002"/>
    <s v="Chain of Lakes Pond"/>
    <s v="Wet detention Regional Pond."/>
    <s v="Wet Detention Pond"/>
    <x v="0"/>
    <x v="1"/>
    <n v="2699"/>
    <n v="1109.4000000000001"/>
    <x v="0"/>
    <n v="1072.5"/>
    <n v="2051405"/>
    <s v="Not provided"/>
    <s v="DEP"/>
    <s v="Not provided"/>
    <s v="WM804"/>
    <s v="Structural"/>
    <n v="2013"/>
    <s v="North Indian River Lagoon"/>
    <s v="Not provided"/>
    <s v="Not provided"/>
    <n v="2010"/>
  </r>
  <r>
    <n v="2796"/>
    <s v="Brevard County"/>
    <s v="West Melbourne/ Grant-Valkaria/ Malabar/ Melbourne/ Cocoa/ Indian Harbour Beach (IHB)/ Satellite Beach/ Cocoa Beach/ Cape Canaveral"/>
    <s v="BC-003"/>
    <s v="Education Efforts"/>
    <s v="FYN; landscape, irrigation, fertilizer, and pet waste ordinances; PSAs; pamphlets; website, Illicit Discharge Program."/>
    <s v="Education Efforts"/>
    <x v="0"/>
    <x v="2"/>
    <n v="1660"/>
    <n v="214"/>
    <x v="0"/>
    <s v="N/A"/>
    <s v="Not provided"/>
    <s v="Not provided"/>
    <s v="Not provided"/>
    <s v="Not provided"/>
    <s v="N/A"/>
    <s v="Non-structural"/>
    <n v="2013"/>
    <s v="North Indian River Lagoon"/>
    <s v="N/A"/>
    <s v="N/A"/>
    <s v="Not provided"/>
  </r>
  <r>
    <n v="2795"/>
    <s v="Brevard County"/>
    <s v="TBD"/>
    <s v="BC-004"/>
    <s v="Scottsmoor I"/>
    <s v="Advanced denitrification and baffle box treatment train."/>
    <s v="BMP Treatment Train"/>
    <x v="1"/>
    <x v="3"/>
    <s v="TBD"/>
    <s v="TBD"/>
    <x v="0"/>
    <n v="530.9"/>
    <n v="601664"/>
    <n v="1000"/>
    <s v="Legislative Funds"/>
    <s v="Legislative Funds - $286,648"/>
    <s v="LP05118"/>
    <s v="Structural"/>
    <n v="2013"/>
    <s v="North Indian River Lagoon"/>
    <s v="Not provided"/>
    <s v="Not provided"/>
    <s v="TBD"/>
  </r>
  <r>
    <n v="2794"/>
    <s v="Brevard County"/>
    <s v="DEP/ City of Titusville"/>
    <s v="BC-005"/>
    <s v="Chain of Lakes Southern Expansion Phase 1"/>
    <s v="Completion of additional detention."/>
    <s v="Wet Detention Pond"/>
    <x v="0"/>
    <x v="0"/>
    <n v="1325"/>
    <n v="440.6"/>
    <x v="0"/>
    <n v="575.20000000000005"/>
    <n v="3200000"/>
    <n v="1000"/>
    <s v="DEP"/>
    <s v="Not provided"/>
    <s v="S0620"/>
    <s v="Structural"/>
    <n v="2013"/>
    <s v="North Indian River Lagoon"/>
    <s v="Not provided"/>
    <s v="Not provided"/>
    <n v="2014"/>
  </r>
  <r>
    <n v="2793"/>
    <s v="Brevard County"/>
    <s v="Not provided"/>
    <s v="BC-006"/>
    <s v="Chain of Lakes Reuse"/>
    <s v="Installing reuse from the pond."/>
    <s v="Stormwater Reuse"/>
    <x v="0"/>
    <x v="4"/>
    <n v="498"/>
    <n v="63.2"/>
    <x v="0"/>
    <s v="Not provided"/>
    <s v="Not provided"/>
    <s v="Not provided"/>
    <s v="Not provided"/>
    <s v="Not provided"/>
    <s v="N/A"/>
    <s v="Structural"/>
    <n v="2013"/>
    <s v="North Indian River Lagoon"/>
    <s v="Not provided"/>
    <s v="Not provided"/>
    <s v="Not provided"/>
  </r>
  <r>
    <n v="2792"/>
    <s v="Brevard County"/>
    <s v="TBD"/>
    <s v="BC-007"/>
    <s v="Scottsmoor C"/>
    <s v="Advanced denitrification and baffle box treatment train."/>
    <s v="BMP Treatment Train"/>
    <x v="1"/>
    <x v="5"/>
    <s v="TBD"/>
    <s v="TBD"/>
    <x v="0"/>
    <n v="463"/>
    <s v="TBD"/>
    <n v="1000"/>
    <s v="Legislative Funds"/>
    <s v="Legislative Funds - $33,7043"/>
    <s v="LP05114"/>
    <s v="Structural"/>
    <n v="2015"/>
    <s v="North Indian River Lagoon"/>
    <s v="Not provided"/>
    <s v="Not provided"/>
    <s v="TBD"/>
  </r>
  <r>
    <n v="2791"/>
    <s v="Brevard County"/>
    <s v="Not provided"/>
    <s v="BC-008"/>
    <s v="Twin Lakes North"/>
    <s v="Construction of a bafffle box."/>
    <s v="Baffle Boxes- First Generation (hydrodynamic separator)"/>
    <x v="0"/>
    <x v="0"/>
    <n v="10"/>
    <n v="1"/>
    <x v="1"/>
    <n v="7.7"/>
    <s v="Not provided"/>
    <s v="Not provided"/>
    <s v="Not provided"/>
    <s v="Not provided"/>
    <s v="N/A"/>
    <s v="Structural"/>
    <n v="2013"/>
    <s v="North Indian River Lagoon"/>
    <s v="Not provided"/>
    <s v="Not provided"/>
    <s v="Not provided"/>
  </r>
  <r>
    <n v="2790"/>
    <s v="Brevard County"/>
    <s v="Not provided"/>
    <s v="BC-009"/>
    <s v="Twin Lakes South"/>
    <s v="Construction of a bafffle box."/>
    <s v="Baffle Boxes- First Generation (hydrodynamic separator)"/>
    <x v="0"/>
    <x v="0"/>
    <n v="10"/>
    <n v="1"/>
    <x v="1"/>
    <n v="8.5"/>
    <n v="20082"/>
    <s v="Not provided"/>
    <s v="Not provided"/>
    <s v="Not provided"/>
    <s v="N/A"/>
    <s v="Structural"/>
    <n v="2013"/>
    <s v="North Indian River Lagoon"/>
    <s v="Not provided"/>
    <s v="Not provided"/>
    <s v="Not provided"/>
  </r>
  <r>
    <n v="3058"/>
    <s v="Brevard County"/>
    <s v="DEP"/>
    <s v="BC-010"/>
    <s v="Lucas Place 640 Baffle Box"/>
    <s v="Construction of a bafffle box."/>
    <s v="Baffle Boxes- First Generation (hydrodynamic separator)"/>
    <x v="0"/>
    <x v="6"/>
    <n v="8"/>
    <n v="0.8"/>
    <x v="1"/>
    <n v="5.2"/>
    <n v="36835"/>
    <n v="1000"/>
    <s v="DEP/ County"/>
    <s v="Not provided"/>
    <s v="S0620"/>
    <s v="Structural"/>
    <n v="2013"/>
    <s v="North Indian River Lagoon"/>
    <s v="Not provided"/>
    <s v="Not provided"/>
    <n v="2017"/>
  </r>
  <r>
    <n v="3041"/>
    <s v="Brevard County"/>
    <s v="DEP"/>
    <s v="BC-011"/>
    <s v="Rockledge Drive 2055"/>
    <s v="Construction of a bafffle box."/>
    <s v="Baffle Boxes- First Generation (hydrodynamic separator)"/>
    <x v="0"/>
    <x v="7"/>
    <n v="2"/>
    <n v="0.1"/>
    <x v="1"/>
    <n v="2.4"/>
    <n v="61094"/>
    <n v="1000"/>
    <s v="DEP"/>
    <s v="Not provided"/>
    <s v="S0620"/>
    <s v="Structural"/>
    <n v="2013"/>
    <s v="North Indian River Lagoon"/>
    <s v="Not provided"/>
    <s v="Not provided"/>
    <n v="2017"/>
  </r>
  <r>
    <n v="3042"/>
    <s v="Brevard County"/>
    <s v="Not provided"/>
    <s v="BC-012"/>
    <s v="Rockledge and Riverwoods Baffle Box"/>
    <s v="Construction of a bafffle box."/>
    <s v="Baffle Boxes- First Generation (hydrodynamic separator)"/>
    <x v="0"/>
    <x v="8"/>
    <n v="3"/>
    <n v="0.3"/>
    <x v="1"/>
    <n v="3.8"/>
    <n v="47686"/>
    <n v="1000"/>
    <s v="Not provided"/>
    <s v="Not provided"/>
    <s v="N/A"/>
    <s v="Structural"/>
    <n v="2013"/>
    <s v="North Indian River Lagoon"/>
    <s v="Not provided"/>
    <s v="Not provided"/>
    <n v="2017"/>
  </r>
  <r>
    <n v="3043"/>
    <s v="Brevard County"/>
    <s v="DEP"/>
    <s v="BC-013"/>
    <s v="Anchor Lane"/>
    <s v="Construction of a bafffle box."/>
    <s v="Baffle Boxes- First Generation (hydrodynamic separator)"/>
    <x v="0"/>
    <x v="8"/>
    <n v="47"/>
    <n v="5.4"/>
    <x v="1"/>
    <n v="29.4"/>
    <n v="49560"/>
    <n v="1000"/>
    <s v="DEP"/>
    <s v="Not provided"/>
    <s v="S0620"/>
    <s v="Structural"/>
    <n v="2013"/>
    <s v="North Indian River Lagoon"/>
    <s v="Not provided"/>
    <s v="Not provided"/>
    <n v="2017"/>
  </r>
  <r>
    <n v="3044"/>
    <s v="Brevard County"/>
    <s v="Not provided"/>
    <s v="BC-014"/>
    <s v="Kelmore Baffle Box"/>
    <s v="Construction of a bafffle box."/>
    <s v="Baffle Boxes- First Generation (hydrodynamic separator)"/>
    <x v="0"/>
    <x v="6"/>
    <n v="10"/>
    <n v="1.8"/>
    <x v="1"/>
    <n v="9.6999999999999993"/>
    <n v="21817"/>
    <n v="1000"/>
    <s v="Not provided"/>
    <s v="Not provided"/>
    <s v="N/A"/>
    <s v="Structural"/>
    <n v="2013"/>
    <s v="North Indian River Lagoon"/>
    <s v="Not provided"/>
    <s v="Not provided"/>
    <s v="Not provided"/>
  </r>
  <r>
    <n v="3040"/>
    <s v="Brevard County"/>
    <s v="DEP"/>
    <s v="BC-015"/>
    <s v="Puesta Del Sol 735 Baffle Box"/>
    <s v="Construction of a bafffle box."/>
    <s v="Baffle Boxes- First Generation (hydrodynamic separator)"/>
    <x v="0"/>
    <x v="6"/>
    <n v="2"/>
    <n v="0.2"/>
    <x v="1"/>
    <n v="2.2000000000000002"/>
    <n v="24953"/>
    <n v="1000"/>
    <s v="DEP"/>
    <s v="Not provided"/>
    <s v="S0620"/>
    <s v="Structural"/>
    <n v="2013"/>
    <s v="North Indian River Lagoon"/>
    <s v="Not provided"/>
    <s v="Not provided"/>
    <n v="2017"/>
  </r>
  <r>
    <n v="3039"/>
    <s v="Brevard County"/>
    <s v="SJRWMD"/>
    <s v="BC-016"/>
    <s v="Tequesta Harbor Baffle Box"/>
    <s v="Construction of a bafffle box."/>
    <s v="Baffle Boxes- First Generation (hydrodynamic separator)"/>
    <x v="0"/>
    <x v="9"/>
    <n v="21"/>
    <n v="2.4"/>
    <x v="1"/>
    <n v="13.1"/>
    <n v="27582"/>
    <n v="1000"/>
    <s v="Not provided"/>
    <s v="Not provided"/>
    <s v="N/A"/>
    <s v="Structural"/>
    <n v="2013"/>
    <s v="North Indian River Lagoon"/>
    <s v="Not provided"/>
    <s v="Not provided"/>
    <n v="2010"/>
  </r>
  <r>
    <n v="3038"/>
    <s v="Brevard County"/>
    <s v="NRCS"/>
    <s v="BC-017"/>
    <s v="Broadway Boulevard Pond"/>
    <s v="Constructon of a detention pond to treat runoff."/>
    <s v="Wet Detention Pond"/>
    <x v="0"/>
    <x v="8"/>
    <n v="272"/>
    <n v="55.7"/>
    <x v="1"/>
    <n v="85.7"/>
    <n v="553169"/>
    <n v="14972.5"/>
    <s v="Not provided"/>
    <s v="Not provided"/>
    <s v="N/A"/>
    <s v="Structural"/>
    <n v="2013"/>
    <s v="North Indian River Lagoon"/>
    <s v="Not provided"/>
    <s v="Not provided"/>
    <s v="Not provided"/>
  </r>
  <r>
    <n v="3037"/>
    <s v="Brevard County"/>
    <s v="Not provided"/>
    <s v="BC-018"/>
    <s v="Fairglen Elementary School Pond"/>
    <s v="Constructon of a detention pond to treat runoff."/>
    <s v="Wet Detention Pond"/>
    <x v="0"/>
    <x v="6"/>
    <n v="350"/>
    <n v="111.1"/>
    <x v="1"/>
    <n v="80.2"/>
    <n v="730869"/>
    <s v="Not provided"/>
    <s v="Not provided"/>
    <s v="Not provided"/>
    <s v="N/A"/>
    <s v="Structural"/>
    <n v="2013"/>
    <s v="North Indian River Lagoon"/>
    <s v="Not provided"/>
    <s v="Not provided"/>
    <s v="Not provided"/>
  </r>
  <r>
    <n v="3036"/>
    <s v="Brevard County"/>
    <s v="DEP"/>
    <s v="BC-019"/>
    <s v="Lake George"/>
    <s v="Constructon of a detention pond to treat runoff."/>
    <s v="Wet Detention Pond"/>
    <x v="0"/>
    <x v="1"/>
    <n v="1261"/>
    <n v="414.6"/>
    <x v="1"/>
    <n v="719"/>
    <n v="347255"/>
    <n v="17750"/>
    <s v="DEP"/>
    <s v="Not provided"/>
    <s v="LP8952"/>
    <s v="Structural"/>
    <n v="2013"/>
    <s v="North Indian River Lagoon"/>
    <s v="Not provided"/>
    <s v="Not provided"/>
    <s v="Not provided"/>
  </r>
  <r>
    <n v="3035"/>
    <s v="Brevard County"/>
    <s v="Not provided"/>
    <s v="BC-020"/>
    <s v="Merritt Island Courthouse Pond"/>
    <s v="Constructon of a detention pond to treat runoff."/>
    <s v="Wet Detention Pond"/>
    <x v="0"/>
    <x v="6"/>
    <n v="8"/>
    <n v="2.5"/>
    <x v="1"/>
    <n v="7"/>
    <n v="95584"/>
    <s v="Not provided"/>
    <s v="Not provided"/>
    <s v="Not provided"/>
    <s v="N/A"/>
    <s v="Structural"/>
    <n v="2013"/>
    <s v="North Indian River Lagoon"/>
    <s v="Not provided"/>
    <s v="Not provided"/>
    <s v="Not provided"/>
  </r>
  <r>
    <n v="3034"/>
    <s v="Brevard County"/>
    <s v="Not provided"/>
    <s v="BC-021"/>
    <s v="Parkway Drive Phase 2 Pond"/>
    <s v="Constructon of a detention pond to treat runoff."/>
    <s v="Wet Detention Pond"/>
    <x v="0"/>
    <x v="10"/>
    <n v="4041"/>
    <n v="1598.9"/>
    <x v="1"/>
    <n v="1796.9"/>
    <n v="1817720"/>
    <s v="Not provided"/>
    <s v="Not provided"/>
    <s v="Not provided"/>
    <s v="N/A"/>
    <s v="Structural"/>
    <n v="2013"/>
    <s v="North Indian River Lagoon"/>
    <s v="Not provided"/>
    <s v="Not provided"/>
    <s v="Not provided"/>
  </r>
  <r>
    <n v="3033"/>
    <s v="Brevard County"/>
    <s v="Not provided"/>
    <s v="BC-022"/>
    <s v="Street Sweeping"/>
    <s v="Monthly Street Sweeping 786 curb lane miles."/>
    <s v="Street Sweeping"/>
    <x v="0"/>
    <x v="2"/>
    <n v="636"/>
    <n v="408"/>
    <x v="1"/>
    <s v="N/A"/>
    <n v="106665.04"/>
    <s v="Not provided"/>
    <s v="Not provided"/>
    <s v="Not provided"/>
    <s v="N/A"/>
    <s v="Non-structural"/>
    <n v="2013"/>
    <s v="North Indian River Lagoon"/>
    <s v="N/A"/>
    <s v="N/A"/>
    <s v="Not provided"/>
  </r>
  <r>
    <n v="3018"/>
    <s v="Brevard County"/>
    <s v="Not provided"/>
    <s v="BC-023"/>
    <s v="Education Efforts"/>
    <s v="FYN; landscape, irrigation, fertilizer, and pet waste ordinances; PSAs; pamphlets; website, Illicit Discharge Program."/>
    <s v="Education Efforts"/>
    <x v="0"/>
    <x v="2"/>
    <n v="6339"/>
    <n v="1035"/>
    <x v="1"/>
    <s v="N/A"/>
    <s v="Not provided"/>
    <s v="Not provided"/>
    <s v="Not provided"/>
    <s v="Not provided"/>
    <s v="N/A"/>
    <s v="Non-structural"/>
    <n v="2013"/>
    <s v="North Indian River Lagoon"/>
    <s v="N/A"/>
    <s v="N/A"/>
    <s v="Not provided"/>
  </r>
  <r>
    <n v="3031"/>
    <s v="Brevard County"/>
    <s v="DEP"/>
    <s v="BC-024"/>
    <s v="Pine Island Phase I and II"/>
    <s v="Two Wet Detention Ponds (80-acres &amp; 23 acres) with Gravity Flow and Pump Station."/>
    <s v="Wet Detention Pond"/>
    <x v="0"/>
    <x v="11"/>
    <n v="10948"/>
    <n v="3217.9"/>
    <x v="1"/>
    <n v="6232.9"/>
    <n v="4131255"/>
    <n v="34705"/>
    <s v="DEP TMDL/ EPA 319"/>
    <s v="DEP TDML/ EPA 319 - $1,677,079"/>
    <s v="G0288/ G0344"/>
    <s v="Structural"/>
    <n v="2013"/>
    <s v="North Indian River Lagoon"/>
    <s v="Not provided"/>
    <s v="Not provided"/>
    <s v="Not provided"/>
  </r>
  <r>
    <n v="3045"/>
    <s v="Brevard County"/>
    <s v="Not provided"/>
    <s v="BC-025"/>
    <s v="Merritt Island Airport"/>
    <s v="Not provided."/>
    <s v="Wet Detention Pond"/>
    <x v="2"/>
    <x v="2"/>
    <s v="N/A"/>
    <s v="N/A"/>
    <x v="1"/>
    <s v="N/A"/>
    <s v="N/A"/>
    <s v="N/A"/>
    <s v="N/A"/>
    <s v="N/A"/>
    <s v="N/A"/>
    <s v="Structural"/>
    <s v="N/A"/>
    <s v="North Indian River Lagoon"/>
    <s v="N/A"/>
    <s v="N/A"/>
    <s v="N/A"/>
  </r>
  <r>
    <n v="3029"/>
    <s v="Brevard County"/>
    <s v="DEP"/>
    <s v="BC-026"/>
    <s v="Pines Industrial"/>
    <s v="Construction of a pond to treat runoff where no treatment was provided."/>
    <s v="Wet Detention Pond"/>
    <x v="1"/>
    <x v="12"/>
    <n v="801.5"/>
    <n v="101"/>
    <x v="1"/>
    <n v="71"/>
    <n v="822000"/>
    <s v="TBD"/>
    <s v="DEP"/>
    <s v="Not provided"/>
    <s v="NF003"/>
    <s v="Structural"/>
    <n v="2013"/>
    <s v="North Indian River Lagoon"/>
    <s v="Not provided"/>
    <s v="Not provided"/>
    <s v="TBD"/>
  </r>
  <r>
    <n v="3028"/>
    <s v="Brevard County"/>
    <s v="DEP"/>
    <s v="BC-027"/>
    <s v="Johnson Junior High"/>
    <s v="Discharge regulation, phosphorus reduction, and denitrification."/>
    <s v="Biosorption Activated Media (BAM)"/>
    <x v="0"/>
    <x v="13"/>
    <n v="187.14"/>
    <n v="27.04"/>
    <x v="1"/>
    <n v="133.4"/>
    <n v="499416.43"/>
    <s v="Not provided"/>
    <s v="DEP"/>
    <s v="DEP - $489,200"/>
    <s v="G0430"/>
    <s v="Structural"/>
    <n v="2013"/>
    <s v="North Indian River Lagoon"/>
    <s v="Not provided"/>
    <s v="Not provided"/>
    <s v="TBD"/>
  </r>
  <r>
    <n v="3027"/>
    <s v="Brevard County"/>
    <s v="DEP"/>
    <s v="BC-028"/>
    <s v="Florida Boulevard"/>
    <s v="Installation of floating vegetative islands for Nutrient uptake."/>
    <s v="Floating Islands/ Managed Aquatic Plant Systems (MAPS)"/>
    <x v="0"/>
    <x v="0"/>
    <n v="197"/>
    <n v="21"/>
    <x v="1"/>
    <n v="88.4"/>
    <n v="40772"/>
    <n v="18295"/>
    <s v="DEP"/>
    <s v="Not provided"/>
    <s v="G0430"/>
    <s v="Structural"/>
    <n v="2013"/>
    <s v="North Indian River Lagoon"/>
    <s v="Not provided"/>
    <s v="Not provided"/>
    <s v="Not provided"/>
  </r>
  <r>
    <n v="3026"/>
    <s v="Brevard County"/>
    <s v="DEP"/>
    <s v="BC-029"/>
    <s v="Fairglen Elementary"/>
    <s v="Installation of floating vegetative islands for Nutrient uptake."/>
    <s v="Floating Islands/ Managed Aquatic Plant Systems (MAPS)"/>
    <x v="0"/>
    <x v="13"/>
    <n v="123"/>
    <n v="12.2"/>
    <x v="1"/>
    <n v="80.2"/>
    <n v="34996"/>
    <n v="15703"/>
    <s v="DEP"/>
    <s v="Not provided"/>
    <s v="G0430"/>
    <s v="Structural"/>
    <n v="2013"/>
    <s v="North Indian River Lagoon"/>
    <s v="Not provided"/>
    <s v="Not provided"/>
    <s v="Not provided"/>
  </r>
  <r>
    <n v="3025"/>
    <s v="Brevard County"/>
    <s v="DEP"/>
    <s v="BC-030"/>
    <s v="Port St. John B"/>
    <s v="Installation of floating vegetative islands for Nutrient uptake."/>
    <s v="Floating Islands/ Managed Aquatic Plant Systems (MAPS)"/>
    <x v="0"/>
    <x v="14"/>
    <n v="237"/>
    <n v="41.5"/>
    <x v="1"/>
    <n v="57.9"/>
    <n v="16308"/>
    <n v="7315"/>
    <s v="DEP"/>
    <s v="Not provided"/>
    <s v="G0430"/>
    <s v="Structural"/>
    <n v="2013"/>
    <s v="North Indian River Lagoon"/>
    <s v="Not provided"/>
    <s v="Not provided"/>
    <s v="Not provided"/>
  </r>
  <r>
    <n v="3024"/>
    <s v="Brevard County"/>
    <s v="DEP"/>
    <s v="BC-031"/>
    <s v="Wickham Park North"/>
    <s v="Installation of floating vegetative islands for Nutrient uptake."/>
    <s v="Floating Islands/ Managed Aquatic Plant Systems (MAPS)"/>
    <x v="0"/>
    <x v="13"/>
    <n v="2804"/>
    <n v="597.79999999999995"/>
    <x v="1"/>
    <n v="1796.9"/>
    <n v="75428"/>
    <n v="24175"/>
    <s v="DEP"/>
    <s v="Not provided"/>
    <s v="G0430"/>
    <s v="Structural"/>
    <n v="2013"/>
    <s v="North Indian River Lagoon"/>
    <s v="Not provided"/>
    <s v="Not provided"/>
    <s v="Not provided"/>
  </r>
  <r>
    <n v="3023"/>
    <s v="Brevard County"/>
    <s v="DEP"/>
    <s v="BC-032"/>
    <s v="West Avenue 6600"/>
    <s v="Upgrading a 1st Generation to a 2nd generation baffle box by adding the nutrient separating screen."/>
    <s v="Baffle Boxes- Second Generation"/>
    <x v="0"/>
    <x v="13"/>
    <n v="120"/>
    <n v="12"/>
    <x v="1"/>
    <n v="50.7"/>
    <n v="15000"/>
    <n v="2140"/>
    <s v="DEP"/>
    <s v="DEP - $275,000"/>
    <s v="S0648"/>
    <s v="Structural"/>
    <n v="2013"/>
    <s v="North Indian River Lagoon"/>
    <s v="Not provided"/>
    <s v="Not provided"/>
    <s v="Not provided"/>
  </r>
  <r>
    <n v="3022"/>
    <s v="Brevard County"/>
    <s v="DEP"/>
    <s v="BC-033"/>
    <s v="Lucas Place"/>
    <s v="Upgrading a 1st Generation to a 2nd generation baffle box by adding the nutrient separating screen."/>
    <s v="Baffle Boxes- Second Generation"/>
    <x v="0"/>
    <x v="14"/>
    <n v="8"/>
    <n v="0.7"/>
    <x v="1"/>
    <n v="2.7"/>
    <n v="12507"/>
    <n v="2140"/>
    <s v="DEP"/>
    <s v="DEP - $275,000"/>
    <s v="S0648"/>
    <s v="Structural"/>
    <n v="2013"/>
    <s v="North Indian River Lagoon"/>
    <s v="Not provided"/>
    <s v="Not provided"/>
    <s v="Not provided"/>
  </r>
  <r>
    <n v="3021"/>
    <s v="Brevard County"/>
    <s v="DEP"/>
    <s v="BC-034"/>
    <s v="Indian River Isles"/>
    <s v="Upgrading a 1st Generation to a 2nd generation baffle box by adding the nutrient separating screen."/>
    <s v="Baffle Boxes- Second Generation"/>
    <x v="0"/>
    <x v="14"/>
    <n v="63"/>
    <n v="7.8"/>
    <x v="1"/>
    <n v="7.3"/>
    <n v="30844"/>
    <n v="2140"/>
    <s v="DEP"/>
    <s v="DEP - $275,000"/>
    <s v="S0648"/>
    <s v="Structural"/>
    <n v="2013"/>
    <s v="North Indian River Lagoon"/>
    <s v="Not provided"/>
    <s v="Not provided"/>
    <s v="Not provided"/>
  </r>
  <r>
    <n v="3020"/>
    <s v="Brevard County"/>
    <s v="DEP"/>
    <s v="BC-035"/>
    <s v="Granada Street 1030 East"/>
    <s v="Upgrading a 1st Generation to a 2nd generation baffle box by adding the nutrient separating screen."/>
    <s v="Baffle Boxes- Second Generation"/>
    <x v="0"/>
    <x v="14"/>
    <n v="99"/>
    <n v="16.399999999999999"/>
    <x v="1"/>
    <n v="38.6"/>
    <n v="15000"/>
    <n v="2140"/>
    <s v="DEP"/>
    <s v="DEP - $275,000"/>
    <s v="S0648"/>
    <s v="Structural"/>
    <n v="2013"/>
    <s v="North Indian River Lagoon"/>
    <s v="Not provided"/>
    <s v="Not provided"/>
    <s v="Not provided"/>
  </r>
  <r>
    <n v="3071"/>
    <s v="Brevard County"/>
    <s v="DEP"/>
    <s v="BC-036"/>
    <s v="Haverhill Avenue"/>
    <s v="Upgrading a 1st Generation to a 2nd generation baffle box by adding the nutrient separating screen."/>
    <s v="Baffle Boxes- Second Generation"/>
    <x v="0"/>
    <x v="14"/>
    <n v="80"/>
    <n v="8"/>
    <x v="1"/>
    <n v="47.5"/>
    <n v="35857"/>
    <n v="2140"/>
    <s v="DEP"/>
    <s v="DEP - $275,000"/>
    <s v="S0648"/>
    <s v="Structural"/>
    <n v="2013"/>
    <s v="North Indian River Lagoon"/>
    <s v="Not provided"/>
    <s v="Not provided"/>
    <s v="Not provided"/>
  </r>
  <r>
    <n v="3070"/>
    <s v="Brevard County"/>
    <s v="DEP"/>
    <s v="BC-037"/>
    <s v="Manth Avenue"/>
    <s v="Upgrading a 1st Generation to a 2nd generation baffle box by adding the nutrient separating screen."/>
    <s v="Baffle Boxes- Second Generation"/>
    <x v="0"/>
    <x v="14"/>
    <n v="226"/>
    <n v="29"/>
    <x v="1"/>
    <n v="69.099999999999994"/>
    <n v="12507"/>
    <n v="2140"/>
    <s v="DEP"/>
    <s v="DEP - $275,000"/>
    <s v="S0648"/>
    <s v="Structural"/>
    <n v="2013"/>
    <s v="North Indian River Lagoon"/>
    <s v="Not provided"/>
    <s v="Not provided"/>
    <s v="Not provided"/>
  </r>
  <r>
    <n v="3069"/>
    <s v="Brevard County"/>
    <s v="Not provided"/>
    <s v="BC-038"/>
    <s v="Rockledge and Riverwoods Boulevard Rockledge"/>
    <s v="Upgrading a 1st Generation to a 2nd generation baffle box by adding the nutrient separating screen."/>
    <s v="Baffle Boxes- Second Generation"/>
    <x v="0"/>
    <x v="14"/>
    <n v="3"/>
    <n v="0.2"/>
    <x v="1"/>
    <n v="3.8"/>
    <n v="15000"/>
    <n v="2140"/>
    <s v="Not provided"/>
    <s v="Not provided"/>
    <s v="N/A"/>
    <s v="Structural"/>
    <n v="2013"/>
    <s v="North Indian River Lagoon"/>
    <s v="Not provided"/>
    <s v="Not provided"/>
    <s v="Not provided"/>
  </r>
  <r>
    <n v="2990"/>
    <s v="Brevard County"/>
    <s v="DEP"/>
    <s v="BC-039"/>
    <s v="Alamanda Indian Harbour Beach"/>
    <s v="Upgrading a 1st Generation to a 2nd generation baffle box by adding the nutrient separating screen."/>
    <s v="Baffle Boxes- Second Generation"/>
    <x v="0"/>
    <x v="14"/>
    <n v="3"/>
    <n v="0.3"/>
    <x v="1"/>
    <n v="2.8"/>
    <n v="12507"/>
    <n v="2140"/>
    <s v="DEP"/>
    <s v="DEP - $275,000"/>
    <s v="S0648"/>
    <s v="Structural"/>
    <n v="2013"/>
    <s v="North Indian River Lagoon"/>
    <s v="Not provided"/>
    <s v="Not provided"/>
    <s v="Not provided"/>
  </r>
  <r>
    <n v="2997"/>
    <s v="Brevard County"/>
    <s v="DEP"/>
    <s v="BC-040"/>
    <s v="River Shore 1848 Indialantic"/>
    <s v="Upgrading a 1st Generation to a 2nd generation baffle box by adding the nutrient separating screen."/>
    <s v="Baffle Boxes- Second Generation"/>
    <x v="0"/>
    <x v="14"/>
    <n v="3"/>
    <n v="0.3"/>
    <x v="1"/>
    <n v="2.7"/>
    <n v="31751"/>
    <n v="2140"/>
    <s v="DEP"/>
    <s v="DEP - $275,000"/>
    <s v="S0648"/>
    <s v="Structural"/>
    <n v="2013"/>
    <s v="North Indian River Lagoon"/>
    <s v="Not provided"/>
    <s v="Not provided"/>
    <s v="Not provided"/>
  </r>
  <r>
    <n v="2988"/>
    <s v="Brevard County"/>
    <s v="DEP"/>
    <s v="BC-041"/>
    <s v="River Shore 1925 Indialantic"/>
    <s v="Upgrading a 1st Generation to a 2nd generation baffle box by adding the nutrient separating screen."/>
    <s v="Baffle Boxes- Second Generation"/>
    <x v="0"/>
    <x v="14"/>
    <n v="7"/>
    <n v="0.8"/>
    <x v="1"/>
    <n v="7.4"/>
    <n v="12507"/>
    <n v="2140"/>
    <s v="DEP"/>
    <s v="DEP - $275,000"/>
    <s v="S0648"/>
    <s v="Structural"/>
    <n v="2013"/>
    <s v="North Indian River Lagoon"/>
    <s v="Not provided"/>
    <s v="Not provided"/>
    <s v="Not provided"/>
  </r>
  <r>
    <n v="2987"/>
    <s v="Brevard County"/>
    <s v="DEP"/>
    <s v="BC-042"/>
    <s v="Cedar Lane Indialantic"/>
    <s v="Upgrading a 1st Generation to a 2nd generation baffle box by adding the nutrient separating screen."/>
    <s v="Baffle Boxes- Second Generation"/>
    <x v="0"/>
    <x v="14"/>
    <n v="6"/>
    <n v="0.6"/>
    <x v="1"/>
    <n v="3.8"/>
    <n v="12507"/>
    <n v="2140"/>
    <s v="DEP"/>
    <s v="DEP - $275,000"/>
    <s v="S0648"/>
    <s v="Structural"/>
    <n v="2013"/>
    <s v="North Indian River Lagoon"/>
    <s v="Not provided"/>
    <s v="Not provided"/>
    <s v="Not provided"/>
  </r>
  <r>
    <n v="2983"/>
    <s v="Brevard County"/>
    <s v="DEP"/>
    <s v="BC-043"/>
    <s v="Riverview 9856 Indialantic"/>
    <s v="Upgrading a 1st Generation to a 2nd generation baffle box by adding the nutrient separating screen."/>
    <s v="Baffle Boxes- Second Generation"/>
    <x v="0"/>
    <x v="14"/>
    <n v="9"/>
    <n v="0.9"/>
    <x v="1"/>
    <n v="5.7"/>
    <n v="15000"/>
    <n v="2140"/>
    <s v="DEP"/>
    <s v="DEP - $275,000"/>
    <s v="S0648"/>
    <s v="Structural"/>
    <n v="2013"/>
    <s v="North Indian River Lagoon"/>
    <s v="Not provided"/>
    <s v="Not provided"/>
    <s v="Not provided"/>
  </r>
  <r>
    <n v="2985"/>
    <s v="Brevard County"/>
    <s v="DEP"/>
    <s v="BC-044"/>
    <s v="Riverview 9864 Indialantic"/>
    <s v="Upgrading a 1st Generation to a 2nd generation baffle box by adding the nutrient separating screen."/>
    <s v="Baffle Boxes- Second Generation"/>
    <x v="0"/>
    <x v="14"/>
    <n v="202"/>
    <n v="33.4"/>
    <x v="1"/>
    <n v="98.5"/>
    <n v="15000"/>
    <n v="2140"/>
    <s v="DEP"/>
    <s v="DEP - $275,000"/>
    <s v="S0648"/>
    <s v="Structural"/>
    <n v="2013"/>
    <s v="North Indian River Lagoon"/>
    <s v="Not provided"/>
    <s v="Not provided"/>
    <s v="Not provided"/>
  </r>
  <r>
    <n v="2984"/>
    <s v="Brevard County"/>
    <s v="DEP"/>
    <s v="BC-045"/>
    <s v="Oak Ridge Indialantic"/>
    <s v="Upgrading a 1st Generation to a 2nd generation baffle box by adding the nutrient separating screen."/>
    <s v="Baffle Boxes- Second Generation"/>
    <x v="0"/>
    <x v="14"/>
    <n v="257"/>
    <n v="38.799999999999997"/>
    <x v="1"/>
    <n v="126.5"/>
    <n v="15000"/>
    <n v="2140"/>
    <s v="DEP"/>
    <s v="DEP - $275,000"/>
    <s v="S0648"/>
    <s v="Structural"/>
    <n v="2013"/>
    <s v="North Indian River Lagoon"/>
    <s v="Not provided"/>
    <s v="Not provided"/>
    <s v="Not provided"/>
  </r>
  <r>
    <n v="2981"/>
    <s v="Brevard County"/>
    <s v="SOIRL"/>
    <s v="BC-046"/>
    <s v="Kingsmill-Aurora Phase 2"/>
    <s v="Expansion of a Wet Detention Pond and adding Denitrifcation to pond slope."/>
    <s v="Wet Detention Pond"/>
    <x v="3"/>
    <x v="15"/>
    <n v="4059"/>
    <n v="1589.8"/>
    <x v="1"/>
    <n v="1220.4000000000001"/>
    <n v="1600000"/>
    <n v="1000"/>
    <s v="SOIRL"/>
    <s v="TBD"/>
    <s v="N/A"/>
    <s v="Structural"/>
    <n v="2013"/>
    <s v="North Indian River Lagoon"/>
    <s v="Not provided"/>
    <s v="Not provided"/>
    <s v="TBD"/>
  </r>
  <r>
    <n v="2982"/>
    <s v="Brevard County"/>
    <s v="N/A"/>
    <s v="BC-047"/>
    <s v="Sediment Trap, Grated Inlet Basket, Inlet Weir Cleaning"/>
    <s v="Annual maintenance, removing captured debris from structures."/>
    <s v="BMP Cleanout"/>
    <x v="1"/>
    <x v="14"/>
    <s v="TBD"/>
    <s v="TBD"/>
    <x v="1"/>
    <s v="N/A"/>
    <n v="392105"/>
    <n v="250000"/>
    <s v="N/A"/>
    <s v="N/A"/>
    <s v="N/A"/>
    <s v="Non-structural"/>
    <n v="2013"/>
    <s v="North Indian River Lagoon"/>
    <s v="Not provided"/>
    <s v="Not provided"/>
    <n v="2013"/>
  </r>
  <r>
    <n v="2986"/>
    <s v="Brevard County"/>
    <s v="DEP"/>
    <s v="BC-048"/>
    <s v="Merritt Ridge 3A"/>
    <s v="Alum pond."/>
    <s v="Floating Islands/ Managed Aquatic Plant Systems (MAPS)"/>
    <x v="0"/>
    <x v="14"/>
    <n v="138"/>
    <n v="27"/>
    <x v="1"/>
    <n v="32.1"/>
    <n v="100362"/>
    <n v="41817.5"/>
    <s v="DEP/ County"/>
    <s v="Not provided"/>
    <s v="G0430"/>
    <s v="Structural"/>
    <n v="2013"/>
    <s v="North Indian River Lagoon"/>
    <s v="Not provided"/>
    <s v="Not provided"/>
    <s v="Not provided"/>
  </r>
  <r>
    <n v="2989"/>
    <s v="Brevard County"/>
    <s v="DEP"/>
    <s v="BC-049"/>
    <s v="Lake George"/>
    <s v="Construction of a regional wet detention pond."/>
    <s v="Wet Detention Pond"/>
    <x v="0"/>
    <x v="13"/>
    <n v="505"/>
    <n v="51.3"/>
    <x v="1"/>
    <n v="719"/>
    <n v="51200"/>
    <s v="Not provided"/>
    <s v="DEP/ County"/>
    <s v="Not provided"/>
    <s v="LP852"/>
    <s v="Structural"/>
    <n v="2013"/>
    <s v="North Indian River Lagoon"/>
    <s v="Not provided"/>
    <s v="Not provided"/>
    <s v="Not provided"/>
  </r>
  <r>
    <n v="3008"/>
    <s v="Brevard County"/>
    <s v="Not provided"/>
    <s v="BC-050"/>
    <s v="Wickham Park"/>
    <s v="The provided treatment volume is .17 ac-It."/>
    <s v="Stormwater Reuse"/>
    <x v="0"/>
    <x v="1"/>
    <n v="75"/>
    <n v="4.5999999999999996"/>
    <x v="1"/>
    <s v="Not provided"/>
    <s v="Not provided"/>
    <s v="Not provided"/>
    <s v="Not provided"/>
    <s v="Not provided"/>
    <s v="N/A"/>
    <s v="Structural"/>
    <n v="2013"/>
    <s v="North Indian River Lagoon"/>
    <s v="Not provided"/>
    <s v="Not provided"/>
    <s v="Not provided"/>
  </r>
  <r>
    <n v="3016"/>
    <s v="Brevard County"/>
    <s v="Not provided"/>
    <s v="BC-051"/>
    <s v="Ellington Park"/>
    <s v="Construction of a wet detention pond."/>
    <s v="Stormwater Reuse"/>
    <x v="0"/>
    <x v="4"/>
    <n v="409"/>
    <n v="87"/>
    <x v="1"/>
    <s v="Not provided"/>
    <s v="Not provided"/>
    <s v="Not provided"/>
    <s v="Not provided"/>
    <s v="Not provided"/>
    <s v="N/A"/>
    <s v="Structural"/>
    <n v="2013"/>
    <s v="North Indian River Lagoon"/>
    <s v="Not provided"/>
    <s v="Not provided"/>
    <s v="Not provided"/>
  </r>
  <r>
    <n v="3015"/>
    <s v="Brevard County"/>
    <s v="Not provided"/>
    <s v="BC-052"/>
    <s v="Rockledge Barton Park Reuse"/>
    <s v="Barton Park Pond was constructed by Rockledge. Brevard Parks withdraws water for irrigation for Rockledge Park."/>
    <s v="Stormwater Reuse"/>
    <x v="0"/>
    <x v="9"/>
    <n v="262"/>
    <n v="24.1"/>
    <x v="1"/>
    <s v="Not provided"/>
    <s v="Not provided"/>
    <s v="Not provided"/>
    <s v="Not provided"/>
    <s v="Not provided"/>
    <s v="N/A"/>
    <s v="Structural"/>
    <n v="2013"/>
    <s v="North Indian River Lagoon"/>
    <s v="Not provided"/>
    <s v="Not provided"/>
    <s v="Not provided"/>
  </r>
  <r>
    <n v="3014"/>
    <s v="Brevard County"/>
    <s v="Not provided"/>
    <s v="BC-053"/>
    <s v="Florida Boulevard Pond"/>
    <s v="Construction of a wet detention pond."/>
    <s v="Wet Detention Pond"/>
    <x v="0"/>
    <x v="16"/>
    <n v="545"/>
    <n v="185.4"/>
    <x v="1"/>
    <n v="88.4"/>
    <n v="350384"/>
    <s v="Not provided"/>
    <s v="Not provided"/>
    <s v="Not provided"/>
    <s v="N/A"/>
    <s v="Structural"/>
    <n v="2013"/>
    <s v="North Indian River Lagoon"/>
    <s v="Not provided"/>
    <s v="Not provided"/>
    <s v="Not provided"/>
  </r>
  <r>
    <n v="3006"/>
    <s v="Brevard County"/>
    <s v="DEP"/>
    <s v="BC-054"/>
    <s v="McGiver South"/>
    <s v="Upgrading a 1st Generation to a 2nd generation baffle box by adding the nutrient separating screen."/>
    <s v="Baffle Boxes- Second Generation"/>
    <x v="0"/>
    <x v="17"/>
    <n v="6"/>
    <n v="0.7"/>
    <x v="1"/>
    <n v="2.8"/>
    <n v="12507"/>
    <n v="2140"/>
    <s v="DEP"/>
    <s v="DEP - $275,000"/>
    <s v="S0648"/>
    <s v="Structural"/>
    <n v="2014"/>
    <s v="North Indian River Lagoon"/>
    <s v="Not provided"/>
    <s v="Not provided"/>
    <s v="Not provided"/>
  </r>
  <r>
    <n v="3013"/>
    <s v="Brevard County"/>
    <s v="DEP"/>
    <s v="BC-055"/>
    <s v="651 Franklyn"/>
    <s v="Upgrading a 1st Generation to a 2nd generation baffle box by adding the nutrient separating screen."/>
    <s v="Baffle Boxes- Second Generation"/>
    <x v="0"/>
    <x v="17"/>
    <n v="15"/>
    <n v="1.6"/>
    <x v="1"/>
    <n v="13.7"/>
    <n v="12507"/>
    <n v="2140"/>
    <s v="DEP"/>
    <s v="DEP - $275,000"/>
    <s v="S0648"/>
    <s v="Structural"/>
    <n v="2014"/>
    <s v="North Indian River Lagoon"/>
    <s v="Not provided"/>
    <s v="Not provided"/>
    <s v="Not provided"/>
  </r>
  <r>
    <n v="2991"/>
    <s v="Brevard County"/>
    <s v="Not provided"/>
    <s v="BC-056"/>
    <s v="Fountainhead"/>
    <s v="Removing vegetation from a wet detention pond."/>
    <s v="Aquatic Vegetation Harvesting"/>
    <x v="0"/>
    <x v="0"/>
    <n v="401"/>
    <n v="64.7"/>
    <x v="1"/>
    <n v="125.45797899999999"/>
    <n v="39274"/>
    <s v="Not provided"/>
    <s v="Not provided"/>
    <s v="Not provided"/>
    <s v="N/A"/>
    <s v="Non-structural"/>
    <n v="2014"/>
    <s v="North Indian River Lagoon"/>
    <s v="Not provided"/>
    <s v="Not provided"/>
    <s v="Not provided"/>
  </r>
  <r>
    <n v="3012"/>
    <s v="Brevard County"/>
    <s v="DEP"/>
    <s v="BC-057"/>
    <s v="Fiske"/>
    <s v="Upgrading a 1st Generation to a 2nd generation baffle box by adding the nutrient separating screen."/>
    <s v="Baffle Boxes- Second Generation"/>
    <x v="0"/>
    <x v="0"/>
    <n v="317.2"/>
    <n v="55.7"/>
    <x v="1"/>
    <n v="126.2"/>
    <n v="12507"/>
    <n v="2140"/>
    <s v="DEP"/>
    <s v="DEP - $275,000"/>
    <s v="S0648"/>
    <s v="Structural"/>
    <n v="2015"/>
    <s v="North Indian River Lagoon"/>
    <s v="Not provided"/>
    <s v="Not provided"/>
    <s v="Not provided"/>
  </r>
  <r>
    <n v="3000"/>
    <s v="Brevard County"/>
    <s v="Not provided"/>
    <s v="BC-058"/>
    <s v="Street Sweeping"/>
    <s v="Monthly street sweeping."/>
    <s v="Street Sweeping"/>
    <x v="0"/>
    <x v="2"/>
    <n v="110"/>
    <n v="71"/>
    <x v="0"/>
    <s v="N/A"/>
    <s v="N/A"/>
    <n v="21000"/>
    <s v="County"/>
    <s v="N/A"/>
    <s v="N/A"/>
    <s v="Non-structural"/>
    <n v="2015"/>
    <s v="North Indian River Lagoon"/>
    <s v="N/A"/>
    <s v="N/A"/>
    <s v="Not provided"/>
  </r>
  <r>
    <n v="3002"/>
    <s v="Brevard County"/>
    <s v="N/A"/>
    <s v="BC-059"/>
    <s v="Baffle Box/Sediment Trap Cleaning"/>
    <s v="Quarterly baffle box/sediment trap cleaning."/>
    <s v="BMP Cleanout"/>
    <x v="0"/>
    <x v="11"/>
    <s v="Not provided"/>
    <s v="Not provided"/>
    <x v="0"/>
    <s v="N/A"/>
    <n v="250000"/>
    <n v="250000"/>
    <s v="County"/>
    <s v="County - $250,000"/>
    <s v="N/A"/>
    <s v="Non-structural"/>
    <n v="2015"/>
    <s v="North Indian River Lagoon"/>
    <s v="N/A"/>
    <s v="N/A"/>
    <n v="2010"/>
  </r>
  <r>
    <n v="3003"/>
    <s v="Brevard County"/>
    <s v="DEP"/>
    <s v="BC-060"/>
    <s v="Huntington Road"/>
    <s v="Installation of vegetative floating island into an exiting  detention pond."/>
    <s v="Floating Islands/ Managed Aquatic Plant Systems (MAPS)"/>
    <x v="0"/>
    <x v="18"/>
    <n v="520"/>
    <n v="47"/>
    <x v="0"/>
    <n v="354.64151299999997"/>
    <n v="45788"/>
    <n v="9997.5"/>
    <s v="DEP/County"/>
    <s v="Not provided"/>
    <s v="G0430"/>
    <s v="Structural"/>
    <n v="2016"/>
    <s v="North Indian River Lagoon"/>
    <s v="Not provided"/>
    <s v="Not provided"/>
    <s v="Not provided"/>
  </r>
  <r>
    <n v="3004"/>
    <s v="Brevard County"/>
    <s v="DEP"/>
    <s v="BC-061"/>
    <s v="Port St. John C"/>
    <s v="Installation of vegetative floating island into an exiting  detention pond."/>
    <s v="Floating Islands/ Managed Aquatic Plant Systems (MAPS)"/>
    <x v="0"/>
    <x v="18"/>
    <n v="62"/>
    <n v="10.5"/>
    <x v="1"/>
    <n v="19.988123999999999"/>
    <n v="14062"/>
    <n v="3070.5"/>
    <s v="DEP/County"/>
    <s v="Not provided"/>
    <s v="G0430"/>
    <s v="Structural"/>
    <n v="2016"/>
    <s v="North Indian River Lagoon"/>
    <s v="Not provided"/>
    <s v="Not provided"/>
    <s v="Not provided"/>
  </r>
  <r>
    <n v="3017"/>
    <s v="Brevard County"/>
    <s v="DEP"/>
    <s v="BC-062"/>
    <s v="Shoreview Circle"/>
    <s v="Upgrading a 1st Generation to a 2nd generation baffle box by adding the nutrient separating screen."/>
    <s v="Baffle Boxes- Second Generation"/>
    <x v="0"/>
    <x v="11"/>
    <s v="Not provided"/>
    <s v="Not provided"/>
    <x v="1"/>
    <s v="Not provided"/>
    <n v="11270"/>
    <n v="2140"/>
    <s v="DEP"/>
    <s v="DEP - $275,000"/>
    <s v="S0648"/>
    <s v="Structural"/>
    <n v="2016"/>
    <s v="North Indian River Lagoon"/>
    <s v="Not provided"/>
    <s v="Not provided"/>
    <s v="Not provided"/>
  </r>
  <r>
    <n v="3007"/>
    <s v="Brevard County"/>
    <s v="DEP"/>
    <s v="BC-063"/>
    <s v="Granada West"/>
    <s v="Upgrading a 1st Generation to a 2nd generation baffle box by adding the nutrient separating screen."/>
    <s v="Baffle Boxes- Second Generation"/>
    <x v="0"/>
    <x v="11"/>
    <s v="Not provided"/>
    <s v="Not provided"/>
    <x v="1"/>
    <s v="Not provided"/>
    <n v="11220"/>
    <n v="2140"/>
    <s v="DEP"/>
    <s v="DEP - $275,000"/>
    <s v="S0649"/>
    <s v="Structural"/>
    <n v="2016"/>
    <s v="North Indian River Lagoon"/>
    <s v="Not provided"/>
    <s v="Not provided"/>
    <s v="Not provided"/>
  </r>
  <r>
    <n v="2998"/>
    <s v="Brevard County"/>
    <s v="DEP"/>
    <s v="BC-064"/>
    <s v="Shoreview Lane"/>
    <s v="Upgrading a 1st Generation to a 2nd generation baffle box by adding the nutrient separating screen."/>
    <s v="Baffle Boxes- Second Generation"/>
    <x v="0"/>
    <x v="11"/>
    <s v="Not provided"/>
    <s v="Not provided"/>
    <x v="1"/>
    <s v="Not provided"/>
    <n v="24543.439999999999"/>
    <n v="2140"/>
    <s v="DEP"/>
    <s v="DEP - $275,000"/>
    <s v="S0650"/>
    <s v="Structural"/>
    <n v="2016"/>
    <s v="North Indian River Lagoon"/>
    <s v="Not provided"/>
    <s v="Not provided"/>
    <s v="Not provided"/>
  </r>
  <r>
    <n v="3009"/>
    <s v="Brevard County"/>
    <s v="DEP"/>
    <s v="BC-065"/>
    <s v="Sunset Park North"/>
    <s v="Upgrading a 1st Generation to a 2nd generation baffle box by adding the nutrient separating screen."/>
    <s v="Baffle Boxes- Second Generation"/>
    <x v="0"/>
    <x v="11"/>
    <s v="Not provided"/>
    <s v="Not provided"/>
    <x v="1"/>
    <s v="Not provided"/>
    <n v="11170"/>
    <n v="2140"/>
    <s v="DEP"/>
    <s v="DEP - $275,000"/>
    <s v="S0651"/>
    <s v="Structural"/>
    <n v="2016"/>
    <s v="North Indian River Lagoon"/>
    <s v="Not provided"/>
    <s v="Not provided"/>
    <s v="Not provided"/>
  </r>
  <r>
    <n v="3010"/>
    <s v="Brevard County"/>
    <s v="DEP"/>
    <s v="BC-066"/>
    <s v="Oak Street"/>
    <s v="Upgrading a 1st Generation to a 2nd generation baffle box by adding the nutrient separating screen."/>
    <s v="Baffle Boxes- Second Generation"/>
    <x v="0"/>
    <x v="11"/>
    <s v="Not provided"/>
    <s v="Not provided"/>
    <x v="1"/>
    <s v="Not provided"/>
    <n v="10895"/>
    <n v="2140"/>
    <s v="DEP"/>
    <s v="DEP - $275,000"/>
    <s v="S0652"/>
    <s v="Structural"/>
    <n v="2016"/>
    <s v="North Indian River Lagoon"/>
    <s v="Not provided"/>
    <s v="Not provided"/>
    <s v="Not provided"/>
  </r>
  <r>
    <n v="3011"/>
    <s v="Brevard County"/>
    <s v="DEP"/>
    <s v="BC-067"/>
    <s v="Fountainhead Advanced Denitrification"/>
    <s v="Phosphorus reduction &amp;  denitrification."/>
    <s v="Denitrification Walls"/>
    <x v="1"/>
    <x v="12"/>
    <n v="488"/>
    <s v="TBD"/>
    <x v="1"/>
    <n v="234.65"/>
    <n v="381000"/>
    <s v="Not provided"/>
    <s v="DEP"/>
    <s v="Not provided"/>
    <s v="LP05115"/>
    <s v="Structural"/>
    <n v="2017"/>
    <s v="North Indian River Lagoon"/>
    <s v="Not provided"/>
    <s v="Not provided"/>
    <s v="Not provided"/>
  </r>
  <r>
    <n v="3096"/>
    <s v="Brevard County"/>
    <s v="DEP"/>
    <s v="BC-068"/>
    <s v="Multiple Ditch Outfall Denitrification D1"/>
    <s v="Providing base flow/grondwater treatment in open drainage basins."/>
    <s v="Biosorption Activated Media (BAM)"/>
    <x v="2"/>
    <x v="5"/>
    <s v="TBD"/>
    <s v="TBD"/>
    <x v="0"/>
    <s v="Not provided"/>
    <n v="900000"/>
    <s v="Not provided"/>
    <s v="Florida Legislature/ Brevard County"/>
    <n v="900600"/>
    <s v="LP0511A"/>
    <s v="Structural"/>
    <n v="2017"/>
    <s v="North Indian River Lagoon"/>
    <s v="Not provided"/>
    <s v="Not provided"/>
    <s v="Not provided"/>
  </r>
  <r>
    <n v="2992"/>
    <s v="Brevard County"/>
    <s v="DEP"/>
    <s v="BC-068a"/>
    <s v="Multiple Ditch Outfall Denitrification D1"/>
    <s v="Providing base flow/grondwater treatment in open drainage basins."/>
    <s v="Biosorption Activated Media (BAM)"/>
    <x v="2"/>
    <x v="5"/>
    <s v="TBD"/>
    <s v="TBD"/>
    <x v="1"/>
    <s v="Not provided"/>
    <s v="Not provided"/>
    <s v="Not provided"/>
    <s v="DEP"/>
    <s v="Not provided"/>
    <s v="LP0511A"/>
    <s v="Structural"/>
    <n v="2017"/>
    <s v="North Indian River Lagoon"/>
    <s v="Not provided"/>
    <s v="Not provided"/>
    <s v="Not provided"/>
  </r>
  <r>
    <n v="2993"/>
    <s v="Brevard County"/>
    <s v="DEP"/>
    <s v="BC-069"/>
    <s v="Multiple Ditch Outfall Denitrification D4 (replace by individual Basin #s/names)"/>
    <s v="Providing base flow/grondwater treatment in open drainage basins."/>
    <s v="Biosorption Activated Media (BAM)"/>
    <x v="3"/>
    <x v="5"/>
    <s v="TBD"/>
    <s v="TBD"/>
    <x v="1"/>
    <s v="Not provided"/>
    <n v="2140000"/>
    <s v="Not provided"/>
    <s v="DEP"/>
    <s v="Not provided"/>
    <s v="LP0511A"/>
    <s v="Structural"/>
    <n v="2017"/>
    <s v="North Indian River Lagoon"/>
    <s v="Not provided"/>
    <s v="Not provided"/>
    <s v="Not provided"/>
  </r>
  <r>
    <n v="2994"/>
    <s v="Brevard County"/>
    <s v="Not provided"/>
    <s v="BC-070"/>
    <s v="Otter Creek Basin D4"/>
    <s v="Providing base flow/grondwater treatment in open drainage basins."/>
    <s v="Biosorption Activated Media (BAM)"/>
    <x v="3"/>
    <x v="5"/>
    <s v="TBD"/>
    <s v="TBD"/>
    <x v="1"/>
    <s v="Not provided"/>
    <n v="130000"/>
    <s v="Not provided"/>
    <s v="Not provided"/>
    <s v="Not provided"/>
    <s v="N/A"/>
    <s v="Structural"/>
    <n v="2017"/>
    <s v="North Indian River Lagoon"/>
    <s v="Not provided"/>
    <s v="Not provided"/>
    <s v="Not provided"/>
  </r>
  <r>
    <n v="2995"/>
    <s v="Brevard County"/>
    <s v="SJRWMD"/>
    <s v="BC-071"/>
    <s v="Suntree In-Channel Denitrification D4"/>
    <s v="Providing base flow/grondwater treatment in open drainage basins."/>
    <s v="Biosorption Activated Media (BAM)"/>
    <x v="3"/>
    <x v="19"/>
    <s v="TBD"/>
    <s v="TBD"/>
    <x v="1"/>
    <s v="Not provided"/>
    <n v="71000"/>
    <s v="Not provided"/>
    <s v="SJRWMD"/>
    <s v="Not provided"/>
    <s v="N/A"/>
    <s v="Structural"/>
    <n v="2017"/>
    <s v="North Indian River Lagoon"/>
    <s v="Not provided"/>
    <s v="Not provided"/>
    <s v="Not provided"/>
  </r>
  <r>
    <n v="2996"/>
    <s v="Brevard County"/>
    <s v="DEP"/>
    <s v="BC-072"/>
    <s v="Multiple Ditch Outfall Denitrification D5 (replace by individual Basin#s/names)"/>
    <s v="Providing base flow/grondwater treatment in open drainage basins."/>
    <s v="Biosorption Activated Media (BAM)"/>
    <x v="1"/>
    <x v="5"/>
    <s v="TBD"/>
    <s v="TBD"/>
    <x v="1"/>
    <s v="Not provided"/>
    <n v="100000"/>
    <s v="Not provided"/>
    <s v="DEP"/>
    <s v="DEP - $100,000"/>
    <s v="LP0511A"/>
    <s v="Structural"/>
    <n v="2017"/>
    <s v="North Indian River Lagoon"/>
    <s v="Not provided"/>
    <s v="Not provided"/>
    <s v="Not provided"/>
  </r>
  <r>
    <n v="3005"/>
    <s v="Brevard County"/>
    <s v="SOIRL"/>
    <s v="BC-073"/>
    <s v="EauGallie Area Muck Dredging"/>
    <s v="Not provided."/>
    <s v="Muck Removal/Restoration Dredging"/>
    <x v="0"/>
    <x v="13"/>
    <s v="TBD"/>
    <s v="TBD"/>
    <x v="1"/>
    <s v="Not provided"/>
    <n v="26250000"/>
    <s v="N/A"/>
    <s v="SOIRL"/>
    <s v="SOIRL - $26,250,000"/>
    <s v="N/A"/>
    <s v="Non-structural"/>
    <n v="2017"/>
    <s v="North Indian River Lagoon"/>
    <s v="Not provided"/>
    <s v="Not provided"/>
    <n v="2018"/>
  </r>
  <r>
    <n v="3060"/>
    <s v="Brevard County"/>
    <s v="SOIRL"/>
    <s v="BC-074"/>
    <s v="Flounder Creek Pond Denitrification Retrofit"/>
    <s v="Stormwater traditional BMP."/>
    <s v="Biosorption Activated Media (BAM)"/>
    <x v="3"/>
    <x v="3"/>
    <n v="856"/>
    <s v="N/A"/>
    <x v="0"/>
    <n v="320"/>
    <n v="157500"/>
    <n v="12307.5"/>
    <s v="Not provided"/>
    <s v="Not provided"/>
    <s v="N/A"/>
    <s v="Structural"/>
    <n v="2017"/>
    <s v="North Indian River Lagoon"/>
    <s v="Not provided"/>
    <s v="Not provided"/>
    <s v="TBD"/>
  </r>
  <r>
    <n v="3047"/>
    <s v="Brevard County"/>
    <s v="Not provided"/>
    <s v="BC-075"/>
    <s v="Huntington Creek Pond Denitrification Retrofit"/>
    <s v="Not provided."/>
    <s v="Biosorption Activated Media (BAM)"/>
    <x v="3"/>
    <x v="3"/>
    <s v="TBD"/>
    <s v="TBD"/>
    <x v="0"/>
    <n v="355"/>
    <n v="180000"/>
    <n v="16662.5"/>
    <s v="Not provided"/>
    <s v="Not provided"/>
    <s v="N/A"/>
    <s v="Structural"/>
    <n v="2017"/>
    <s v="North Indian River Lagoon"/>
    <s v="Not provided"/>
    <s v="Not provided"/>
    <s v="TBD"/>
  </r>
  <r>
    <n v="3048"/>
    <s v="Brevard County"/>
    <s v="Not provided"/>
    <s v="BC-077"/>
    <s v="Merritt Ridge 2B D2"/>
    <s v="Not provided."/>
    <s v="Grass Swales without Swale Blocks or Raised Culverts"/>
    <x v="0"/>
    <x v="18"/>
    <s v="Not provided"/>
    <s v="Not provided"/>
    <x v="1"/>
    <n v="2"/>
    <n v="45000"/>
    <s v="Not provided"/>
    <s v="Not provided"/>
    <s v="Not provided"/>
    <s v="N/A"/>
    <s v="Structural"/>
    <n v="2017"/>
    <s v="North Indian River Lagoon"/>
    <s v="Not provided"/>
    <s v="Not provided"/>
    <s v="Not provided"/>
  </r>
  <r>
    <n v="3049"/>
    <s v="Brevard County"/>
    <s v="Not provided"/>
    <s v="BC-078"/>
    <s v="Merritt Ridge 2E D2"/>
    <s v="Wet detention pond construction."/>
    <s v="Wet Detention Pond"/>
    <x v="3"/>
    <x v="3"/>
    <s v="TBD"/>
    <s v="TBD"/>
    <x v="1"/>
    <s v="Not provided"/>
    <n v="720000"/>
    <s v="Not provided"/>
    <s v="Not provided"/>
    <s v="Not provided"/>
    <s v="N/A"/>
    <s v="Structural"/>
    <n v="2017"/>
    <s v="North Indian River Lagoon"/>
    <s v="Not provided"/>
    <s v="Not provided"/>
    <s v="TBD"/>
  </r>
  <r>
    <n v="3051"/>
    <s v="Brevard County"/>
    <s v="N/A"/>
    <s v="BC-080"/>
    <s v="Wickham Park Solar Bee"/>
    <s v="Installing a mixer to reduce the amount of algae and cyanobacteria on an existing pond."/>
    <s v="BMP Treatment Train"/>
    <x v="3"/>
    <x v="3"/>
    <s v="TBD"/>
    <s v="TBD"/>
    <x v="1"/>
    <s v="TBD"/>
    <s v="TBD"/>
    <s v="TBD"/>
    <s v="TBD"/>
    <s v="TBD"/>
    <s v="N/A"/>
    <s v="Structural"/>
    <n v="2017"/>
    <s v="North Indian River Lagoon"/>
    <s v="Not provided"/>
    <s v="Not provided"/>
    <s v="TBD"/>
  </r>
  <r>
    <n v="3052"/>
    <s v="Brevard County"/>
    <s v="All Cities"/>
    <s v="BC-081"/>
    <s v="Education Efforts"/>
    <s v="Fertilizer video, rain barrel workshops, Facebook page, bus wrap, and billboard."/>
    <s v="Education Efforts"/>
    <x v="0"/>
    <x v="2"/>
    <s v="N/A"/>
    <s v="N/A"/>
    <x v="0"/>
    <s v="N/A"/>
    <n v="50000"/>
    <s v="TBD"/>
    <s v="SOIRL"/>
    <s v="SOIRL - $50,000"/>
    <s v="N/A"/>
    <s v="Non-structural"/>
    <n v="2017"/>
    <s v="North Indian River Lagoon"/>
    <s v="Not provided"/>
    <s v="Not provided"/>
    <s v="2017"/>
  </r>
  <r>
    <n v="3019"/>
    <s v="Brevard County"/>
    <s v="All Cities"/>
    <s v="BC-081a"/>
    <s v="Education Efforts"/>
    <s v="Fertilizer video, rain barrel workshops, Facebook page, bus wrap, and billboard."/>
    <s v="Education Efforts"/>
    <x v="0"/>
    <x v="2"/>
    <s v="N/A"/>
    <s v="N/A"/>
    <x v="1"/>
    <s v="N/A"/>
    <s v="Not provided"/>
    <s v="TBD"/>
    <s v="SOIRL"/>
    <s v="Not provided"/>
    <s v="N/A"/>
    <s v="Non-structural"/>
    <n v="2017"/>
    <s v="North Indian River Lagoon"/>
    <s v="Not provided"/>
    <s v="Not provided"/>
    <s v="2017"/>
  </r>
  <r>
    <n v="3059"/>
    <s v="Brevard County"/>
    <s v="N/A"/>
    <s v="BC-088"/>
    <s v="Septic Removal - NIRL -MIRA"/>
    <s v="SOIRL-44."/>
    <s v="OSTDS Phase Out"/>
    <x v="1"/>
    <x v="12"/>
    <s v="TBD"/>
    <s v="N/A"/>
    <x v="1"/>
    <s v="Not provided"/>
    <n v="2130852"/>
    <s v="Not provided"/>
    <s v="SOIRL"/>
    <s v="SOIRL - $2,130,852"/>
    <s v="N/A"/>
    <s v="Structural"/>
    <n v="2017"/>
    <s v="North Indian River Lagoon"/>
    <s v="Not provided"/>
    <s v="Not provided"/>
    <s v="Not provided"/>
  </r>
  <r>
    <n v="3062"/>
    <s v="Brevard County"/>
    <s v="SOIRL"/>
    <s v="BC-091"/>
    <s v="Kingsmill Aurora Phase II"/>
    <s v="Construction of 5 ac pond with weirs, drop structures, etc."/>
    <s v="Wet Detention Pond"/>
    <x v="1"/>
    <x v="5"/>
    <n v="6264"/>
    <n v="814"/>
    <x v="0"/>
    <n v="1212.8"/>
    <n v="990000"/>
    <s v="N/A"/>
    <s v="SOIRL/ BC"/>
    <s v="Not provided"/>
    <s v="N/A"/>
    <s v="Structural"/>
    <n v="2017"/>
    <s v="North Indian River Lagoon"/>
    <s v="Not provided"/>
    <s v="Not provided"/>
    <n v="2017"/>
  </r>
  <r>
    <n v="3063"/>
    <s v="Brevard County"/>
    <s v="N/A"/>
    <s v="BC-092"/>
    <s v="Baffle Box/Sediment Trap Cleaning"/>
    <s v="Increasing cleanout frequency to quarterly."/>
    <s v="BMP Cleanout"/>
    <x v="0"/>
    <x v="2"/>
    <n v="1"/>
    <n v="1"/>
    <x v="0"/>
    <s v="N/A"/>
    <s v="Not provided"/>
    <n v="276303.28000000003"/>
    <s v="County"/>
    <s v="Not provided"/>
    <s v="N/A"/>
    <s v="Non-structural"/>
    <n v="2015"/>
    <s v="North Indian River Lagoon"/>
    <s v="Not provided"/>
    <s v="Not provided"/>
    <n v="2008"/>
  </r>
  <r>
    <n v="4451"/>
    <s v="Brevard County"/>
    <s v="N/A"/>
    <s v="BC-093"/>
    <s v="N. Wickham Road Upflow Filter - BB#1298"/>
    <s v="Upflow filter with Biosorption Activated Media installed within existing  detention pond  system to remove nitrogen from baseflow."/>
    <s v="Biosorption Activated Media (BAM)"/>
    <x v="1"/>
    <x v="5"/>
    <n v="917"/>
    <n v="116"/>
    <x v="1"/>
    <n v="170"/>
    <n v="125000"/>
    <n v="2500"/>
    <s v="Legislative Funding"/>
    <s v="Legislative Funding - $35,000"/>
    <s v="LP0511A"/>
    <s v="Structural"/>
    <n v="2018"/>
    <s v="North Indian River Lagoon"/>
    <s v="Not provided"/>
    <s v="Not provided"/>
    <s v="Not provided"/>
  </r>
  <r>
    <n v="4452"/>
    <s v="Brevard County"/>
    <s v="SOIRL"/>
    <s v="BC-094"/>
    <s v="Johns Rd Pond BAM - BB#62 (Actually located in 51)"/>
    <s v="Adding a media to remove nitrogen by denitrification.  The media will be added to the side slope of the pond or the bottom of the swale."/>
    <s v="Biosorption Activated Media (BAM)"/>
    <x v="1"/>
    <x v="12"/>
    <n v="245"/>
    <n v="37"/>
    <x v="0"/>
    <s v="Not provided"/>
    <n v="172000"/>
    <s v="Not provided"/>
    <s v="LF/SOIRL"/>
    <n v="58030"/>
    <s v="N/A"/>
    <s v="Structural"/>
    <n v="2018"/>
    <s v="North Indian River Lagoon"/>
    <s v="Not provided"/>
    <s v="Not provided"/>
    <s v="Not provided"/>
  </r>
  <r>
    <n v="4453"/>
    <s v="Brevard County"/>
    <s v="SOIRL"/>
    <s v="BC-095"/>
    <s v="Burkholm Rd BAM - BB#100"/>
    <s v="Adding a media to remove nitrogen by denitrification.  The media will be added to the side slope of the pond or the bottom of the swale."/>
    <s v="Biosorption Activated Media (BAM)"/>
    <x v="1"/>
    <x v="12"/>
    <n v="685"/>
    <n v="104"/>
    <x v="0"/>
    <s v="Not provided"/>
    <n v="161000"/>
    <s v="Not provided"/>
    <s v="LF/SOIRL"/>
    <n v="99390"/>
    <s v="N/A"/>
    <s v="Structural"/>
    <n v="2018"/>
    <s v="North Indian River Lagoon"/>
    <s v="Not provided"/>
    <s v="Not provided"/>
    <s v="Not provided"/>
  </r>
  <r>
    <n v="4454"/>
    <s v="Brevard County"/>
    <s v="SOIRL"/>
    <s v="BC-096"/>
    <s v="Carter Rd BAM- BB#115"/>
    <s v="Adding a media to remove nitrogen by denitrification.  The media will be added to the side slope of the pond or the bottom of the swale."/>
    <s v="Biosorption Activated Media (BAM)"/>
    <x v="1"/>
    <x v="12"/>
    <n v="665"/>
    <n v="101"/>
    <x v="0"/>
    <s v="Not provided"/>
    <n v="176000"/>
    <s v="Not provided"/>
    <s v="LF/SOIRL"/>
    <n v="97510"/>
    <s v="N/A"/>
    <s v="Structural"/>
    <n v="2018"/>
    <s v="North Indian River Lagoon"/>
    <s v="Not provided"/>
    <s v="Not provided"/>
    <s v="Not provided"/>
  </r>
  <r>
    <n v="4455"/>
    <s v="Brevard County"/>
    <s v="SOIRL"/>
    <s v="BC-097"/>
    <s v="Wiley Rd BAM - BB#193"/>
    <s v="Adding a media to remove nitrogen by denitrification.  The media will be added to the side slope of the pond or the bottom of the swale."/>
    <s v="Biosorption Activated Media (BAM)"/>
    <x v="1"/>
    <x v="12"/>
    <n v="954"/>
    <n v="144"/>
    <x v="0"/>
    <s v="Not provided"/>
    <n v="179000"/>
    <s v="Not provided"/>
    <s v="LF/SOIRL"/>
    <n v="117735"/>
    <s v="N/A"/>
    <s v="Structural"/>
    <n v="2018"/>
    <s v="North Indian River Lagoon"/>
    <s v="Not provided"/>
    <s v="Not provided"/>
    <s v="Not provided"/>
  </r>
  <r>
    <n v="4456"/>
    <s v="Brevard County"/>
    <s v="SOIRL"/>
    <s v="BC-098"/>
    <s v="Broadway Pond BAM - BB#832"/>
    <s v="Adding a media to remove nitrogen by denitrification.  The media will be added to the side slope of the pond or the bottom of the swale."/>
    <s v="Biosorption Activated Media (BAM)"/>
    <x v="1"/>
    <x v="12"/>
    <n v="456"/>
    <n v="69"/>
    <x v="0"/>
    <s v="Not provided"/>
    <n v="290000"/>
    <s v="Not provided"/>
    <s v="LF/SOIRL"/>
    <n v="77864"/>
    <s v="N/A"/>
    <s v="Structural"/>
    <n v="2018"/>
    <s v="North Indian River Lagoon"/>
    <s v="Not provided"/>
    <s v="Not provided"/>
    <s v="Not provided"/>
  </r>
  <r>
    <n v="5347"/>
    <s v="Brevard County"/>
    <s v="SOIRL/ Brevard Zoo"/>
    <s v="BC-100"/>
    <s v="Bomalaski Oyster Bar"/>
    <s v="Construct 100 linear foot oyster reef."/>
    <s v="Creating/ Enhancing Oyster Reefs"/>
    <x v="0"/>
    <x v="19"/>
    <s v="TBD"/>
    <s v="TBD"/>
    <x v="1"/>
    <s v="Not provided"/>
    <n v="8900"/>
    <s v="Not provided"/>
    <s v="SOIRL"/>
    <s v="SOIRL - $8,900"/>
    <s v="N/A"/>
    <s v="Structural"/>
    <n v="2019"/>
    <s v="North Indian River Lagoon"/>
    <s v="Not provided"/>
    <s v="Not provided"/>
    <s v="Not provided"/>
  </r>
  <r>
    <n v="5348"/>
    <s v="Brevard County"/>
    <s v="SOIRL/ MRC"/>
    <s v="BC-101"/>
    <s v="Grass Clippings Campaign Phase 1"/>
    <s v="Not provided."/>
    <s v="Education Efforts"/>
    <x v="0"/>
    <x v="5"/>
    <s v="TBD"/>
    <s v="TBD"/>
    <x v="0"/>
    <s v="N/A"/>
    <n v="6667"/>
    <s v="N/A"/>
    <s v="SOIRL"/>
    <s v="SOIRL - $20,000"/>
    <s v="N/A"/>
    <s v="Non-structural"/>
    <n v="2019"/>
    <s v="North Indian River Lagoon"/>
    <s v="Not provided"/>
    <s v="Not provided"/>
    <s v="Not provided"/>
  </r>
  <r>
    <n v="5349"/>
    <s v="Brevard County"/>
    <s v="SOIRL/ MRC"/>
    <s v="BC-101a"/>
    <s v="Grass Clippings Campaign Phase 1"/>
    <s v="Not provided."/>
    <s v="Education Efforts"/>
    <x v="0"/>
    <x v="5"/>
    <s v="TBD"/>
    <s v="TBD"/>
    <x v="1"/>
    <s v="N/A"/>
    <s v="N/A"/>
    <s v="N/A"/>
    <s v="N/A"/>
    <s v="N/A"/>
    <s v="N/A"/>
    <s v="Non-structural"/>
    <n v="2019"/>
    <s v="North Indian River Lagoon"/>
    <s v="Not provided"/>
    <s v="Not provided"/>
    <s v="Not provided"/>
  </r>
  <r>
    <n v="5350"/>
    <s v="Brevard County"/>
    <s v="SOIRL"/>
    <s v="BC-102"/>
    <s v="Education Efforts"/>
    <s v="Fertilizer, grass clippings, and septic system maintenance."/>
    <s v="Education Efforts"/>
    <x v="1"/>
    <x v="20"/>
    <s v="TBD"/>
    <s v="TBD"/>
    <x v="0"/>
    <s v="Not provided"/>
    <n v="375000"/>
    <s v="Not provided"/>
    <s v="SOIRL"/>
    <s v="SOIRL - $375,000"/>
    <s v="N/A"/>
    <s v="Non-structural"/>
    <n v="2019"/>
    <s v="North Indian River Lagoon"/>
    <s v="Not provided"/>
    <s v="Not provided"/>
    <s v="Not provided"/>
  </r>
  <r>
    <n v="5351"/>
    <s v="Brevard County"/>
    <s v="SOIRL"/>
    <s v="BC-102a"/>
    <s v="Education Efforts"/>
    <s v="Fertilizer, grass clippings, and septic system maintenance."/>
    <s v="Education Efforts"/>
    <x v="1"/>
    <x v="20"/>
    <s v="TBD"/>
    <s v="TBD"/>
    <x v="1"/>
    <s v="Not provided"/>
    <s v="N/A"/>
    <s v="N/A"/>
    <s v="N/A"/>
    <s v="N/A"/>
    <s v="N/A"/>
    <s v="Non-structural"/>
    <n v="2019"/>
    <s v="North Indian River Lagoon"/>
    <s v="Not provided"/>
    <s v="Not provided"/>
    <s v="Not provided"/>
  </r>
  <r>
    <n v="5352"/>
    <s v="Brevard County"/>
    <s v="SOIRL"/>
    <s v="BC-103"/>
    <s v="Mims Muck Removal: Outflow Water Nutrient Removal"/>
    <s v="Not provided."/>
    <s v="Muck Removal/Restoration Dredging"/>
    <x v="0"/>
    <x v="2"/>
    <s v="TBD"/>
    <s v="TBD"/>
    <x v="0"/>
    <s v="Not provided"/>
    <s v="Not provided"/>
    <s v="Not provided"/>
    <s v="Not provided"/>
    <s v="Not provided"/>
    <s v="N/A"/>
    <s v="Non-structural"/>
    <n v="2019"/>
    <s v="North Indian River Lagoon"/>
    <s v="Not provided"/>
    <s v="Not provided"/>
    <s v="Not provided"/>
  </r>
  <r>
    <n v="5353"/>
    <s v="Brevard County"/>
    <s v="LF/ SOIRL"/>
    <s v="BC-104"/>
    <s v="Countyline Ditch Road - BB#10"/>
    <s v="Adding a media to remove nitrogen by denitrification. The media will be added to the side slope of the pond or the bottom of the swale."/>
    <s v="Biosorption Activated Media (BAM)"/>
    <x v="1"/>
    <x v="12"/>
    <s v="TBD"/>
    <s v="TBD"/>
    <x v="0"/>
    <s v="Not provided"/>
    <n v="200000"/>
    <s v="Not provided"/>
    <s v="LF/SOIRL"/>
    <n v="107773"/>
    <s v="N/A"/>
    <s v="Structural"/>
    <n v="2019"/>
    <s v="North Indian River Lagoon"/>
    <s v="Not provided"/>
    <s v="Not provided"/>
    <s v="Not provided"/>
  </r>
  <r>
    <n v="5354"/>
    <s v="Brevard County"/>
    <s v="LF/ SOIRL"/>
    <s v="BC-105"/>
    <s v="BB#141"/>
    <s v="Adding a media to remove nitrogen by denitrification. The media will be added to the side slope of the pond or the bottom of the swale."/>
    <s v="Biosorption Activated Media (BAM)"/>
    <x v="1"/>
    <x v="12"/>
    <s v="TBD"/>
    <s v="TBD"/>
    <x v="0"/>
    <s v="Not provided"/>
    <n v="164000"/>
    <s v="Not provided"/>
    <s v="LF/SOIRL"/>
    <n v="104174"/>
    <s v="N/A"/>
    <s v="Structural"/>
    <n v="2019"/>
    <s v="North Indian River Lagoon"/>
    <s v="Not provided"/>
    <s v="Not provided"/>
    <s v="Not provided"/>
  </r>
  <r>
    <n v="5355"/>
    <s v="Brevard County"/>
    <s v="LF"/>
    <s v="BC-106"/>
    <s v="Huntington Road BAM - BB#22"/>
    <s v="Adding a media to remove nitrogen by denitrification. The media will be added to the side slope of the pond or the bottom of the swale."/>
    <s v="Biosorption Activated Media (BAM)"/>
    <x v="1"/>
    <x v="12"/>
    <s v="TBD"/>
    <s v="TBD"/>
    <x v="0"/>
    <s v="Not provided"/>
    <s v="TBD"/>
    <s v="Not provided"/>
    <s v="LF/SOIRL"/>
    <n v="35000"/>
    <s v="N/A"/>
    <s v="Structural"/>
    <n v="2019"/>
    <s v="North Indian River Lagoon"/>
    <s v="Not provided"/>
    <s v="Not provided"/>
    <s v="Not provided"/>
  </r>
  <r>
    <n v="5356"/>
    <s v="Brevard County"/>
    <s v="Not provided"/>
    <s v="BC-107"/>
    <s v="Sunste Ave BAM - BB#26"/>
    <s v="Adding a media to remove nitrogen by denitrification. The media will be added to the side slope of the pond or the bottom of the swale."/>
    <s v="Biosorption Activated Media (BAM)"/>
    <x v="1"/>
    <x v="21"/>
    <s v="TBD"/>
    <s v="TBD"/>
    <x v="0"/>
    <s v="Not provided"/>
    <s v="TBD"/>
    <s v="Not provided"/>
    <s v="Not provided"/>
    <s v="Not provided"/>
    <s v="N/A"/>
    <s v="Structural"/>
    <n v="2019"/>
    <s v="North Indian River Lagoon"/>
    <s v="Not provided"/>
    <s v="Not provided"/>
    <s v="Not provided"/>
  </r>
  <r>
    <n v="5357"/>
    <s v="Brevard County"/>
    <s v="SOIRL/ SJRWMD"/>
    <s v="BC-108"/>
    <s v="MIRA Phase 1 Septic to Sewer"/>
    <s v="Connect approximately 11 properties to a central sewer system."/>
    <s v="OSTDS Phase Out"/>
    <x v="0"/>
    <x v="13"/>
    <s v="TBD"/>
    <s v="N/A"/>
    <x v="1"/>
    <s v="N/A"/>
    <n v="320000"/>
    <s v="Not provided"/>
    <s v="SOIRL/ SJWMD"/>
    <s v="Not provided"/>
    <s v="N/A"/>
    <s v="Structural"/>
    <n v="2019"/>
    <s v="North Indian River Lagoon"/>
    <s v="Not provided"/>
    <s v="Not provided"/>
    <s v="Not provided"/>
  </r>
  <r>
    <n v="5358"/>
    <s v="Brevard County"/>
    <s v="N/A"/>
    <s v="BC-109"/>
    <s v="Denitrifcation Basin - 1329"/>
    <s v="Upflow filter through a BAM media to treat baseflow."/>
    <s v="Biosorption Activated Media (BAM)"/>
    <x v="1"/>
    <x v="12"/>
    <s v="TBD"/>
    <s v="TBD"/>
    <x v="1"/>
    <s v="Not provided"/>
    <n v="155113"/>
    <s v="Not provided"/>
    <s v="LF/ SOIRL"/>
    <n v="70000"/>
    <s v="LP0511A"/>
    <s v="Structural"/>
    <n v="2019"/>
    <s v="North Indian River Lagoon"/>
    <s v="Not provided"/>
    <s v="Not provided"/>
    <s v="Not provided"/>
  </r>
  <r>
    <n v="3053"/>
    <s v="City of Cocoa"/>
    <s v="SOIRL"/>
    <s v="BC-82"/>
    <s v="Stormwater Project - NIRL - Cocoa - Church St Type II Baffle Box"/>
    <s v="SOIRL-14."/>
    <s v="Baffle Boxes- Second Generation"/>
    <x v="0"/>
    <x v="19"/>
    <s v="TBD"/>
    <s v="TBD"/>
    <x v="1"/>
    <n v="75.203298000000018"/>
    <n v="233455"/>
    <s v="Not provided"/>
    <s v="DEP TMDL"/>
    <s v="DEP TMDL - $20,856"/>
    <s v="NF025"/>
    <s v="Structural"/>
    <n v="2017"/>
    <s v="North Indian River Lagoon"/>
    <s v="Not provided"/>
    <s v="Not provided"/>
    <s v="TBD"/>
  </r>
  <r>
    <n v="3072"/>
    <s v="City of Cocoa"/>
    <s v="SJRWMD"/>
    <s v="CC-01"/>
    <s v="Bracco Pond B"/>
    <s v="SOIRL-01."/>
    <s v="Wet Detention Pond"/>
    <x v="0"/>
    <x v="0"/>
    <n v="2328"/>
    <n v="1049.5999999999999"/>
    <x v="1"/>
    <n v="591.79999999999995"/>
    <n v="35000"/>
    <n v="12000"/>
    <s v="City/ SJRWMD"/>
    <s v="City - $250,000/ SJRWMD - $250,000"/>
    <s v="N/A"/>
    <s v="Structural"/>
    <n v="2013"/>
    <s v="North Indian River Lagoon"/>
    <s v="28-21-58 N"/>
    <s v="80-44-22 W"/>
    <s v="Not provided"/>
  </r>
  <r>
    <n v="2999"/>
    <s v="City of Cocoa"/>
    <s v="SJRWMD"/>
    <s v="CC-02"/>
    <s v="Bracco Expansion Area"/>
    <s v="Provide the community with a park along the ponds."/>
    <s v="Wet Detention Pond"/>
    <x v="0"/>
    <x v="0"/>
    <n v="156"/>
    <n v="41.8"/>
    <x v="1"/>
    <n v="775.2"/>
    <n v="570762"/>
    <n v="5000"/>
    <s v="City/ SJRWMD"/>
    <s v="City - $262,500/ SJRWMD - $262,500"/>
    <s v="N/A"/>
    <s v="Structural"/>
    <n v="2013"/>
    <s v="North Indian River Lagoon"/>
    <s v="28-22-04 N"/>
    <s v="80-44-18 W"/>
    <s v="Not provided"/>
  </r>
  <r>
    <n v="3204"/>
    <s v="City of Cocoa"/>
    <s v="EPA/ SJRWMD"/>
    <s v="CC-03"/>
    <s v="Cocoa Village Park"/>
    <s v="Subsurface detention storage that is part of a redevelopment project of the Cocoa Village Park and Riverwalk Esplanade areas."/>
    <s v="Dry Detention Pond"/>
    <x v="0"/>
    <x v="19"/>
    <n v="37"/>
    <n v="6.9"/>
    <x v="1"/>
    <n v="13.5"/>
    <n v="330000"/>
    <n v="35000"/>
    <s v="City/ SJRWMD"/>
    <s v="City - $1,250,000/ SJRWMD - $1,250,000"/>
    <s v="WM736"/>
    <s v="Structural"/>
    <n v="2013"/>
    <s v="North Indian River Lagoon"/>
    <s v="28-21-15 N"/>
    <s v="80-43-27 W"/>
    <n v="2014"/>
  </r>
  <r>
    <n v="3162"/>
    <s v="City of Cocoa"/>
    <s v="Rockledge/ SOIRL"/>
    <s v="CC-04"/>
    <s v="Morris Pond"/>
    <s v="Joint project with the City of Rockledge to accommodate previously untreated runoff."/>
    <s v="Wet Detention Pond"/>
    <x v="0"/>
    <x v="0"/>
    <n v="128"/>
    <n v="46.7"/>
    <x v="1"/>
    <n v="16.2"/>
    <n v="247480"/>
    <s v="N/A"/>
    <s v="City of Rockledge"/>
    <s v="N/A"/>
    <s v="N/A"/>
    <s v="Structural"/>
    <n v="2013"/>
    <s v="North Indian River Lagoon"/>
    <s v="Not provided"/>
    <s v="Not provided"/>
    <s v="Not provided"/>
  </r>
  <r>
    <n v="2778"/>
    <s v="City of Cocoa"/>
    <s v="N/A"/>
    <s v="CC-05"/>
    <s v="North Brevard Avenue Stormwater Treatment Facility"/>
    <s v="Hydrodynamic separators that remove sediment, trap debris and separate floating oils from runoff."/>
    <s v="Hydrodynamic Separators"/>
    <x v="0"/>
    <x v="0"/>
    <n v="0"/>
    <n v="4.8"/>
    <x v="1"/>
    <n v="11.3"/>
    <s v="N/A"/>
    <s v="N/A"/>
    <s v="City of Titusville"/>
    <s v="N/A"/>
    <s v="N/A"/>
    <s v="Structural"/>
    <n v="2013"/>
    <s v="North Indian River Lagoon"/>
    <s v="Not provided"/>
    <s v="Not provided"/>
    <s v="Not provided"/>
  </r>
  <r>
    <n v="2766"/>
    <s v="City of Cocoa"/>
    <s v="SJRWMD"/>
    <s v="CC-06"/>
    <s v="North Fiske Stormwater Retention Facility"/>
    <s v="Wet detention pond to reduce the discharge of stormwater runoff into surface waters in the state by complete on-site storage."/>
    <s v="100% On-site Retention"/>
    <x v="0"/>
    <x v="0"/>
    <n v="42"/>
    <n v="2.4"/>
    <x v="1"/>
    <n v="33.9"/>
    <n v="330000"/>
    <n v="5000"/>
    <s v="City"/>
    <s v="City - $250,000/ SJRWMD - $250,000"/>
    <s v="N/A"/>
    <s v="Structural"/>
    <n v="2013"/>
    <s v="North Indian River Lagoon"/>
    <s v="28-22-57 N"/>
    <s v="80-44-38 W"/>
    <s v="Not provided"/>
  </r>
  <r>
    <n v="2765"/>
    <s v="City of Cocoa"/>
    <s v="N/A"/>
    <s v="CC-07"/>
    <s v="Suntree Baffle Box #1 on 2116 IRD"/>
    <s v="Capture previously untreated runoff."/>
    <s v="Baffle Boxes- Second Generation"/>
    <x v="0"/>
    <x v="0"/>
    <n v="7"/>
    <n v="0.7"/>
    <x v="1"/>
    <n v="5.9"/>
    <n v="80000"/>
    <n v="3500"/>
    <s v="City"/>
    <s v="City - $40,000"/>
    <s v="N/A"/>
    <s v="Structural"/>
    <n v="2013"/>
    <s v="North Indian River Lagoon"/>
    <s v="Not provided"/>
    <s v="Not provided"/>
    <s v="Not provided"/>
  </r>
  <r>
    <n v="2764"/>
    <s v="City of Cocoa"/>
    <s v="N/A"/>
    <s v="CC-08"/>
    <s v="Street Sweeping"/>
    <s v="Pavement cleaning by sweeping, vacuum, or cleaning."/>
    <s v="Street Sweeping"/>
    <x v="0"/>
    <x v="2"/>
    <n v="405"/>
    <n v="260"/>
    <x v="1"/>
    <s v="N/A"/>
    <n v="80000"/>
    <n v="100000"/>
    <s v="City"/>
    <s v="N/A"/>
    <s v="N/A"/>
    <s v="Non-structural"/>
    <n v="2013"/>
    <s v="North Indian River Lagoon"/>
    <s v="N/A"/>
    <s v="N/A"/>
    <s v="Not provided"/>
  </r>
  <r>
    <n v="2763"/>
    <s v="City of Cocoa"/>
    <s v="N/A"/>
    <s v="CC-09"/>
    <s v="Bracco Supplemental Water Supply"/>
    <s v="Joint project with the WWTP to provide reclaimed water."/>
    <s v="Reclaimed Water"/>
    <x v="0"/>
    <x v="0"/>
    <n v="1102"/>
    <n v="107.6"/>
    <x v="1"/>
    <s v="N/A"/>
    <n v="1200000"/>
    <s v="N/A"/>
    <s v="City"/>
    <s v="City - $250,000"/>
    <s v="N/A"/>
    <s v="Structural"/>
    <n v="2013"/>
    <s v="North Indian River Lagoon"/>
    <s v="28-21-49 N"/>
    <s v="80-44-21 W"/>
    <s v="Not provided"/>
  </r>
  <r>
    <n v="2762"/>
    <s v="City of Cocoa"/>
    <s v="Community Development Block Grant (CDBG)"/>
    <s v="CC-10"/>
    <s v="Diamond Square Stormwater Improvements"/>
    <s v="Retrofit existing storm sewer in Dimond Square, including the construction of a wet detention pond."/>
    <s v="Wet Detention Pond"/>
    <x v="0"/>
    <x v="22"/>
    <n v="108"/>
    <n v="0"/>
    <x v="1"/>
    <n v="95.4"/>
    <n v="210000"/>
    <n v="2500"/>
    <s v="City"/>
    <s v="City - $450,000"/>
    <s v="N/A"/>
    <s v="Structural"/>
    <n v="2013"/>
    <s v="North Indian River Lagoon"/>
    <s v="Not provided"/>
    <s v="Not provided"/>
    <s v="Not provided"/>
  </r>
  <r>
    <n v="2761"/>
    <s v="City of Cocoa"/>
    <s v="N/A"/>
    <s v="CC-11"/>
    <s v="Education Efforts"/>
    <s v="Fertilizer ordinance."/>
    <s v="Education Efforts"/>
    <x v="0"/>
    <x v="2"/>
    <n v="128"/>
    <n v="25.8"/>
    <x v="1"/>
    <s v="N/A"/>
    <s v="N/A"/>
    <s v="N/A"/>
    <s v="City"/>
    <s v="N/A"/>
    <s v="N/A"/>
    <s v="Non-structural"/>
    <n v="2014"/>
    <s v="North Indian River Lagoon"/>
    <s v="N/A"/>
    <s v="N/A"/>
    <s v="Not provided"/>
  </r>
  <r>
    <n v="2787"/>
    <s v="City of Cocoa"/>
    <s v="Space Coast Transportation Planning Organization (SCTPO)/ FDOT"/>
    <s v="CC-12"/>
    <s v="Peachtree St. Reconstruction"/>
    <s v="Roadway and stormwater improvements."/>
    <s v="Stormwater System Rehabilitation"/>
    <x v="0"/>
    <x v="18"/>
    <s v="TBD"/>
    <s v="TBD"/>
    <x v="1"/>
    <n v="3"/>
    <n v="1700000"/>
    <s v="N/A"/>
    <s v="City/ FDOT"/>
    <s v="City - $161,250/ FDOT - $1,387,500"/>
    <s v="N/A"/>
    <s v="Structural"/>
    <n v="2016"/>
    <s v="North Indian River Lagoon"/>
    <s v="28-21-28 N"/>
    <s v="80-44-20 W"/>
    <s v="Not provided"/>
  </r>
  <r>
    <n v="2767"/>
    <s v="City of Cocoa"/>
    <s v="N/A"/>
    <s v="CC-13"/>
    <s v="Cocoa Riverfront Park"/>
    <s v="Amphitheatre and stormwater improvements. Same as Project Number CC-03 where information is captured. Recommend removing from list."/>
    <s v="Stormwater System Rehabilitation"/>
    <x v="0"/>
    <x v="18"/>
    <s v="TBD"/>
    <s v="TBD"/>
    <x v="1"/>
    <n v="12"/>
    <n v="162000"/>
    <s v="N/A"/>
    <s v="City"/>
    <s v="N/A"/>
    <s v="N/A"/>
    <s v="Structural"/>
    <n v="2016"/>
    <s v="North Indian River Lagoon"/>
    <s v="28-21-15 N"/>
    <s v="80-43-27 W"/>
    <s v="Not provided"/>
  </r>
  <r>
    <n v="3163"/>
    <s v="City of Cocoa"/>
    <s v="N/A"/>
    <s v="CC-14"/>
    <s v="Control Gate"/>
    <s v="Flood control gate installed at Bracco pond outfall."/>
    <s v="Control Structure"/>
    <x v="0"/>
    <x v="18"/>
    <s v="TBD"/>
    <s v="TBD"/>
    <x v="1"/>
    <s v="N/A"/>
    <s v="Not provided"/>
    <s v="N/A"/>
    <s v="City"/>
    <s v="City - $50,000"/>
    <s v="N/A"/>
    <s v="Structural"/>
    <n v="2016"/>
    <s v="North Indian River Lagoon"/>
    <s v="28-26-06 N"/>
    <s v="80-44-17 W"/>
    <s v="Not provided"/>
  </r>
  <r>
    <n v="3164"/>
    <s v="City of Cocoa"/>
    <s v="SCTPO/ FDOT"/>
    <s v="CC-15"/>
    <s v="Florida Avenue Improvements"/>
    <s v="Infiltration through pervious pavers and then ultimately to the AT&amp;T pond."/>
    <s v="BMP Treatment Train"/>
    <x v="0"/>
    <x v="13"/>
    <s v="TBD"/>
    <s v="TBD"/>
    <x v="1"/>
    <n v="6.9"/>
    <n v="3344222"/>
    <n v="1500"/>
    <s v="City/ FDOT"/>
    <s v="City - $2,587,000/ FDOT - $913,000"/>
    <s v="N/A"/>
    <s v="Structural"/>
    <n v="2016"/>
    <s v="North Indian River Lagoon"/>
    <n v="28.353297999999999"/>
    <n v="-80.727722999999997"/>
    <s v="2016"/>
  </r>
  <r>
    <n v="3165"/>
    <s v="City of Cocoa"/>
    <s v="SJRWMD"/>
    <s v="CC-16"/>
    <s v="AT&amp;T Detention Pond Retrofit"/>
    <s v="Incoming inlets will have 2nd generation baffle boxes."/>
    <s v="BMP Treatment Train"/>
    <x v="0"/>
    <x v="13"/>
    <n v="12.78"/>
    <n v="2.58"/>
    <x v="1"/>
    <n v="14.5"/>
    <n v="297877"/>
    <n v="1500"/>
    <s v="City/ SJRWMD"/>
    <s v="City - $199,578/ SJRWMD - $98,299"/>
    <s v="N/A"/>
    <s v="Structural"/>
    <n v="2016"/>
    <s v="North Indian River Lagoon"/>
    <n v="28.351983000000001"/>
    <n v="-80.727380999999994"/>
    <n v="2016"/>
  </r>
  <r>
    <n v="3166"/>
    <s v="City of Cocoa"/>
    <s v="SJRWMD/ SOIRL"/>
    <s v="CC-17"/>
    <s v="Church Street Baffle Box"/>
    <s v="The goal of this project is to capture and treat stormwater that flows untreated and directly into the Indian River Lagoon."/>
    <s v="Baffle Boxes- Second Generation with Media"/>
    <x v="0"/>
    <x v="19"/>
    <n v="341.44"/>
    <n v="54.6"/>
    <x v="1"/>
    <n v="75"/>
    <n v="173620"/>
    <n v="1500"/>
    <s v="City/ SJRWMD/ SOIRL"/>
    <s v="City - $116,326/ SJRWMD - $50,000/ SOIRL - $20,000"/>
    <s v="N/A"/>
    <s v="Structural"/>
    <n v="2016"/>
    <s v="North Indian River Lagoon"/>
    <s v="28-21-12 N"/>
    <s v="80-43-34 W"/>
    <s v="TBD"/>
  </r>
  <r>
    <n v="3177"/>
    <s v="City of Cocoa"/>
    <s v="TBD"/>
    <s v="CC-18"/>
    <s v="John Garren Street Realignment &amp; Parking"/>
    <s v="Roadway and stormwater improvements."/>
    <s v="BMP Treatment Train"/>
    <x v="2"/>
    <x v="2"/>
    <s v="N/A"/>
    <s v="N/A"/>
    <x v="1"/>
    <s v="N/A"/>
    <s v="N/A"/>
    <s v="N/A"/>
    <s v="N/A"/>
    <s v="N/A"/>
    <s v="N/A"/>
    <s v="Structural"/>
    <n v="2016"/>
    <s v="North Indian River Lagoon"/>
    <s v="Not provided"/>
    <s v="Not provided"/>
    <s v="TBD"/>
  </r>
  <r>
    <n v="3168"/>
    <s v="City of Cocoa"/>
    <s v="TBD"/>
    <s v="CC-19"/>
    <s v="Brevard Ave. Bioretention and Tree Preservation"/>
    <s v="Roadway and stormwater improvements."/>
    <s v="BMP Treatment Train"/>
    <x v="2"/>
    <x v="2"/>
    <s v="N/A"/>
    <s v="N/A"/>
    <x v="1"/>
    <s v="N/A"/>
    <s v="N/A"/>
    <s v="N/A"/>
    <s v="N/A"/>
    <s v="N/A"/>
    <s v="N/A"/>
    <s v="Structural"/>
    <n v="2016"/>
    <s v="North Indian River Lagoon"/>
    <s v="Not provided"/>
    <s v="Not provided"/>
    <s v="TBD"/>
  </r>
  <r>
    <n v="3160"/>
    <s v="City of Cocoa"/>
    <s v="TBD"/>
    <s v="CC-20"/>
    <s v="U.S. 1 and Forrest Ave. Stormwater Treatment Facility"/>
    <s v="Develop a dry detention stormwater facility adjacent to U.S. 1."/>
    <s v="Dry Detention Pond"/>
    <x v="1"/>
    <x v="21"/>
    <s v="TBD"/>
    <s v="TBD"/>
    <x v="1"/>
    <n v="16.39"/>
    <s v="TBD"/>
    <s v="TBD"/>
    <s v="City"/>
    <s v="TBD"/>
    <s v="N/A"/>
    <s v="Structural"/>
    <n v="2017"/>
    <s v="North Indian River Lagoon"/>
    <s v="28-22-09 N"/>
    <s v="80-44-04 W"/>
    <n v="2018"/>
  </r>
  <r>
    <n v="4457"/>
    <s v="City of Cocoa"/>
    <s v="SJRWMD"/>
    <s v="CC-21"/>
    <s v="Broadmoor Acres and Fiske Blvd. Drainage  Improvements"/>
    <s v="Roadway and stormwater improvements."/>
    <s v="Stormwater System Rehabilitation"/>
    <x v="3"/>
    <x v="12"/>
    <s v="TBD"/>
    <s v="TBD"/>
    <x v="1"/>
    <n v="7"/>
    <s v="TBD"/>
    <s v="TBD"/>
    <s v="City/ SJRWMD"/>
    <s v="TBD"/>
    <s v="TBD"/>
    <s v="Structural"/>
    <n v="2018"/>
    <s v="North Indian River Lagoon"/>
    <s v="28-21-44 N"/>
    <s v="80-44-37 W"/>
    <s v="Not provided"/>
  </r>
  <r>
    <n v="4458"/>
    <s v="City of Cocoa"/>
    <s v="TBD"/>
    <s v="CC-22"/>
    <s v="Cocoa Waterfront Stormwater Study"/>
    <s v="Stormwater Study for the Cocoa waterfront."/>
    <s v="Study"/>
    <x v="0"/>
    <x v="5"/>
    <s v="N/A"/>
    <s v="N/A"/>
    <x v="1"/>
    <s v="N/A"/>
    <s v="TBD"/>
    <s v="N/A"/>
    <s v="City"/>
    <s v="N/A"/>
    <s v="N/A"/>
    <s v="Non-structural"/>
    <n v="2018"/>
    <s v="North Indian River Lagoon"/>
    <s v="N/A"/>
    <s v="N/A"/>
    <n v="2018"/>
  </r>
  <r>
    <n v="5359"/>
    <s v="City of Cocoa"/>
    <s v="Brevard County"/>
    <s v="CC-23"/>
    <s v="Septic to Sewer Indian River Drive"/>
    <s v="Design and Install new sewer along Indian River to provide sewer service and remove septic tank use."/>
    <s v="OSTDS Phase Out"/>
    <x v="1"/>
    <x v="21"/>
    <s v="TBD"/>
    <s v="TBD"/>
    <x v="1"/>
    <s v="N/A"/>
    <n v="3000000"/>
    <s v="N/A"/>
    <s v="City/SOIRL Tax"/>
    <s v="N/A"/>
    <s v="N/A"/>
    <s v="Structural"/>
    <n v="2019"/>
    <s v="North Indian River Lagoon"/>
    <s v="Not provided"/>
    <s v="Not provided"/>
    <s v="Not provided"/>
  </r>
  <r>
    <n v="5360"/>
    <s v="City of Cocoa"/>
    <s v="N/A"/>
    <s v="CC-24"/>
    <s v="Annual Sewer Inspection"/>
    <s v="Annual sewer inspection and maintenance."/>
    <s v="Sanitary Sewer Inspections"/>
    <x v="1"/>
    <x v="2"/>
    <s v="N/A"/>
    <s v="N/A"/>
    <x v="1"/>
    <s v="N/A"/>
    <s v="N/A"/>
    <n v="335000"/>
    <s v="City"/>
    <s v="N/A"/>
    <s v="N/A"/>
    <s v="Non-structural"/>
    <n v="2019"/>
    <s v="North Indian River Lagoon"/>
    <s v="Not provided"/>
    <s v="Not provided"/>
    <s v="Not provided"/>
  </r>
  <r>
    <n v="5361"/>
    <s v="City of Cocoa"/>
    <s v="N/A"/>
    <s v="CC-25"/>
    <s v="Diamond Square Stormwater PS Feasibility Study"/>
    <s v="PS study for pumping stormwater across US 1 to Church Street baffle box."/>
    <s v="Study"/>
    <x v="1"/>
    <x v="12"/>
    <s v="N/A"/>
    <s v="N/A"/>
    <x v="1"/>
    <s v="N/A"/>
    <n v="26620"/>
    <s v="N/A"/>
    <s v="City"/>
    <s v="N/A"/>
    <s v="N/A"/>
    <s v="Non-structural"/>
    <n v="2019"/>
    <s v="North Indian River Lagoon"/>
    <s v="Not provided"/>
    <s v="Not provided"/>
    <s v="Not provided"/>
  </r>
  <r>
    <n v="3170"/>
    <s v="City of Edgewater"/>
    <s v="Not provided"/>
    <s v="EW-1"/>
    <s v="Education Efforts"/>
    <s v="FYN; landscape, irrigation, fertilizer, and pet waste ordinances; PSAs; pamphlets; website, Illicit Discharge Program."/>
    <s v="Education Efforts"/>
    <x v="0"/>
    <x v="2"/>
    <n v="84"/>
    <n v="11.3"/>
    <x v="0"/>
    <s v="N/A"/>
    <s v="Not provided"/>
    <n v="15000"/>
    <s v="Not provided"/>
    <s v="Not provided"/>
    <s v="N/A"/>
    <s v="Non-structural"/>
    <n v="2013"/>
    <s v="North Indian River Lagoon"/>
    <s v="Not provided"/>
    <s v="Not provided"/>
    <s v="Not provided"/>
  </r>
  <r>
    <n v="3057"/>
    <s v="City of Melbourne"/>
    <s v="SOIRL"/>
    <s v="BC-86"/>
    <s v="Stormwater Project - NIRL - Melbourne - Cliff Creek Baffle Box"/>
    <s v="SOIRL-34."/>
    <s v="Baffle Boxes- Second Generation"/>
    <x v="1"/>
    <x v="5"/>
    <n v="726.4"/>
    <n v="146.5"/>
    <x v="1"/>
    <n v="515.41"/>
    <n v="347781"/>
    <s v="Not provided"/>
    <s v="SOIRL/ City"/>
    <n v="347781"/>
    <s v="N/A"/>
    <s v="Structural"/>
    <n v="2017"/>
    <s v="North Indian River Lagoon"/>
    <s v="Not provided"/>
    <s v="Not provided"/>
    <s v="TBD"/>
  </r>
  <r>
    <n v="3073"/>
    <s v="City of Melbourne"/>
    <s v="SOIRL"/>
    <s v="BC-87"/>
    <s v="Stormwater Project - NIRL - Melbourne - Thrush Dr Baffle Box"/>
    <s v="SOIRL-35."/>
    <s v="Baffle Boxes- Second Generation"/>
    <x v="3"/>
    <x v="5"/>
    <n v="623.4"/>
    <n v="131.6"/>
    <x v="1"/>
    <n v="422.95180000000005"/>
    <n v="322200"/>
    <s v="Not provided"/>
    <s v="SOIRL/ City"/>
    <n v="322200"/>
    <s v="N/A"/>
    <s v="Structural"/>
    <n v="2017"/>
    <s v="North Indian River Lagoon"/>
    <s v="Not provided"/>
    <s v="Not provided"/>
    <s v="TBD"/>
  </r>
  <r>
    <n v="3061"/>
    <s v="City of Melbourne"/>
    <s v="SOIRL"/>
    <s v="BC-90"/>
    <s v="Stewart Rd Dry Retrofit"/>
    <s v="Stormwater Project - CIRL - Melbourne, SOIRL-39."/>
    <s v="Dry Detention Pond"/>
    <x v="3"/>
    <x v="12"/>
    <n v="2.1"/>
    <n v="0.5"/>
    <x v="1"/>
    <s v="Not provided"/>
    <n v="18344"/>
    <s v="Not provided"/>
    <s v="SOIRL/ City"/>
    <n v="18344"/>
    <s v="N/A"/>
    <s v="Structural"/>
    <n v="2017"/>
    <s v="North Indian River Lagoon"/>
    <s v="Not provided"/>
    <s v="Not provided"/>
    <s v="TBD"/>
  </r>
  <r>
    <n v="3171"/>
    <s v="City of Melbourne"/>
    <s v="N/A"/>
    <s v="MEL-01"/>
    <s v="Fee and Apollo Drainage Improvements"/>
    <s v="No treatment is provided within the existing development; complete a water quality addition."/>
    <s v="Wet Detention Pond"/>
    <x v="0"/>
    <x v="1"/>
    <n v="28"/>
    <n v="78.8"/>
    <x v="1"/>
    <n v="43.6"/>
    <n v="525161"/>
    <s v="Not provided"/>
    <s v="City"/>
    <s v="Not provided"/>
    <s v="N/A"/>
    <s v="Structural"/>
    <n v="2013"/>
    <s v="North Indian River Lagoon"/>
    <n v="28.082322999999999"/>
    <n v="-80.617699000000002"/>
    <s v="Not provided"/>
  </r>
  <r>
    <n v="3172"/>
    <s v="City of Melbourne"/>
    <s v="N/A"/>
    <s v="MEL-02"/>
    <s v="Dove Street Pond"/>
    <s v="No treatment is provided within the existing development; complete a water quality addition."/>
    <s v="Wet Detention Pond"/>
    <x v="0"/>
    <x v="6"/>
    <n v="69"/>
    <n v="31.3"/>
    <x v="1"/>
    <n v="14.9"/>
    <n v="156164"/>
    <s v="Not provided"/>
    <s v="City"/>
    <s v="Not provided"/>
    <s v="N/A"/>
    <s v="Structural"/>
    <n v="2013"/>
    <s v="North Indian River Lagoon"/>
    <n v="28.141853000000001"/>
    <n v="-80.636156999999997"/>
    <s v="Not provided"/>
  </r>
  <r>
    <n v="3173"/>
    <s v="City of Melbourne"/>
    <s v="N/A"/>
    <s v="MEL-03"/>
    <s v="Charles Drive Pipe Replacement"/>
    <s v="Replaced failing stormwater pipe and created wet detention pond; little to no treatment is provided within existing developments."/>
    <s v="Wet Detention Pond"/>
    <x v="0"/>
    <x v="1"/>
    <n v="183"/>
    <n v="161.6"/>
    <x v="1"/>
    <n v="143.30000000000001"/>
    <n v="462644"/>
    <s v="Not provided"/>
    <s v="City"/>
    <s v="Not provided"/>
    <s v="N/A"/>
    <s v="Structural"/>
    <n v="2013"/>
    <s v="North Indian River Lagoon"/>
    <n v="28.109914"/>
    <n v="-80.626047999999997"/>
    <s v="Not provided"/>
  </r>
  <r>
    <n v="3174"/>
    <s v="City of Melbourne"/>
    <s v="N/A"/>
    <s v="MEL-04"/>
    <s v="Wickham Park Pond"/>
    <s v="Ponds along with piping upgrades help eliminate flooding within the area along with treatment."/>
    <s v="Wet Detention Pond"/>
    <x v="0"/>
    <x v="10"/>
    <n v="627"/>
    <n v="248.3"/>
    <x v="1"/>
    <n v="1796.9"/>
    <n v="250000"/>
    <s v="Not provided"/>
    <s v="City"/>
    <s v="City - $250,000"/>
    <s v="N/A"/>
    <s v="Structural"/>
    <n v="2013"/>
    <s v="North Indian River Lagoon"/>
    <n v="28.157971"/>
    <n v="-80.656353999999993"/>
    <s v="Not provided"/>
  </r>
  <r>
    <n v="3175"/>
    <s v="City of Melbourne"/>
    <s v="N/A"/>
    <s v="MEL-05"/>
    <s v="Babcock Street Realignment"/>
    <s v="Additional treatment was provided for the adjacent drainage basins."/>
    <s v="On-line Retention BMPs"/>
    <x v="0"/>
    <x v="4"/>
    <n v="163"/>
    <n v="41.9"/>
    <x v="1"/>
    <n v="42.3"/>
    <n v="1757186"/>
    <s v="Not provided"/>
    <s v="City"/>
    <s v="Not provided"/>
    <s v="N/A"/>
    <s v="Structural"/>
    <n v="2013"/>
    <s v="North Indian River Lagoon"/>
    <n v="28.114015999999999"/>
    <n v="-80.622285000000005"/>
    <s v="Not provided"/>
  </r>
  <r>
    <n v="3152"/>
    <s v="City of Melbourne"/>
    <s v="N/A"/>
    <s v="MEL-06"/>
    <s v="Garfield Street Ponds - Lot 12 (North)"/>
    <s v="Two small dry detention ponds within an existing subdivision (with MEL-7)."/>
    <s v="Dry Detention Pond"/>
    <x v="2"/>
    <x v="2"/>
    <s v="N/A"/>
    <s v="N/A"/>
    <x v="1"/>
    <s v="N/A"/>
    <s v="N/A"/>
    <s v="N/A"/>
    <s v="N/A"/>
    <s v="N/A"/>
    <s v="N/A"/>
    <s v="Structural"/>
    <n v="2013"/>
    <s v="North Indian River Lagoon"/>
    <s v="N/A"/>
    <s v="N/A"/>
    <s v="N/A"/>
  </r>
  <r>
    <n v="3169"/>
    <s v="City of Melbourne"/>
    <s v="N/A"/>
    <s v="MEL-07"/>
    <s v="Garfield Street Ponds - Lot 24 (South)"/>
    <s v="Two small dry detention ponds within an existing subdivision (with MEL-6)."/>
    <s v="Dry Detention Pond"/>
    <x v="2"/>
    <x v="2"/>
    <s v="N/A"/>
    <s v="N/A"/>
    <x v="1"/>
    <s v="N/A"/>
    <s v="N/A"/>
    <s v="N/A"/>
    <s v="N/A"/>
    <s v="N/A"/>
    <s v="N/A"/>
    <s v="Structural"/>
    <n v="2013"/>
    <s v="North Indian River Lagoon"/>
    <s v="N/A"/>
    <s v="N/A"/>
    <s v="N/A"/>
  </r>
  <r>
    <n v="3167"/>
    <s v="City of Melbourne"/>
    <s v="N/A"/>
    <s v="MEL-08"/>
    <s v="Education Efforts"/>
    <s v="Irrigation, fertilizer, pet waste management, and landscaping ordinances; pamphlets, presentations, website, Illicit Discharge Program."/>
    <s v="Education Efforts"/>
    <x v="0"/>
    <x v="2"/>
    <n v="2583"/>
    <n v="587.20000000000005"/>
    <x v="1"/>
    <s v="N/A"/>
    <s v="Not provided"/>
    <s v="Not provided"/>
    <s v="City"/>
    <s v="Not provided"/>
    <s v="N/A"/>
    <s v="Non-structural"/>
    <n v="2013"/>
    <s v="North Indian River Lagoon"/>
    <s v="N/A"/>
    <s v="N/A"/>
    <s v="Not provided"/>
  </r>
  <r>
    <n v="3144"/>
    <s v="City of Melbourne"/>
    <s v="N/A"/>
    <s v="MEL-09"/>
    <s v="Street Sweeping"/>
    <s v="Street sweeping in the basin and debris removal."/>
    <s v="Street Sweeping"/>
    <x v="0"/>
    <x v="2"/>
    <n v="701"/>
    <n v="378"/>
    <x v="1"/>
    <s v="N/A"/>
    <s v="N/A"/>
    <n v="162500"/>
    <s v="City"/>
    <s v="Not provided"/>
    <s v="N/A"/>
    <s v="Non-structural"/>
    <n v="2013"/>
    <s v="North Indian River Lagoon"/>
    <s v="N/A"/>
    <s v="N/A"/>
    <s v="Not provided"/>
  </r>
  <r>
    <n v="3145"/>
    <s v="City of Melbourne"/>
    <s v="DEP"/>
    <s v="MEL-10"/>
    <s v="Autumn Woods"/>
    <s v="Construction of a wet detention pond for water quality treatment."/>
    <s v="Wet Detention Pond"/>
    <x v="0"/>
    <x v="18"/>
    <n v="315"/>
    <n v="135"/>
    <x v="1"/>
    <n v="56.909561379078809"/>
    <n v="879220"/>
    <s v="Not provided"/>
    <s v="City/ DEP"/>
    <s v="Not provided"/>
    <s v="LP05094"/>
    <s v="Structural"/>
    <n v="2013"/>
    <s v="North Indian River Lagoon"/>
    <s v="80°38'35&quot;W"/>
    <s v="28°7'16&quot;N"/>
    <n v="2017"/>
  </r>
  <r>
    <n v="3146"/>
    <s v="City of Melbourne"/>
    <s v="N/A"/>
    <s v="MEL-11"/>
    <s v="Participation in FYN"/>
    <s v="Future participation in FYN Program."/>
    <s v="Education Efforts"/>
    <x v="0"/>
    <x v="2"/>
    <n v="2583"/>
    <n v="587.20000000000005"/>
    <x v="1"/>
    <s v="N/A"/>
    <s v="Not provided"/>
    <s v="Not provided"/>
    <s v="City"/>
    <s v="Not provided"/>
    <s v="N/A"/>
    <s v="Non-structural"/>
    <n v="2013"/>
    <s v="North Indian River Lagoon"/>
    <s v="N/A"/>
    <s v="N/A"/>
    <s v="Not provided"/>
  </r>
  <r>
    <n v="3147"/>
    <s v="City of Melbourne"/>
    <s v="DEP"/>
    <s v="MEL-12"/>
    <s v="South Croton Baffle Box"/>
    <s v="Dry retention and baffle box."/>
    <s v="BMP Treatment Train"/>
    <x v="0"/>
    <x v="13"/>
    <n v="133"/>
    <n v="32"/>
    <x v="1"/>
    <n v="14.8"/>
    <n v="487296"/>
    <s v="Not provided"/>
    <s v="City/ DEP"/>
    <n v="191100"/>
    <s v="LP05092"/>
    <s v="Structural"/>
    <n v="2015"/>
    <s v="North Indian River Lagoon"/>
    <s v="80°39'17&quot;W"/>
    <s v="28°6'51&quot;N"/>
    <n v="2016"/>
  </r>
  <r>
    <n v="3148"/>
    <s v="City of Melbourne"/>
    <s v="DEP"/>
    <s v="MEL-13"/>
    <s v="Bell Street Baffle Box"/>
    <s v="Construction of a new baffle box."/>
    <s v="Baffle Boxes- Second Generation with Media"/>
    <x v="0"/>
    <x v="13"/>
    <n v="1877"/>
    <n v="467"/>
    <x v="1"/>
    <n v="127.2"/>
    <n v="300000"/>
    <s v="Not provided"/>
    <s v="City/ DEP"/>
    <n v="517050"/>
    <s v="LP05093"/>
    <s v="Structural"/>
    <n v="2015"/>
    <s v="North Indian River Lagoon"/>
    <s v="80°38'55&quot;W"/>
    <s v="28°7'19&quot;N"/>
    <n v="2016"/>
  </r>
  <r>
    <n v="3149"/>
    <s v="City of Melbourne"/>
    <s v="N/A"/>
    <s v="MEL-14"/>
    <s v="Paradise Baffle Box"/>
    <s v="Retrofit existing baffle box to upgrade to second generation."/>
    <s v="Baffle Boxes- Second Generation with Media"/>
    <x v="0"/>
    <x v="18"/>
    <n v="125.57"/>
    <n v="17.09"/>
    <x v="1"/>
    <n v="125.6"/>
    <n v="19000"/>
    <s v="Not provided"/>
    <s v="City"/>
    <s v="City - $19,000"/>
    <s v="N/A"/>
    <s v="Structural"/>
    <n v="2015"/>
    <s v="North Indian River Lagoon"/>
    <s v="80°35'15&quot;W"/>
    <s v="28°7'16&quot;N"/>
    <n v="2016"/>
  </r>
  <r>
    <n v="3159"/>
    <s v="City of Melbourne"/>
    <s v="DEP"/>
    <s v="MEL-15"/>
    <s v="Garfield North Baffle Box"/>
    <s v="Construction of a new baffle box."/>
    <s v="Baffle Boxes- Second Generation with Media"/>
    <x v="0"/>
    <x v="13"/>
    <n v="993"/>
    <n v="244"/>
    <x v="1"/>
    <n v="67"/>
    <n v="350000"/>
    <s v="Not provided"/>
    <s v="City/ DEP"/>
    <s v="Not provided"/>
    <s v="LP05093"/>
    <s v="Structural"/>
    <n v="2015"/>
    <s v="North Indian River Lagoon"/>
    <s v="80°38'58&quot;W"/>
    <s v="28°7'34&quot;N"/>
    <n v="2016"/>
  </r>
  <r>
    <n v="3151"/>
    <s v="City of Melbourne"/>
    <s v="DEP"/>
    <s v="MEL-16"/>
    <s v="Garfield South Baffle Box"/>
    <s v="Construction of a new baffle box."/>
    <s v="Baffle Boxes- Second Generation with Media"/>
    <x v="0"/>
    <x v="13"/>
    <n v="176"/>
    <n v="43"/>
    <x v="1"/>
    <n v="11.8"/>
    <n v="150000"/>
    <s v="Not provided"/>
    <s v="City/ DEP"/>
    <s v="Not provided"/>
    <s v="LP05093"/>
    <s v="Structural"/>
    <n v="2015"/>
    <s v="North Indian River Lagoon"/>
    <s v="80°38'55&quot;W"/>
    <s v="28°7'25&quot;N"/>
    <n v="2016"/>
  </r>
  <r>
    <n v="3143"/>
    <s v="City of Melbourne"/>
    <s v="DEP"/>
    <s v="MEL-17"/>
    <s v="Sherwood Stormwater Quality Project"/>
    <s v="Construction of a new wet detention pond for a subdivision without any treatment."/>
    <s v="Wet Detention Pond"/>
    <x v="1"/>
    <x v="12"/>
    <s v="TBD"/>
    <s v="TBD"/>
    <x v="1"/>
    <n v="246.1713603778675"/>
    <n v="2168800"/>
    <s v="Not provided"/>
    <s v="City/ DEP"/>
    <n v="400000"/>
    <s v="NS013"/>
    <s v="Structural"/>
    <n v="2016"/>
    <s v="North Indian River Lagoon"/>
    <s v="80°39'17&quot;W"/>
    <s v="28°10'36&quot;N"/>
    <n v="2016"/>
  </r>
  <r>
    <n v="3153"/>
    <s v="City of Melbourne"/>
    <s v="SJRWMD"/>
    <s v="MEL-18"/>
    <s v="Croton Road (Lime) Baffle Box"/>
    <s v="Installation of baffle box."/>
    <s v="Baffle Boxes- Second Generation with Media"/>
    <x v="0"/>
    <x v="18"/>
    <n v="149"/>
    <n v="35"/>
    <x v="1"/>
    <n v="70"/>
    <n v="260660"/>
    <s v="Not provided"/>
    <s v="City/ SJRWMD"/>
    <n v="72752"/>
    <s v="Not provided"/>
    <s v="Structural"/>
    <n v="2016"/>
    <s v="North Indian River Lagoon"/>
    <n v="-80.654976000000005"/>
    <n v="28.132553000000001"/>
    <n v="2016"/>
  </r>
  <r>
    <n v="3154"/>
    <s v="City of Melbourne"/>
    <s v="N/A"/>
    <s v="MEL-19"/>
    <s v="Young Street Existing Baffle Box Upgrade"/>
    <s v="Upgrade existing 1st generation baffle boxes to 2nd generation baffle boxes with BAM."/>
    <s v="Baffle Boxes- Second Generation with Media"/>
    <x v="0"/>
    <x v="18"/>
    <n v="39.299999999999997"/>
    <n v="4.6500000000000004"/>
    <x v="1"/>
    <n v="7.04"/>
    <n v="20000"/>
    <s v="Not provided"/>
    <s v="City"/>
    <s v="City - $20,000"/>
    <s v="N/A"/>
    <s v="Structural"/>
    <n v="2016"/>
    <s v="North Indian River Lagoon"/>
    <s v="80°37'39&quot;W"/>
    <s v="28°7'35&quot;N"/>
    <n v="2016"/>
  </r>
  <r>
    <n v="3155"/>
    <s v="City of Melbourne"/>
    <s v="SOIRL"/>
    <s v="MEL-20"/>
    <s v="Thrush Drive Baffle Box"/>
    <s v="Baffle Box - 2nd generation with media filter."/>
    <s v="Baffle Boxes- Second Generation with Media"/>
    <x v="1"/>
    <x v="3"/>
    <s v="TBD"/>
    <s v="TBD"/>
    <x v="1"/>
    <n v="422"/>
    <n v="450000"/>
    <s v="Not provided"/>
    <s v="City/ SOIRL"/>
    <n v="322200"/>
    <s v="N/A"/>
    <s v="Structural"/>
    <n v="2017"/>
    <s v="North Indian River Lagoon"/>
    <n v="28.156099999999999"/>
    <n v="-80.650400000000005"/>
    <n v="2018"/>
  </r>
  <r>
    <n v="3156"/>
    <s v="City of Melbourne"/>
    <s v="SOIRL"/>
    <s v="MEL-21"/>
    <s v="Cliff Creek Baffle Box"/>
    <s v="Baffle Box - 2nd generation with media filter."/>
    <s v="Baffle Boxes- Second Generation with Media"/>
    <x v="1"/>
    <x v="3"/>
    <s v="TBD"/>
    <s v="TBD"/>
    <x v="1"/>
    <n v="515"/>
    <n v="450000"/>
    <s v="Not provided"/>
    <s v="City/ SOIRL"/>
    <n v="347781"/>
    <s v="N/A"/>
    <s v="Structural"/>
    <n v="2017"/>
    <s v="North Indian River Lagoon"/>
    <n v="28.144400000000001"/>
    <n v="-80.634900000000002"/>
    <n v="2016"/>
  </r>
  <r>
    <n v="3157"/>
    <s v="City of Melbourne"/>
    <s v="SOIRL"/>
    <s v="MEL-22"/>
    <s v="Riverside Drive Septic to Sewer Conversion"/>
    <s v="Providing for 12 lots to be converted to municipal sewer."/>
    <s v="Wastewater Service Area Expansion"/>
    <x v="1"/>
    <x v="3"/>
    <s v="TBD"/>
    <s v="TBD"/>
    <x v="1"/>
    <s v="TBD"/>
    <n v="215000"/>
    <s v="Not provided"/>
    <s v="City/ SOIRL"/>
    <n v="265960"/>
    <s v="N/A"/>
    <s v="Structural"/>
    <n v="2017"/>
    <s v="North Indian River Lagoon"/>
    <n v="28.1691"/>
    <n v="-80.645099999999999"/>
    <n v="2016"/>
  </r>
  <r>
    <n v="3179"/>
    <s v="City of Melbourne"/>
    <s v="SOIRL"/>
    <s v="MEL-23"/>
    <s v="Leewood Forest Wetland and Baffle Box"/>
    <s v="The proposed project consists of construction a wetland treatment area and baffle box to provide stormwater quality treatment."/>
    <s v="Wetland Treatment"/>
    <x v="3"/>
    <x v="3"/>
    <s v="TBD"/>
    <s v="TBD"/>
    <x v="1"/>
    <n v="149.5"/>
    <n v="2590000"/>
    <s v="Not provided"/>
    <s v="City/ SOIRL"/>
    <s v="TBD"/>
    <s v="N/A"/>
    <s v="Structural"/>
    <n v="2017"/>
    <s v="North Indian River Lagoon"/>
    <n v="28.134799999999998"/>
    <n v="-80.664900000000003"/>
    <s v="TBD"/>
  </r>
  <r>
    <n v="3150"/>
    <s v="City of Melbourne"/>
    <s v="N/A"/>
    <s v="MEL-24"/>
    <s v="South Sarno Drainage Improvements"/>
    <s v="Retrofit existing ditch system to include dry detention shelves."/>
    <s v="Dry Detention Pond"/>
    <x v="0"/>
    <x v="11"/>
    <s v="TBD"/>
    <s v="TBD"/>
    <x v="1"/>
    <n v="1475"/>
    <n v="2227000"/>
    <s v="Not provided"/>
    <s v="City"/>
    <s v="City - $2,227,000"/>
    <s v="N/A"/>
    <s v="Structural"/>
    <n v="2017"/>
    <s v="North Indian River Lagoon"/>
    <s v="28°6'50&quot;"/>
    <s v="-80°38'12&quot;"/>
    <n v="2017"/>
  </r>
  <r>
    <n v="3176"/>
    <s v="City of Melbourne"/>
    <s v="N/A"/>
    <s v="MEL-25"/>
    <s v="Sarno Road Turn Lane"/>
    <s v="Dry detention above needs for turn lane construction."/>
    <s v="Dry Detention Pond"/>
    <x v="0"/>
    <x v="19"/>
    <n v="31"/>
    <n v="6"/>
    <x v="1"/>
    <n v="6.79"/>
    <n v="560000"/>
    <s v="Not provided"/>
    <s v="City"/>
    <s v="City - $560,000"/>
    <s v="N/A"/>
    <s v="Structural"/>
    <n v="2017"/>
    <s v="North Indian River Lagoon"/>
    <s v="28°7'17&quot;"/>
    <s v="-80°37'53&quot;"/>
    <n v="2017"/>
  </r>
  <r>
    <n v="3180"/>
    <s v="City of Melbourne"/>
    <s v="SOIRL"/>
    <s v="MEL-26"/>
    <s v="Apollo/GA Baffle Box"/>
    <s v="2nd generation baffle box with BAM."/>
    <s v="Baffle Boxes- Second Generation with Media"/>
    <x v="3"/>
    <x v="5"/>
    <s v="TBD"/>
    <s v="TBD"/>
    <x v="1"/>
    <n v="854"/>
    <n v="825000"/>
    <s v="Not provided"/>
    <s v="City/ SOIRL"/>
    <n v="297522"/>
    <s v="N/A"/>
    <s v="Structural"/>
    <n v="2017"/>
    <s v="North Indian River Lagoon"/>
    <s v="28°6'45&quot;"/>
    <s v="-80°38'1&quot;"/>
    <n v="2019"/>
  </r>
  <r>
    <n v="3181"/>
    <s v="City of Melbourne"/>
    <s v="SOIRL"/>
    <s v="MEL-27"/>
    <s v="Stewart Road WQ Project"/>
    <s v="Installation of BAM filter box on existing culvert."/>
    <s v="Biosorption Activated Media (BAM)"/>
    <x v="3"/>
    <x v="12"/>
    <s v="TBD"/>
    <s v="TBD"/>
    <x v="1"/>
    <n v="36"/>
    <n v="435000"/>
    <s v="Not provided"/>
    <s v="City/ SOIRL"/>
    <n v="18344"/>
    <s v="N/A"/>
    <s v="Structural"/>
    <n v="2017"/>
    <s v="North Indian River Lagoon"/>
    <s v="28°8'50&quot;"/>
    <s v="-80°38'49&quot;"/>
    <n v="2020"/>
  </r>
  <r>
    <n v="4459"/>
    <s v="City of Melbourne"/>
    <s v="SOIRL"/>
    <s v="MEL-28"/>
    <s v="Cherry Street Baffle Box"/>
    <s v="2nd generation baffle box with BAM."/>
    <s v="Baffle Boxes- Second Generation with Media"/>
    <x v="1"/>
    <x v="12"/>
    <s v="TBD"/>
    <s v="TBD"/>
    <x v="1"/>
    <n v="1307"/>
    <n v="550000"/>
    <s v="Not provided"/>
    <s v="City/ SOIRL"/>
    <n v="92120"/>
    <s v="N/A"/>
    <s v="Structural"/>
    <n v="2018"/>
    <s v="North Indian River Lagoon"/>
    <s v="Not provided"/>
    <s v="Not provided"/>
    <s v="Not provided"/>
  </r>
  <r>
    <n v="4460"/>
    <s v="City of Melbourne"/>
    <s v="SOIRL"/>
    <s v="MEL-29"/>
    <s v="Spring Creek Baffle Box"/>
    <s v="2nd generation baffle box with BAM."/>
    <s v="Baffle Boxes- Second Generation with Media"/>
    <x v="1"/>
    <x v="12"/>
    <s v="TBD"/>
    <s v="TBD"/>
    <x v="1"/>
    <n v="110"/>
    <n v="450000"/>
    <s v="Not provided"/>
    <s v="City/ SOIRL"/>
    <n v="99358"/>
    <s v="N/A"/>
    <s v="Structural"/>
    <n v="2018"/>
    <s v="North Indian River Lagoon"/>
    <s v="Not provided"/>
    <s v="Not provided"/>
    <s v="Not provided"/>
  </r>
  <r>
    <n v="4461"/>
    <s v="City of Melbourne"/>
    <s v="SOIRL"/>
    <s v="MEL-30"/>
    <s v="Brevard County Partnership Projects"/>
    <s v="Project approved by the SOIRL Project Plan not built by the City of Melbourne."/>
    <s v="BMP Treatment Train"/>
    <x v="1"/>
    <x v="3"/>
    <s v="TBD"/>
    <s v="TBD"/>
    <x v="1"/>
    <s v="TBD"/>
    <s v="TBD"/>
    <s v="N/A"/>
    <s v="SOIRL"/>
    <s v="TBD"/>
    <s v="N/A"/>
    <s v="Structural"/>
    <n v="2018"/>
    <s v="North Indian River Lagoon"/>
    <s v="Not provided"/>
    <s v="Not provided"/>
    <s v="Not provided"/>
  </r>
  <r>
    <n v="5362"/>
    <s v="City of Melbourne"/>
    <s v="SOIRL/ SRF Loan"/>
    <s v="MEL-31"/>
    <s v="Grant Street Water Reclamation Facility Improvements"/>
    <s v="Improvements include rehabilitation of major treatment elements and structures of facility."/>
    <s v="WWTF Nutrient Reduction"/>
    <x v="3"/>
    <x v="3"/>
    <s v="TBD"/>
    <s v="TBD"/>
    <x v="1"/>
    <s v="TBD"/>
    <n v="10038000"/>
    <s v="Not provided"/>
    <s v="City/ SOIRL/ SRF"/>
    <n v="5415600"/>
    <s v="N/A"/>
    <s v="Structural"/>
    <n v="2019"/>
    <s v="North Indian River Lagoon"/>
    <s v="N/A"/>
    <s v="N/A"/>
    <s v="N/A"/>
  </r>
  <r>
    <n v="5363"/>
    <s v="City of Melbourne"/>
    <s v="TBD"/>
    <s v="MEL-32"/>
    <s v="Dove Street Pond Retrofit"/>
    <s v="Retrofting of existing pond to enhance treatment potential."/>
    <s v="BMP Treatment Train"/>
    <x v="3"/>
    <x v="3"/>
    <s v="TBD"/>
    <s v="TBD"/>
    <x v="1"/>
    <s v="TBD"/>
    <s v="TBD"/>
    <s v="Not provided"/>
    <s v="TBD"/>
    <s v="TBD"/>
    <s v="N/A"/>
    <s v="Structural"/>
    <n v="2019"/>
    <s v="North Indian River Lagoon"/>
    <s v="N/A"/>
    <s v="N/A"/>
    <s v="N/A"/>
  </r>
  <r>
    <n v="5364"/>
    <s v="City of Melbourne"/>
    <s v="TBD"/>
    <s v="MEL-33"/>
    <s v="Melbourne Cemetery Baffle Box"/>
    <s v="2nd generation baffle box with BAM."/>
    <s v="Baffle Boxes- Second Generation with Media"/>
    <x v="3"/>
    <x v="3"/>
    <s v="TBD"/>
    <s v="TBD"/>
    <x v="1"/>
    <s v="TBD"/>
    <s v="TBD"/>
    <s v="Not provided"/>
    <s v="TBD"/>
    <s v="TBD"/>
    <s v="N/A"/>
    <s v="Structural"/>
    <n v="2019"/>
    <s v="North Indian River Lagoon"/>
    <s v="N/A"/>
    <s v="N/A"/>
    <s v="N/A"/>
  </r>
  <r>
    <n v="5365"/>
    <s v="City of Melbourne"/>
    <s v="TBD"/>
    <s v="MEL-34"/>
    <s v="Funeral Home Baffle Box"/>
    <s v="2nd generation baffle box with BAM."/>
    <s v="Baffle Boxes- Second Generation with Media"/>
    <x v="3"/>
    <x v="3"/>
    <s v="TBD"/>
    <s v="TBD"/>
    <x v="1"/>
    <s v="TBD"/>
    <s v="TBD"/>
    <s v="Not provided"/>
    <s v="TBD"/>
    <s v="TBD"/>
    <s v="N/A"/>
    <s v="Structural"/>
    <n v="2019"/>
    <s v="North Indian River Lagoon"/>
    <s v="N/A"/>
    <s v="N/A"/>
    <s v="N/A"/>
  </r>
  <r>
    <n v="5366"/>
    <s v="City of Melbourne"/>
    <s v="TBD"/>
    <s v="MEL-35"/>
    <s v="Melbourne High Baffle Box"/>
    <s v="2nd generation baffle box with BAM."/>
    <s v="Baffle Boxes- Second Generation with Media"/>
    <x v="3"/>
    <x v="3"/>
    <s v="TBD"/>
    <s v="TBD"/>
    <x v="1"/>
    <s v="TBD"/>
    <s v="TBD"/>
    <s v="Not provided"/>
    <s v="TBD"/>
    <s v="TBD"/>
    <s v="N/A"/>
    <s v="Structural"/>
    <n v="2019"/>
    <s v="North Indian River Lagoon"/>
    <s v="N/A"/>
    <s v="N/A"/>
    <s v="N/A"/>
  </r>
  <r>
    <n v="3050"/>
    <s v="City of Rockledge"/>
    <s v="SOIRL"/>
    <s v="BC-79"/>
    <s v="Breeze Swept Septic to Sewer"/>
    <s v="Hood up to sewer - SOIRL-01."/>
    <s v="Wastewater Service Area Expansion"/>
    <x v="0"/>
    <x v="13"/>
    <s v="Not provided"/>
    <s v="Not provided"/>
    <x v="1"/>
    <s v="Not provided"/>
    <n v="3400000"/>
    <s v="Not provided"/>
    <s v="City/ SOIRL"/>
    <n v="880530"/>
    <s v="N/A"/>
    <s v="Structural"/>
    <n v="2017"/>
    <s v="North Indian River Lagoon"/>
    <s v="Not provided"/>
    <s v="Not provided"/>
    <s v="Not provided"/>
  </r>
  <r>
    <n v="3182"/>
    <s v="City of Rockledge"/>
    <s v="SOIRL"/>
    <s v="ROCK-01"/>
    <s v="Orange Avenue Baffle Box"/>
    <s v="The second generation (nutrient separating) baffle box includes a wire mesh box that captures vegetative debris, litter, and other materials from settling in the water in the bottom of the box, thereby preventing leaching of the nutrients."/>
    <s v="Baffle Boxes- Second Generation"/>
    <x v="0"/>
    <x v="9"/>
    <n v="16"/>
    <n v="2.2999999999999998"/>
    <x v="1"/>
    <n v="10.4"/>
    <n v="8600"/>
    <n v="2555"/>
    <s v="Not provided"/>
    <s v="Not provided"/>
    <s v="N/A"/>
    <s v="Structural"/>
    <n v="2013"/>
    <s v="North Indian River Lagoon"/>
    <s v="Not provided"/>
    <s v="Not provided"/>
    <s v="Not provided"/>
  </r>
  <r>
    <n v="3183"/>
    <s v="City of Rockledge"/>
    <s v="SOIRL"/>
    <s v="ROCK-02"/>
    <s v="Barton Avenue Baffle Box"/>
    <s v="The second generation (nutrient separating) baffle box includes a wire mesh box that captures vegetative debris, litter, and other materials from settling in the water in the bottom of the box, thereby preventing leaching of the nutrients."/>
    <s v="Baffle Boxes- Second Generation"/>
    <x v="0"/>
    <x v="9"/>
    <n v="35"/>
    <n v="4.9000000000000004"/>
    <x v="1"/>
    <n v="27.1"/>
    <n v="9350"/>
    <n v="2555"/>
    <s v="Not provided"/>
    <s v="Not provided"/>
    <s v="N/A"/>
    <s v="Structural"/>
    <n v="2013"/>
    <s v="North Indian River Lagoon"/>
    <s v="Not provided"/>
    <s v="Not provided"/>
    <s v="Not provided"/>
  </r>
  <r>
    <n v="3184"/>
    <s v="City of Rockledge"/>
    <s v="Not provided"/>
    <s v="ROCK-03"/>
    <s v="Hardee Circle Baffle Box"/>
    <s v="The second generation (nutrient separating) baffle box includes a wire mesh box that captures vegetative debris, litter, and other materials from settling in the water in the bottom of the box, thereby preventing leaching of the nutrients."/>
    <s v="Baffle Boxes- Second Generation"/>
    <x v="0"/>
    <x v="9"/>
    <n v="16"/>
    <n v="1.8"/>
    <x v="1"/>
    <n v="14.5994778587876"/>
    <n v="43420"/>
    <n v="2555"/>
    <s v="Not provided"/>
    <s v="Not provided"/>
    <s v="N/A"/>
    <s v="Structural"/>
    <n v="2013"/>
    <s v="North Indian River Lagoon"/>
    <s v="Not provided"/>
    <s v="Not provided"/>
    <s v="Not provided"/>
  </r>
  <r>
    <n v="3194"/>
    <s v="City of Rockledge"/>
    <s v="Not provided"/>
    <s v="ROCK-04"/>
    <s v="Rockledge Avenue Baffle Box"/>
    <s v="The second generation (nutrient separating) baffle box includes a wire mesh box that captures vegetative debris, litter, and other materials from settling in the water in the bottom of the box, thereby preventing leaching of the nutrients."/>
    <s v="Baffle Boxes- Second Generation"/>
    <x v="0"/>
    <x v="10"/>
    <n v="73"/>
    <n v="13.5"/>
    <x v="1"/>
    <n v="40.973816420750424"/>
    <n v="21448"/>
    <n v="3682"/>
    <s v="Not provided"/>
    <s v="Not provided"/>
    <s v="N/A"/>
    <s v="Structural"/>
    <n v="2013"/>
    <s v="North Indian River Lagoon"/>
    <s v="Not provided"/>
    <s v="Not provided"/>
    <s v="Not provided"/>
  </r>
  <r>
    <n v="3186"/>
    <s v="City of Rockledge"/>
    <s v="Not provided"/>
    <s v="ROCK-05"/>
    <s v="Bougainvillea Drive Baffle Box"/>
    <s v="The second generation (nutrient separating) baffle box includes a wire mesh box that captures vegetative debris, litter, and other materials from settling in the water in the bottom of the box, thereby preventing leaching of the nutrients."/>
    <s v="Baffle Boxes- Second Generation"/>
    <x v="0"/>
    <x v="8"/>
    <n v="104"/>
    <n v="17.7"/>
    <x v="1"/>
    <n v="35.739179351579295"/>
    <n v="29495"/>
    <n v="2566"/>
    <s v="Not provided"/>
    <s v="Not provided"/>
    <s v="N/A"/>
    <s v="Structural"/>
    <n v="2013"/>
    <s v="North Indian River Lagoon"/>
    <s v="Not provided"/>
    <s v="Not provided"/>
    <s v="Not provided"/>
  </r>
  <r>
    <n v="3178"/>
    <s v="City of Rockledge"/>
    <s v="Not provided"/>
    <s v="ROCK-06"/>
    <s v="Park Avenue Baffle Box"/>
    <s v="The second generation (nutrient separating) baffle box includes a wire mesh box that captures vegetative debris, litter, and other materials from settling in the water in the bottom of the box, thereby preventing leaching of the nutrients."/>
    <s v="Baffle Boxes- Second Generation"/>
    <x v="0"/>
    <x v="23"/>
    <n v="17"/>
    <n v="2"/>
    <x v="1"/>
    <n v="13.182457592484651"/>
    <n v="52529"/>
    <n v="2555"/>
    <s v="Not provided"/>
    <s v="Not provided"/>
    <s v="N/A"/>
    <s v="Structural"/>
    <n v="2013"/>
    <s v="North Indian River Lagoon"/>
    <s v="Not provided"/>
    <s v="Not provided"/>
    <s v="Not provided"/>
  </r>
  <r>
    <n v="3188"/>
    <s v="City of Rockledge"/>
    <s v="Not provided"/>
    <s v="ROCK-07"/>
    <s v="Little John Lane Baffle Box"/>
    <s v="The second generation (nutrient separating) baffle box includes a wire mesh box that captures vegetative debris, litter, and other materials from settling in the water in the bottom of the box, thereby preventing leaching of the nutrients."/>
    <s v="Baffle Boxes- Second Generation"/>
    <x v="0"/>
    <x v="10"/>
    <n v="16"/>
    <n v="1.9"/>
    <x v="1"/>
    <n v="11.869761643550452"/>
    <n v="60000"/>
    <n v="2555"/>
    <s v="Not provided"/>
    <s v="Not provided"/>
    <s v="N/A"/>
    <s v="Structural"/>
    <n v="2013"/>
    <s v="North Indian River Lagoon"/>
    <s v="Not provided"/>
    <s v="Not provided"/>
    <s v="Not provided"/>
  </r>
  <r>
    <n v="3189"/>
    <s v="City of Rockledge"/>
    <s v="Not provided"/>
    <s v="ROCK-08"/>
    <s v="Fernwood Drive Baffle Box"/>
    <s v="The second generation (nutrient separating) baffle box includes a wire mesh box that captures vegetative debris, litter, and other materials from settling in the water in the bottom of the box, thereby preventing leaching of the nutrients."/>
    <s v="Baffle Boxes- Second Generation"/>
    <x v="0"/>
    <x v="14"/>
    <n v="14"/>
    <n v="1.6"/>
    <x v="1"/>
    <n v="12.880904086636283"/>
    <n v="55750"/>
    <s v="Not provided"/>
    <s v="Not provided"/>
    <s v="Not provided"/>
    <s v="N/A"/>
    <s v="Structural"/>
    <n v="2013"/>
    <s v="North Indian River Lagoon"/>
    <s v="Not provided"/>
    <s v="Not provided"/>
    <s v="Not provided"/>
  </r>
  <r>
    <n v="3190"/>
    <s v="City of Rockledge"/>
    <s v="Not provided"/>
    <s v="ROCK-09"/>
    <s v="Valencia Drive Baffle Box"/>
    <s v="The second generation (nutrient separating) baffle box includes a wire mesh box that captures vegetative debris, litter, and other materials from settling in the water in the bottom of the box, thereby preventing leaching of the nutrients."/>
    <s v="Baffle Boxes- Second Generation"/>
    <x v="0"/>
    <x v="7"/>
    <n v="38"/>
    <n v="5.8"/>
    <x v="1"/>
    <n v="22.878503267697543"/>
    <n v="58960"/>
    <n v="2555"/>
    <s v="Not provided"/>
    <s v="Not provided"/>
    <s v="N/A"/>
    <s v="Structural"/>
    <n v="2013"/>
    <s v="North Indian River Lagoon"/>
    <s v="Not provided"/>
    <s v="Not provided"/>
    <s v="Not provided"/>
  </r>
  <r>
    <n v="3191"/>
    <s v="City of Rockledge"/>
    <s v="Not provided"/>
    <s v="ROCK-10"/>
    <s v="Knollwood Baffle Box"/>
    <s v="The second generation (nutrient separating) baffle box includes a wire mesh box that captures vegetative debris, litter, and other materials from settling in the water in the bottom of the box, thereby preventing leaching of the nutrients."/>
    <s v="Baffle Boxes- Second Generation"/>
    <x v="0"/>
    <x v="16"/>
    <n v="26"/>
    <n v="3"/>
    <x v="1"/>
    <n v="24.3"/>
    <n v="68248"/>
    <n v="3682"/>
    <s v="Not provided"/>
    <s v="Not provided"/>
    <s v="N/A"/>
    <s v="Structural"/>
    <n v="2013"/>
    <s v="North Indian River Lagoon"/>
    <s v="Not provided"/>
    <s v="Not provided"/>
    <s v="Not provided"/>
  </r>
  <r>
    <n v="3192"/>
    <s v="City of Rockledge"/>
    <s v="Not provided"/>
    <s v="ROCK-11"/>
    <s v="Sutton Street Baffle Box"/>
    <s v="The second generation (nutrient separating) baffle box includes a wire mesh box that captures vegetative debris, litter, and other materials from settling in the water in the bottom of the box, thereby preventing leaching of the nutrients."/>
    <s v="Baffle Boxes- Second Generation"/>
    <x v="0"/>
    <x v="22"/>
    <n v="9"/>
    <n v="1"/>
    <x v="1"/>
    <n v="8"/>
    <s v="Not provided"/>
    <s v="Not provided"/>
    <s v="Not provided"/>
    <s v="Not provided"/>
    <s v="N/A"/>
    <s v="Structural"/>
    <n v="2013"/>
    <s v="North Indian River Lagoon"/>
    <s v="Not provided"/>
    <s v="Not provided"/>
    <s v="Not provided"/>
  </r>
  <r>
    <n v="3193"/>
    <s v="City of Rockledge"/>
    <s v="Not provided"/>
    <s v="ROCK-12"/>
    <s v="River Groves Baffle Box"/>
    <s v="The second generation (nutrient separating) baffle box includes a wire mesh box that captures vegetative debris, litter, and other materials from settling in the water in the bottom of the box, thereby preventing leaching of the nutrients."/>
    <s v="Baffle Boxes- Second Generation"/>
    <x v="0"/>
    <x v="22"/>
    <n v="11"/>
    <n v="1"/>
    <x v="1"/>
    <n v="7.4"/>
    <s v="Not provided"/>
    <s v="Not provided"/>
    <s v="Not provided"/>
    <s v="Not provided"/>
    <s v="N/A"/>
    <s v="Structural"/>
    <n v="2013"/>
    <s v="North Indian River Lagoon"/>
    <s v="Not provided"/>
    <s v="Not provided"/>
    <s v="Not provided"/>
  </r>
  <r>
    <n v="3126"/>
    <s v="City of Rockledge"/>
    <s v="Not provided"/>
    <s v="ROCK-13"/>
    <s v="Summer Place Baffle Box"/>
    <s v="The second generation (nutrient separating) baffle box includes a wire mesh box that captures vegetative debris, litter, and other materials from settling in the water in the bottom of the box, thereby preventing leaching of the nutrients."/>
    <s v="Baffle Boxes- Second Generation"/>
    <x v="0"/>
    <x v="22"/>
    <n v="7"/>
    <n v="0.7"/>
    <x v="1"/>
    <n v="9.8000000000000007"/>
    <n v="35000"/>
    <s v="Not provided"/>
    <s v="Not provided"/>
    <s v="Not provided"/>
    <s v="N/A"/>
    <s v="Structural"/>
    <n v="2013"/>
    <s v="North Indian River Lagoon"/>
    <s v="Not provided"/>
    <s v="Not provided"/>
    <s v="Not provided"/>
  </r>
  <r>
    <n v="3075"/>
    <s v="City of Rockledge"/>
    <s v="Not provided"/>
    <s v="ROCK-14"/>
    <s v="Sweet Street Swale"/>
    <s v="Swales are designed to infiltrate a defined quantity of runoff (the treatment volume) through the permeable soils of the swale floor and side slopes into the shallow ground water aquifer immediately following a storm event."/>
    <s v="Grass Swales without Swale Blocks or Raised Culverts"/>
    <x v="0"/>
    <x v="22"/>
    <n v="38"/>
    <n v="5.0999999999999996"/>
    <x v="1"/>
    <n v="8"/>
    <n v="10000"/>
    <s v="Not provided"/>
    <s v="Not provided"/>
    <s v="Not provided"/>
    <s v="N/A"/>
    <s v="Structural"/>
    <n v="2013"/>
    <s v="North Indian River Lagoon"/>
    <s v="Not provided"/>
    <s v="Not provided"/>
    <s v="Not provided"/>
  </r>
  <r>
    <n v="3158"/>
    <s v="City of Rockledge"/>
    <s v="Not provided"/>
    <s v="ROCK-15"/>
    <s v="Community Park of Rockledge Regional Facility Phase 1"/>
    <s v="&quot;Wet detention&quot; means the collection and temporary storage of stormwater in a permanently wet impoundment in such a manner as to provide for treatment through physical, chemical, and biological processes with subsequent gradual release of the stormwater."/>
    <s v="Wet Detention Pond"/>
    <x v="0"/>
    <x v="10"/>
    <n v="5"/>
    <n v="0.5"/>
    <x v="1"/>
    <n v="25.6"/>
    <n v="50000"/>
    <n v="23974"/>
    <s v="Not provided"/>
    <s v="Not provided"/>
    <s v="N/A"/>
    <s v="Structural"/>
    <n v="2013"/>
    <s v="North Indian River Lagoon"/>
    <s v="Not provided"/>
    <s v="Not provided"/>
    <s v="Not provided"/>
  </r>
  <r>
    <n v="3093"/>
    <s v="City of Rockledge"/>
    <s v="Not provided"/>
    <s v="ROCK-16"/>
    <s v="Pineland Park Unit Three"/>
    <s v="&quot;Wet detention&quot; means the collection and temporary storage of stormwater in a permanently wet impoundment in such a manner as to provide for treatment through physical, chemical, and biological processes with subsequent gradual release of the stormwater."/>
    <s v="Wet Detention Pond"/>
    <x v="0"/>
    <x v="9"/>
    <n v="1"/>
    <n v="0.2"/>
    <x v="1"/>
    <n v="54.3"/>
    <n v="100000"/>
    <n v="6234"/>
    <s v="Not provided"/>
    <s v="Not provided"/>
    <s v="N/A"/>
    <s v="Structural"/>
    <n v="2013"/>
    <s v="North Indian River Lagoon"/>
    <s v="Not provided"/>
    <s v="Not provided"/>
    <s v="Not provided"/>
  </r>
  <r>
    <n v="3094"/>
    <s v="City of Rockledge"/>
    <s v="DEP"/>
    <s v="ROCK-17"/>
    <s v="Barton Park Regional Detention System"/>
    <s v="&quot;Wet detention&quot; means the collection and temporary storage of stormwater in a permanently wet impoundment in such a manner as to provide for treatment through physical, chemical, and biological processes with subsequent gradual release of the stormwater."/>
    <s v="Wet Detention Pond"/>
    <x v="0"/>
    <x v="1"/>
    <n v="2823"/>
    <n v="1248.9000000000001"/>
    <x v="1"/>
    <n v="757"/>
    <n v="2600000"/>
    <n v="40000"/>
    <s v="DEP"/>
    <s v="Not provided"/>
    <s v="S0538"/>
    <s v="Structural"/>
    <n v="2013"/>
    <s v="North Indian River Lagoon"/>
    <s v="Not provided"/>
    <s v="Not provided"/>
    <s v="Not provided"/>
  </r>
  <r>
    <n v="3095"/>
    <s v="City of Rockledge"/>
    <s v="Not provided"/>
    <s v="ROCK-18"/>
    <s v="Florida Avenue Stormwater Facility"/>
    <s v="&quot;Wet detention&quot; means the collection and temporary storage of stormwater in a permanently wet impoundment in such a manner as to provide for treatment through physical, chemical, and biological processes with subsequent gradual release of the stormwater."/>
    <s v="Wet Detention Pond"/>
    <x v="0"/>
    <x v="1"/>
    <n v="76"/>
    <n v="49.5"/>
    <x v="1"/>
    <n v="25.2"/>
    <n v="435000"/>
    <n v="40950"/>
    <s v="Not provided"/>
    <s v="Not provided"/>
    <s v="N/A"/>
    <s v="Structural"/>
    <n v="2013"/>
    <s v="North Indian River Lagoon"/>
    <s v="Not provided"/>
    <s v="Not provided"/>
    <s v="Not provided"/>
  </r>
  <r>
    <n v="3092"/>
    <s v="City of Rockledge"/>
    <s v="Not provided"/>
    <s v="ROCK-19"/>
    <s v="Police Department Pond"/>
    <s v="&quot;Wet detention&quot; means the collection and temporary storage of stormwater in a permanently wet impoundment in such a manner as to provide for treatment through physical, chemical, and biological processes with subsequent gradual release of the stormwater."/>
    <s v="Wet Detention Pond"/>
    <x v="0"/>
    <x v="1"/>
    <n v="16"/>
    <n v="5.0999999999999996"/>
    <x v="1"/>
    <n v="39.1"/>
    <n v="350000"/>
    <n v="7035"/>
    <s v="Not provided"/>
    <s v="Not provided"/>
    <s v="N/A"/>
    <s v="Structural"/>
    <n v="2013"/>
    <s v="North Indian River Lagoon"/>
    <s v="Not provided"/>
    <s v="Not provided"/>
    <s v="Not provided"/>
  </r>
  <r>
    <n v="3097"/>
    <s v="City of Rockledge"/>
    <s v="Not provided"/>
    <s v="ROCK-20"/>
    <s v="Huntington Lakes I"/>
    <s v="&quot;Wet detention&quot; means the collection and temporary storage of stormwater in a permanently wet impoundment in such a manner as to provide for treatment through physical, chemical, and biological processes with subsequent gradual release of the stormwater."/>
    <s v="Wet Detention Pond"/>
    <x v="0"/>
    <x v="0"/>
    <n v="7.84"/>
    <n v="2"/>
    <x v="1"/>
    <n v="36.9"/>
    <n v="950000"/>
    <s v="Not provided"/>
    <s v="Not provided"/>
    <s v="Not provided"/>
    <s v="N/A"/>
    <s v="Structural"/>
    <n v="2013"/>
    <s v="North Indian River Lagoon"/>
    <s v="Not provided"/>
    <s v="Not provided"/>
    <s v="Not provided"/>
  </r>
  <r>
    <n v="3001"/>
    <s v="City of Rockledge"/>
    <s v="Not provided"/>
    <s v="ROCK-21"/>
    <s v="Street Sweeping"/>
    <s v="Pavement cleaning by sweeping, vacuum, or washing."/>
    <s v="Street Sweeping"/>
    <x v="0"/>
    <x v="2"/>
    <n v="794"/>
    <n v="337"/>
    <x v="1"/>
    <s v="N/A"/>
    <s v="Not provided"/>
    <n v="54000"/>
    <s v="Not provided"/>
    <s v="Not provided"/>
    <s v="N/A"/>
    <s v="Non-structural"/>
    <n v="2013"/>
    <s v="North Indian River Lagoon"/>
    <s v="N/A"/>
    <s v="N/A"/>
    <s v="Not provided"/>
  </r>
  <r>
    <n v="3107"/>
    <s v="City of Rockledge"/>
    <s v="Not provided"/>
    <s v="ROCK-22"/>
    <s v="Treatment Missing from Model"/>
    <s v="Wet detention ponds – missing from model."/>
    <s v="Monitoring/Data Collection"/>
    <x v="0"/>
    <x v="24"/>
    <n v="1248"/>
    <n v="477.3"/>
    <x v="1"/>
    <n v="383.2"/>
    <s v="Not provided"/>
    <s v="Not provided"/>
    <s v="Not provided"/>
    <s v="Not provided"/>
    <s v="N/A"/>
    <s v="Non-structural"/>
    <n v="2013"/>
    <s v="North Indian River Lagoon"/>
    <s v="Not provided"/>
    <s v="Not provided"/>
    <n v="1986"/>
  </r>
  <r>
    <n v="3099"/>
    <s v="City of Rockledge"/>
    <s v="Not provided"/>
    <s v="ROCK-23"/>
    <s v="Education Efforts"/>
    <s v="Irrigation, fertilizer, pet waste management, and landscaping ordinances; pamphlets, presentations, website, illicit discharge program. Video &quot;Know Your Waterways&quot;."/>
    <s v="Education Efforts"/>
    <x v="0"/>
    <x v="2"/>
    <n v="1541"/>
    <n v="346.5"/>
    <x v="1"/>
    <s v="N/A"/>
    <n v="7385"/>
    <n v="0"/>
    <s v="Not provided"/>
    <s v="Not provided"/>
    <s v="N/A"/>
    <s v="Non-structural"/>
    <n v="2013"/>
    <s v="North Indian River Lagoon"/>
    <s v="N/A"/>
    <s v="N/A"/>
    <s v="Not provided"/>
  </r>
  <r>
    <n v="3091"/>
    <s v="City of Rockledge"/>
    <s v="Not provided"/>
    <s v="ROCK-24"/>
    <s v="Huntington Lakes II"/>
    <s v="Project provides treatment to some of the basin that leads into ROCK-17."/>
    <s v="Wet Detention Pond"/>
    <x v="0"/>
    <x v="18"/>
    <n v="40.799999999999997"/>
    <n v="72"/>
    <x v="1"/>
    <n v="133.5"/>
    <n v="900000"/>
    <n v="15000"/>
    <s v="Not provided"/>
    <s v="Not provided"/>
    <s v="N/A"/>
    <s v="Structural"/>
    <n v="2015"/>
    <s v="North Indian River Lagoon"/>
    <s v="Not provided"/>
    <s v="Not provided"/>
    <s v="Not provided"/>
  </r>
  <r>
    <n v="3101"/>
    <s v="City of Rockledge"/>
    <s v="Not provided"/>
    <s v="ROCK-25"/>
    <s v="Aquatic Harvesting"/>
    <s v="Data is collected by location in yards; determining method to convert to dry weight."/>
    <s v="Aquatic Vegetation Harvesting"/>
    <x v="0"/>
    <x v="11"/>
    <s v="N/A"/>
    <s v="N/A"/>
    <x v="1"/>
    <s v="N/A"/>
    <s v="Not provided"/>
    <s v="Not provided"/>
    <s v="Not provided"/>
    <s v="Not provided"/>
    <s v="N/A"/>
    <s v="Non-structural"/>
    <n v="2016"/>
    <s v="North Indian River Lagoon"/>
    <s v="Not provided"/>
    <s v="Not provided"/>
    <s v="Not provided"/>
  </r>
  <r>
    <n v="3161"/>
    <s v="City of Rockledge"/>
    <s v="Not provided"/>
    <s v="ROCK-26"/>
    <s v="Breeze Swept Septic Phase-out"/>
    <s v="Estimates will be calculated using the latest version of ArcNLET for the septic tank phase out."/>
    <s v="Wastewater Service Area Expansion"/>
    <x v="0"/>
    <x v="13"/>
    <s v="TBD"/>
    <s v="TBD"/>
    <x v="1"/>
    <n v="39.6"/>
    <n v="3700000"/>
    <n v="20000"/>
    <s v="DEP, SJRWMD, 1/2 cent Lagoon Tax"/>
    <n v="2580000"/>
    <s v="N/A"/>
    <s v="Structural"/>
    <n v="2016"/>
    <s v="North Indian River Lagoon"/>
    <s v="Not provided"/>
    <s v="Not provided"/>
    <s v="Not provided"/>
  </r>
  <r>
    <n v="3123"/>
    <s v="City of Rockledge"/>
    <s v="Not provided"/>
    <s v="ROCK-27"/>
    <s v="River Ridge Non Discharge"/>
    <s v="Nondisharge dry retention basin."/>
    <s v="100% On-site Retention"/>
    <x v="0"/>
    <x v="11"/>
    <n v="93.12"/>
    <n v="13.75"/>
    <x v="1"/>
    <n v="35.259830204997925"/>
    <s v="Not provided"/>
    <s v="Not provided"/>
    <s v="Not provided"/>
    <s v="Not provided"/>
    <s v="N/A"/>
    <s v="Structural"/>
    <n v="2016"/>
    <s v="North Indian River Lagoon"/>
    <s v="Not provided"/>
    <s v="Not provided"/>
    <s v="Not provided"/>
  </r>
  <r>
    <n v="3122"/>
    <s v="City of Rockledge"/>
    <s v="Not provided"/>
    <s v="ROCK-28"/>
    <s v="Southwest Gus Hipp Conveyance"/>
    <s v="Add BAM for denitrification to major canal in the city."/>
    <s v="BMP Treatment Train"/>
    <x v="1"/>
    <x v="5"/>
    <s v="TBD"/>
    <s v="TBD"/>
    <x v="1"/>
    <s v="TBD"/>
    <n v="17000"/>
    <s v="Not provided"/>
    <s v="Not provided"/>
    <s v="Not provided"/>
    <s v="N/A"/>
    <s v="Structural"/>
    <n v="2016"/>
    <s v="North Indian River Lagoon"/>
    <s v="Not provided"/>
    <s v="Not provided"/>
    <n v="2017"/>
  </r>
  <r>
    <n v="3121"/>
    <s v="City of Rockledge"/>
    <s v="Not provided"/>
    <s v="ROCK-29"/>
    <s v="Gus Hipp Pond"/>
    <s v="Conversion of borrow pit to a wet detention pond."/>
    <s v="Wet Detention Pond"/>
    <x v="3"/>
    <x v="3"/>
    <s v="TBD"/>
    <s v="TBD"/>
    <x v="1"/>
    <s v="TBD"/>
    <n v="335000"/>
    <s v="Not provided"/>
    <s v="Not provided"/>
    <s v="Not provided"/>
    <s v="N/A"/>
    <s v="Structural"/>
    <n v="2016"/>
    <s v="North Indian River Lagoon"/>
    <s v="Not provided"/>
    <s v="Not provided"/>
    <s v="TBD"/>
  </r>
  <r>
    <n v="3120"/>
    <s v="City of Rockledge"/>
    <s v="Not provided"/>
    <s v="ROCK-30"/>
    <s v="Public Works Pond 1"/>
    <s v="Enlarge current retention area."/>
    <s v="Dry Detention Pond"/>
    <x v="0"/>
    <x v="13"/>
    <s v="TBD"/>
    <n v="0.98"/>
    <x v="1"/>
    <n v="5.6879289296432489"/>
    <n v="5000"/>
    <n v="600"/>
    <s v="Not provided"/>
    <s v="Not provided"/>
    <s v="N/A"/>
    <s v="Structural"/>
    <n v="2016"/>
    <s v="North Indian River Lagoon"/>
    <s v="Not provided"/>
    <s v="Not provided"/>
    <n v="2017"/>
  </r>
  <r>
    <n v="3119"/>
    <s v="City of Rockledge"/>
    <s v="Not provided"/>
    <s v="ROCK-31"/>
    <s v="Public Works Pond 2"/>
    <s v="Enlarge current retention area."/>
    <s v="Dry Detention Pond"/>
    <x v="0"/>
    <x v="13"/>
    <n v="12.600000000000001"/>
    <n v="3.39"/>
    <x v="1"/>
    <n v="6.9616296387169498"/>
    <n v="10000"/>
    <n v="600"/>
    <s v="Not provided"/>
    <s v="Not provided"/>
    <s v="N/A"/>
    <s v="Structural"/>
    <n v="2016"/>
    <s v="North Indian River Lagoon"/>
    <s v="Not provided"/>
    <s v="Not provided"/>
    <n v="2018"/>
  </r>
  <r>
    <n v="3118"/>
    <s v="City of Rockledge"/>
    <s v="Not provided"/>
    <s v="ROCK-32"/>
    <s v="School Triangle Pond"/>
    <s v="Create dry detention pond on city-owned land."/>
    <s v="Dry Detention Pond"/>
    <x v="0"/>
    <x v="13"/>
    <s v="TBD"/>
    <s v="TBD"/>
    <x v="1"/>
    <n v="1.2199594036496"/>
    <n v="20300"/>
    <n v="1000"/>
    <s v="Not provided"/>
    <s v="Not provided"/>
    <s v="N/A"/>
    <s v="Structural"/>
    <n v="2016"/>
    <s v="North Indian River Lagoon"/>
    <s v="Not provided"/>
    <s v="Not provided"/>
    <n v="2018"/>
  </r>
  <r>
    <n v="3108"/>
    <s v="City of Rockledge"/>
    <s v="Not provided"/>
    <s v="ROCK-33"/>
    <s v="Barton Park Irrigation"/>
    <s v="Use wet pond (Barton Lake) for irrigation."/>
    <s v="Stormwater Reuse"/>
    <x v="3"/>
    <x v="3"/>
    <s v="TBD"/>
    <s v="TBD"/>
    <x v="1"/>
    <s v="TBD"/>
    <s v="TBD"/>
    <s v="TBD"/>
    <s v="TBD"/>
    <s v="TBD"/>
    <s v="N/A"/>
    <s v="Structural"/>
    <n v="2016"/>
    <s v="North Indian River Lagoon"/>
    <s v="TBD"/>
    <s v="TBD"/>
    <s v="TBD"/>
  </r>
  <r>
    <n v="3116"/>
    <s v="City of Rockledge"/>
    <s v="Not provided"/>
    <s v="ROCK-34"/>
    <s v="Winchester Cove Non Discharge"/>
    <s v="Nondisharge dry retention basin."/>
    <s v="100% On-site Retention"/>
    <x v="0"/>
    <x v="11"/>
    <s v="TBD"/>
    <n v="1.6"/>
    <x v="1"/>
    <n v="1.9"/>
    <s v="Not provided"/>
    <s v="Not provided"/>
    <s v="Not provided"/>
    <s v="Not provided"/>
    <s v="N/A"/>
    <s v="Structural"/>
    <n v="2016"/>
    <s v="North Indian River Lagoon"/>
    <s v="Not provided"/>
    <s v="Not provided"/>
    <s v="Not provided"/>
  </r>
  <r>
    <n v="4462"/>
    <s v="City of Rockledge"/>
    <s v="Not provided"/>
    <s v="ROCK-35"/>
    <s v="Florida Ave and Dixie Lane Swale"/>
    <s v="Grass swale with blocks or culverts."/>
    <s v="Grass swales with swale blocks or raised culverts"/>
    <x v="0"/>
    <x v="19"/>
    <n v="63.31"/>
    <n v="10.62"/>
    <x v="1"/>
    <n v="9.6"/>
    <n v="5000"/>
    <s v="Not provided"/>
    <s v="Not provided"/>
    <s v="Not provided"/>
    <s v="N/A"/>
    <s v="Structural"/>
    <n v="2018"/>
    <s v="North Indian River Lagoon"/>
    <s v="Not provided"/>
    <s v="Not provided"/>
    <s v="Not provided"/>
  </r>
  <r>
    <n v="5367"/>
    <s v="City of Rockledge"/>
    <s v="Not provided"/>
    <s v="ROCK-36"/>
    <s v="WWTP EQ Basin Nutrient Uptake"/>
    <s v="Modification of WWTP Process."/>
    <s v="WWTF Upgrade"/>
    <x v="3"/>
    <x v="3"/>
    <s v="TBD"/>
    <s v="TBD"/>
    <x v="1"/>
    <s v="TBD"/>
    <s v="Not provided"/>
    <s v="Not provided"/>
    <s v="Not provided"/>
    <s v="Not provided"/>
    <s v="N/A"/>
    <s v="Structural"/>
    <n v="2019"/>
    <s v="North Indian River Lagoon"/>
    <s v="Not provided"/>
    <s v="Not provided"/>
    <s v="Not provided"/>
  </r>
  <r>
    <n v="5368"/>
    <s v="City of Rockledge"/>
    <s v="Not provided"/>
    <s v="ROCK-37"/>
    <s v="WWTP Biosolids"/>
    <s v="Modification of WWTP Process."/>
    <s v="WWTF Upgrade"/>
    <x v="3"/>
    <x v="3"/>
    <s v="TBD"/>
    <s v="TBD"/>
    <x v="1"/>
    <s v="TBD"/>
    <s v="Not provided"/>
    <s v="Not provided"/>
    <s v="Not provided"/>
    <s v="Not provided"/>
    <s v="N/A"/>
    <s v="Structural"/>
    <n v="2019"/>
    <s v="North Indian River Lagoon"/>
    <s v="Not provided"/>
    <s v="Not provided"/>
    <s v="Not provided"/>
  </r>
  <r>
    <n v="5369"/>
    <s v="City of Rockledge"/>
    <s v="Not provided"/>
    <s v="ROCK-38"/>
    <s v="Rockled Indian River Dr"/>
    <s v="Septic to Sewer."/>
    <s v="Wastewater Service Area Expansion"/>
    <x v="3"/>
    <x v="3"/>
    <s v="TBD"/>
    <s v="TBD"/>
    <x v="1"/>
    <s v="TBD"/>
    <s v="Not provided"/>
    <s v="Not provided"/>
    <s v="Not provided"/>
    <s v="Not provided"/>
    <s v="N/A"/>
    <s v="Structural"/>
    <n v="2019"/>
    <s v="North Indian River Lagoon"/>
    <s v="Not provided"/>
    <s v="Not provided"/>
    <s v="Not provided"/>
  </r>
  <r>
    <n v="3054"/>
    <s v="City of Titusville"/>
    <s v="SOIRL"/>
    <s v="BC-83"/>
    <s v="Stormwater Project - NIRL - Titusville - St. Teresa Basin"/>
    <s v="SOIRL-19."/>
    <s v="Baffle Boxes- Second Generation"/>
    <x v="0"/>
    <x v="5"/>
    <s v="TBD"/>
    <s v="TBD"/>
    <x v="0"/>
    <n v="758.06047899999999"/>
    <n v="375250"/>
    <s v="Not provided"/>
    <s v="DEP TMDL"/>
    <s v="DEP TMDL - $272,800"/>
    <s v="N/A"/>
    <s v="Structural"/>
    <n v="2017"/>
    <s v="North Indian River Lagoon"/>
    <s v="Not provided"/>
    <s v="Not provided"/>
    <s v="TBD"/>
  </r>
  <r>
    <n v="3055"/>
    <s v="City of Titusville"/>
    <s v="SOIRL"/>
    <s v="BC-84"/>
    <s v="Stormwater Project - NIRL - Titusville - South St Basin"/>
    <s v="SOIRL-20."/>
    <s v="Baffle Boxes- Second Generation"/>
    <x v="0"/>
    <x v="5"/>
    <s v="TBD"/>
    <s v="TBD"/>
    <x v="0"/>
    <n v="202.25"/>
    <n v="475125"/>
    <s v="Not provided"/>
    <s v="DEP TMDL"/>
    <s v="DEP TMDL - $86,856"/>
    <s v="NF025"/>
    <s v="Structural"/>
    <n v="2017"/>
    <s v="North Indian River Lagoon"/>
    <s v="Not provided"/>
    <s v="Not provided"/>
    <s v="TBD"/>
  </r>
  <r>
    <n v="3056"/>
    <s v="City of Titusville"/>
    <s v="SOIRL"/>
    <s v="BC-85"/>
    <s v="Stormwater Project - NIRL - Titusville - La Paloma Basin"/>
    <s v="SOIRL-21."/>
    <s v="Baffle Boxes- Second Generation"/>
    <x v="0"/>
    <x v="5"/>
    <s v="TBD"/>
    <s v="TBD"/>
    <x v="0"/>
    <n v="554.79999999999995"/>
    <n v="375250"/>
    <s v="Not provided"/>
    <s v="DEP TMDL"/>
    <s v="DEP TMDL - $208,296"/>
    <s v="N/A"/>
    <s v="Structural"/>
    <n v="2017"/>
    <s v="North Indian River Lagoon"/>
    <s v="Not provided"/>
    <s v="Not provided"/>
    <s v="TBD"/>
  </r>
  <r>
    <n v="3046"/>
    <s v="City of Titusville"/>
    <s v="SOIRL"/>
    <s v="BC-89"/>
    <s v="Wastewater Treatment Facility Upgrade-NIRL-Titusville"/>
    <s v="SOIRL-02."/>
    <s v="WWTF Upgrade"/>
    <x v="3"/>
    <x v="15"/>
    <s v="TBD"/>
    <s v="N/A"/>
    <x v="0"/>
    <s v="Not provided"/>
    <n v="8000000"/>
    <s v="Not provided"/>
    <s v="SOIRL/ City"/>
    <n v="8000000"/>
    <s v="N/A"/>
    <s v="Structural"/>
    <n v="2017"/>
    <s v="North Indian River Lagoon"/>
    <s v="Not provided"/>
    <s v="Not provided"/>
    <s v="TBD"/>
  </r>
  <r>
    <n v="5370"/>
    <s v="City of Titusville"/>
    <s v="SOIRL"/>
    <s v="BC-99"/>
    <s v="Coleman Pond MAPS"/>
    <s v="Installation of floating islands within a 1 acre City owned pond located within the Chain of Lakes basin."/>
    <s v="Floating Islands/ Managed Aquatic Plant Systems (MAPS)"/>
    <x v="0"/>
    <x v="5"/>
    <s v="TBD"/>
    <s v="TBD"/>
    <x v="0"/>
    <n v="750"/>
    <n v="35000"/>
    <s v="Not provided"/>
    <s v="SOIRL"/>
    <s v="SOIRL - $11,437.5"/>
    <s v="N/A"/>
    <s v="Structural"/>
    <n v="2019"/>
    <m/>
    <m/>
    <m/>
    <m/>
  </r>
  <r>
    <n v="3124"/>
    <s v="City of Titusville"/>
    <s v="Brevard County"/>
    <s v="TV-01"/>
    <s v="Area 1 Stormwater Improvements"/>
    <s v="Upsize existing storm pipes and enclose the Florida Ditch; water directed to TV-02."/>
    <s v="Wet Detention Pond"/>
    <x v="0"/>
    <x v="1"/>
    <n v="1019"/>
    <n v="411.8"/>
    <x v="0"/>
    <n v="432.2"/>
    <n v="2151510"/>
    <n v="4797"/>
    <s v="City/ Brevard County"/>
    <s v="City - $1,410,072/ County - $470,000"/>
    <s v="N/A"/>
    <s v="Structural"/>
    <n v="2013"/>
    <s v="North Indian River Lagoon"/>
    <n v="28.630269999999999"/>
    <n v="-80.82611"/>
    <n v="2010"/>
  </r>
  <r>
    <n v="3114"/>
    <s v="City of Titusville"/>
    <s v="Brevard County/ Parrish Medical Center (PMC)/ Brevard Community College (BCC)/ SJRWMD"/>
    <s v="TV-02"/>
    <s v="Chain of Lakes Regional Stormwater Pond"/>
    <s v="Construction of a regional park featuring wetlands, treatment ponds, and recreational features."/>
    <s v="Regional Stormwater Treatment"/>
    <x v="0"/>
    <x v="1"/>
    <n v="360"/>
    <n v="159.6"/>
    <x v="0"/>
    <n v="339.8"/>
    <n v="3521489"/>
    <n v="15620"/>
    <s v="City/ Brevard County/ SJRWMD/ PMC/ BCC"/>
    <s v="City - $1,210,013/ County - $1,910,709/ SJRWMD - $577,145/ PMC - $350,000/ BCC - $217,500"/>
    <s v="N/A"/>
    <s v="Structural"/>
    <n v="2013"/>
    <s v="North Indian River Lagoon"/>
    <n v="28.640830000000001"/>
    <n v="-80.822770000000006"/>
    <n v="2002"/>
  </r>
  <r>
    <n v="3113"/>
    <s v="City of Titusville"/>
    <s v="DEP/ SJRWMD"/>
    <s v="TV-03"/>
    <s v="Draa Field Stormwater Park"/>
    <s v="Water quality treatment for Area 2 drainage basin."/>
    <s v="Wet Detention Pond"/>
    <x v="0"/>
    <x v="18"/>
    <n v="771"/>
    <n v="312"/>
    <x v="0"/>
    <n v="105.074653"/>
    <n v="1810000"/>
    <n v="15000"/>
    <s v="DEP/ SJRWMD/ Florida Legislature/ City"/>
    <s v="DEP - $388,825/ SJRWMD - $366,000/ Florida Legislature - $800,000/ City - $255,000"/>
    <s v="G0416"/>
    <s v="Structural"/>
    <n v="2013"/>
    <s v="North Indian River Lagoon"/>
    <n v="28.61861"/>
    <n v="-80.820549999999997"/>
    <n v="2015"/>
  </r>
  <r>
    <n v="3112"/>
    <s v="City of Titusville"/>
    <s v="DEP/ SJRWMD"/>
    <s v="TV-04"/>
    <s v="St. Johns Basin Stormwater Improvements"/>
    <s v="Construction of a 3. 5-acre wet detention pond to treat runoff from mixed use lands prior to discharge to the lagoon."/>
    <s v="Wet Detention Pond"/>
    <x v="0"/>
    <x v="0"/>
    <n v="317"/>
    <n v="1155.9000000000001"/>
    <x v="0"/>
    <n v="882.1"/>
    <n v="2024000"/>
    <n v="8000"/>
    <s v="DEP/ Brevard County/ City"/>
    <s v="DEP - $681,563/ County - $141,655/ City - $1,314,625"/>
    <s v="S0338"/>
    <s v="Structural"/>
    <n v="2013"/>
    <s v="North Indian River Lagoon"/>
    <n v="28.603767000000001"/>
    <n v="-80.822007999999997"/>
    <n v="2012"/>
  </r>
  <r>
    <n v="3111"/>
    <s v="City of Titusville"/>
    <s v="DEP/ SJRWMD"/>
    <s v="TV-05"/>
    <s v="St. Johns Basin Stormwater Improvements"/>
    <s v="Installation of a baffle box downstream of the pond to treat runoff from mixed use lands prior to discharge to the lagoon."/>
    <s v="Baffle Boxes- Second Generation"/>
    <x v="0"/>
    <x v="22"/>
    <n v="1510"/>
    <n v="215.9"/>
    <x v="0"/>
    <n v="882.1"/>
    <n v="167343"/>
    <n v="8000"/>
    <s v="DEP/ City"/>
    <s v="DEP - $100,000/ City - $67,343"/>
    <s v="S0338"/>
    <s v="Structural"/>
    <n v="2013"/>
    <s v="North Indian River Lagoon"/>
    <n v="28.60388"/>
    <n v="-80.80583"/>
    <n v="2011"/>
  </r>
  <r>
    <n v="3110"/>
    <s v="City of Titusville"/>
    <s v="DEP/ SJRWMD/ FCT/ Florida Recreation Development Assistance Program (FRDAP)/ FDOT"/>
    <s v="TV-06"/>
    <s v="Spaceview Park"/>
    <s v="Alum treatment."/>
    <s v="Alum Injection Systems"/>
    <x v="0"/>
    <x v="23"/>
    <n v="1153"/>
    <n v="377.9"/>
    <x v="0"/>
    <n v="110.6"/>
    <n v="2727394"/>
    <n v="15000"/>
    <s v="DEP/ SJRWMD/ FCT/ FRDAP/ FDOT/ City"/>
    <s v="DEP - $981,151/ SJRWMD - $83,600/ FCT - $228,375/ FRDAP - $103,956/ FDOT - $72,195/ City - $1,258,116"/>
    <s v="G0053"/>
    <s v="Structural"/>
    <n v="2013"/>
    <s v="North Indian River Lagoon"/>
    <n v="28.614159999999998"/>
    <n v="-80.806380000000004"/>
    <n v="2006"/>
  </r>
  <r>
    <n v="3109"/>
    <s v="City of Titusville"/>
    <s v="N/A"/>
    <s v="TV-07"/>
    <s v="Education Efforts"/>
    <s v="Irrigation, fertilizer, pet waste management, and landscaping ordinances; pamphlets, presentations, website, Illicit Discharge Program."/>
    <s v="Education Efforts"/>
    <x v="0"/>
    <x v="2"/>
    <n v="1522"/>
    <n v="292"/>
    <x v="0"/>
    <s v="N/A"/>
    <s v="N/A"/>
    <n v="5000"/>
    <s v="City"/>
    <s v="N/A"/>
    <s v="N/A"/>
    <s v="Non-structural"/>
    <n v="2013"/>
    <s v="North Indian River Lagoon"/>
    <s v="N/A"/>
    <s v="N/A"/>
    <n v="2013"/>
  </r>
  <r>
    <n v="3132"/>
    <s v="City of Titusville"/>
    <s v="N/A"/>
    <s v="TV-08"/>
    <s v="Street Sweeping"/>
    <s v="Approximately 2,006,375 lbs. of debris were removed in North A during the reporting period."/>
    <s v="Street Sweeping"/>
    <x v="0"/>
    <x v="2"/>
    <n v="1130"/>
    <n v="724"/>
    <x v="0"/>
    <s v="N/A"/>
    <n v="188120"/>
    <n v="63106"/>
    <s v="City"/>
    <s v="Not provided"/>
    <s v="N/A"/>
    <s v="Non-structural"/>
    <n v="2013"/>
    <s v="North Indian River Lagoon"/>
    <s v="N/A"/>
    <s v="N/A"/>
    <n v="2013"/>
  </r>
  <r>
    <n v="3134"/>
    <s v="City of Titusville"/>
    <s v="N/A"/>
    <s v="TV-09"/>
    <s v="Education Efforts"/>
    <s v="Irrigation, fertilizer, pet waste management, and landscaping ordinances; pamphlets, presentations, website, illicit discharge program."/>
    <s v="Education Efforts"/>
    <x v="0"/>
    <x v="2"/>
    <n v="56"/>
    <n v="5.8"/>
    <x v="1"/>
    <s v="N/A"/>
    <s v="N/A"/>
    <n v="5000"/>
    <s v="City"/>
    <s v="N/A"/>
    <s v="N/A"/>
    <s v="Non-structural"/>
    <n v="2013"/>
    <s v="North Indian River Lagoon"/>
    <s v="N/A"/>
    <s v="N/A"/>
    <n v="2013"/>
  </r>
  <r>
    <n v="3117"/>
    <s v="City of Titusville"/>
    <s v="N/A"/>
    <s v="TV-10"/>
    <s v="Street Sweeping"/>
    <s v="Approximately 205,725 lbs of debris removed from North B during the reporting period."/>
    <s v="Street Sweeping"/>
    <x v="0"/>
    <x v="2"/>
    <n v="116"/>
    <n v="74"/>
    <x v="1"/>
    <s v="N/A"/>
    <n v="188120"/>
    <n v="63106"/>
    <s v="City"/>
    <s v="Not provided"/>
    <s v="N/A"/>
    <s v="Non-structural"/>
    <n v="2013"/>
    <s v="North Indian River Lagoon"/>
    <s v="N/A"/>
    <s v="N/A"/>
    <n v="2013"/>
  </r>
  <r>
    <n v="3140"/>
    <s v="City of Titusville"/>
    <s v="N/A"/>
    <s v="TV-11"/>
    <s v="Senior Center Pond Floating Islands"/>
    <s v="Floating islands within a wet detention pond."/>
    <s v="Floating Islands/ Managed Aquatic Plant Systems (MAPS)"/>
    <x v="0"/>
    <x v="11"/>
    <n v="719.41"/>
    <n v="87.08"/>
    <x v="0"/>
    <n v="624"/>
    <n v="52536"/>
    <n v="43720"/>
    <s v="City"/>
    <s v="City - $52,536"/>
    <s v="N/A"/>
    <s v="Structural"/>
    <n v="2016"/>
    <s v="North Indian River Lagoon"/>
    <n v="28.603767000000001"/>
    <n v="-80.822007999999997"/>
    <n v="2015"/>
  </r>
  <r>
    <n v="3139"/>
    <s v="City of Titusville"/>
    <s v="DEP"/>
    <s v="TV-12"/>
    <s v="Senior Center Ponds Littoral Zone Plantings"/>
    <s v="Littoral vegetation plantings around an already existing wet detention pond."/>
    <s v="BMP Treatment Train"/>
    <x v="0"/>
    <x v="18"/>
    <n v="189.4"/>
    <n v="90.1"/>
    <x v="0"/>
    <n v="413.6"/>
    <n v="50000"/>
    <n v="2000"/>
    <s v="DEP/ City"/>
    <s v="DEP - $21,144/ City - $14,721"/>
    <s v="G0433"/>
    <s v="Structural"/>
    <n v="2016"/>
    <s v="North Indian River Lagoon"/>
    <n v="28.603767000000001"/>
    <n v="-80.822007999999997"/>
    <n v="2016"/>
  </r>
  <r>
    <n v="3138"/>
    <s v="City of Titusville"/>
    <s v="DEP"/>
    <s v="TV-13"/>
    <s v="Royal Oak Littoral Zone Plantings"/>
    <s v="Littoral vegetation plantings around an already existing wet detention pond."/>
    <s v="BMP Treatment Train"/>
    <x v="0"/>
    <x v="18"/>
    <n v="79.099999999999994"/>
    <n v="18.8"/>
    <x v="0"/>
    <n v="123.1"/>
    <n v="50000"/>
    <n v="2000"/>
    <s v="DEP/ City"/>
    <s v="DEP - $21,144/ City - $14,721"/>
    <s v="G0433"/>
    <s v="Structural"/>
    <n v="2016"/>
    <s v="North Indian River Lagoon"/>
    <n v="28.582839"/>
    <n v="-80.827464000000006"/>
    <n v="2016"/>
  </r>
  <r>
    <n v="3137"/>
    <s v="City of Titusville"/>
    <s v="DEP"/>
    <s v="TV-14"/>
    <s v="Main Street Baffle Box with BAM"/>
    <s v="2nd generation baffle box with media."/>
    <s v="Baffle Boxes- Second Generation with Media"/>
    <x v="0"/>
    <x v="19"/>
    <n v="876"/>
    <n v="136"/>
    <x v="0"/>
    <n v="295.95999999999998"/>
    <n v="393363"/>
    <n v="4000"/>
    <s v="DEP/ City"/>
    <s v="DEP - $176,376/ City - $216,987"/>
    <s v="G0442"/>
    <s v="Structural"/>
    <n v="2016"/>
    <s v="North Indian River Lagoon"/>
    <n v="28.612628000000001"/>
    <n v="-80.805674999999994"/>
    <n v="2017"/>
  </r>
  <r>
    <n v="3136"/>
    <s v="City of Titusville"/>
    <s v="DEP"/>
    <s v="TV-15"/>
    <s v="Sycamore Street Baffle Box with BAM"/>
    <s v="2nd generation baffle box with media."/>
    <s v="Baffle Boxes- Second Generation with Media"/>
    <x v="0"/>
    <x v="19"/>
    <n v="686"/>
    <n v="102"/>
    <x v="0"/>
    <n v="300.07"/>
    <n v="570517.72"/>
    <n v="4000"/>
    <s v="DEP/ City"/>
    <s v="DEP - $176,376/ City - $394,142"/>
    <s v="G0442"/>
    <s v="Structural"/>
    <n v="2016"/>
    <s v="North Indian River Lagoon"/>
    <n v="28.596596999999999"/>
    <n v="-80.806866999999997"/>
    <n v="2017"/>
  </r>
  <r>
    <n v="3135"/>
    <s v="City of Titusville"/>
    <s v="N/A"/>
    <s v="TV-16"/>
    <s v="Knox Mc Rae Baffle Box"/>
    <s v="2nd generation baffle box with media."/>
    <s v="Baffle Boxes- Second Generation with Media"/>
    <x v="0"/>
    <x v="19"/>
    <n v="173"/>
    <n v="27"/>
    <x v="0"/>
    <n v="37.9"/>
    <n v="225000"/>
    <n v="4000"/>
    <s v="Florida Legislature/ City"/>
    <s v="Florida Legislature - $105,000/ City - $120,000"/>
    <s v="LP05031"/>
    <s v="Structural"/>
    <n v="2016"/>
    <s v="North Indian River Lagoon"/>
    <n v="28.564522"/>
    <n v="-80.798227999999995"/>
    <n v="2017"/>
  </r>
  <r>
    <n v="3125"/>
    <s v="City of Titusville"/>
    <s v="TBD"/>
    <s v="TV-17"/>
    <s v="Coleman Basin TMDL Improvements"/>
    <s v="Managed aquatic plant system within a one acre pond."/>
    <s v="Floating Islands/ Managed Aquatic Plant Systems (MAPS)"/>
    <x v="0"/>
    <x v="5"/>
    <s v="TBD"/>
    <s v="TBD"/>
    <x v="0"/>
    <n v="107"/>
    <n v="11437.5"/>
    <n v="12000"/>
    <s v="County"/>
    <s v="County - $11,438"/>
    <s v="N/A"/>
    <s v="Structural"/>
    <n v="2016"/>
    <s v="North Indian River Lagoon"/>
    <n v="28.630269999999999"/>
    <n v="-80.82611"/>
    <s v="TBD"/>
  </r>
  <r>
    <n v="3133"/>
    <s v="City of Titusville"/>
    <s v="SJRWMD/ Brevard County"/>
    <s v="TV-18"/>
    <s v="South Street Basin TMDL Improvements"/>
    <s v="Three 2nd generation baffle boxes with media."/>
    <s v="Baffle Boxes- Second Generation with Media"/>
    <x v="0"/>
    <x v="5"/>
    <s v="TBD"/>
    <s v="TBD"/>
    <x v="0"/>
    <n v="235"/>
    <n v="450000"/>
    <n v="12000"/>
    <s v="City/ SJRWMD/ County"/>
    <s v="City - $254,144/ SJRWMD - $110,000/ County - $86,856"/>
    <s v="N/A"/>
    <s v="Structural"/>
    <n v="2016"/>
    <s v="North Indian River Lagoon"/>
    <n v="28.607769999999999"/>
    <n v="-80.806110000000004"/>
    <n v="2018"/>
  </r>
  <r>
    <n v="3142"/>
    <s v="City of Titusville"/>
    <s v="Brevard County"/>
    <s v="TV-19"/>
    <s v="St. Theresa Basin TMDL Improvements"/>
    <s v="2nd generation baffle box with media."/>
    <s v="Baffle Boxes- Second Generation with Media"/>
    <x v="0"/>
    <x v="5"/>
    <s v="TBD"/>
    <s v="TBD"/>
    <x v="0"/>
    <n v="314"/>
    <n v="375000"/>
    <n v="4000"/>
    <s v="City/ County"/>
    <s v="City - $102,200/ County - $272,800"/>
    <s v="N/A"/>
    <s v="Structural"/>
    <n v="2016"/>
    <s v="North Indian River Lagoon"/>
    <n v="28.580269999999999"/>
    <n v="-80.800550000000001"/>
    <n v="2018"/>
  </r>
  <r>
    <n v="3131"/>
    <s v="City of Titusville"/>
    <s v="Brevard County"/>
    <s v="TV-20"/>
    <s v="La Paloma Basin TMDL Improvements"/>
    <s v="2nd generation baffle box with media."/>
    <s v="Baffle Boxes- Second Generation with Media"/>
    <x v="0"/>
    <x v="5"/>
    <s v="TBD"/>
    <s v="TBD"/>
    <x v="0"/>
    <n v="488"/>
    <n v="375000"/>
    <n v="4000"/>
    <s v="City/ County"/>
    <s v="City - $166,704/ County - $208,296"/>
    <s v="N/A"/>
    <s v="Structural"/>
    <n v="2016"/>
    <s v="North Indian River Lagoon"/>
    <n v="28.570830000000001"/>
    <n v="-80.801109999999994"/>
    <n v="2018"/>
  </r>
  <r>
    <n v="3130"/>
    <s v="City of Titusville"/>
    <s v="TBD"/>
    <s v="TV-21"/>
    <s v="THS Basin TMDL Improvements"/>
    <s v="Future project."/>
    <s v="Baffle Boxes- Second Generation with Media"/>
    <x v="3"/>
    <x v="12"/>
    <s v="TBD"/>
    <s v="TBD"/>
    <x v="0"/>
    <n v="239.65"/>
    <s v="TBD"/>
    <s v="TBD"/>
    <s v="TBD"/>
    <s v="TBD"/>
    <s v="N/A"/>
    <s v="Structural"/>
    <n v="2016"/>
    <s v="North Indian River Lagoon"/>
    <n v="28.593330000000002"/>
    <n v="-80.803610000000006"/>
    <s v="TBD"/>
  </r>
  <r>
    <n v="3129"/>
    <s v="City of Titusville"/>
    <s v="TBD"/>
    <s v="TV-22"/>
    <s v="Brevard Street Basin TMDL Improvements"/>
    <s v="Future project."/>
    <s v="BMP Treatment Train"/>
    <x v="3"/>
    <x v="3"/>
    <s v="TBD"/>
    <s v="TBD"/>
    <x v="0"/>
    <n v="17.71"/>
    <s v="TBD"/>
    <s v="TBD"/>
    <s v="TBD"/>
    <s v="TBD"/>
    <s v="N/A"/>
    <s v="Structural"/>
    <n v="2016"/>
    <s v="North Indian River Lagoon"/>
    <s v="TBD"/>
    <s v="TBD"/>
    <s v="TBD"/>
  </r>
  <r>
    <n v="3128"/>
    <s v="City of Titusville"/>
    <s v="TBD"/>
    <s v="TV-23"/>
    <s v="St. Johns 2nd Baffle Box TMDL Improvements"/>
    <s v="Future project."/>
    <s v="BMP Treatment Train"/>
    <x v="3"/>
    <x v="3"/>
    <s v="TBD"/>
    <s v="TBD"/>
    <x v="0"/>
    <n v="882.1"/>
    <s v="TBD"/>
    <s v="TBD"/>
    <s v="TBD"/>
    <s v="TBD"/>
    <s v="N/A"/>
    <s v="Structural"/>
    <n v="2016"/>
    <s v="North Indian River Lagoon"/>
    <s v="TBD"/>
    <s v="TBD"/>
    <s v="TBD"/>
  </r>
  <r>
    <n v="3127"/>
    <s v="City of Titusville"/>
    <s v="Brevard County"/>
    <s v="TV-24"/>
    <s v="Marina Basin TMDL Improvements - Osprey Pond MAPS"/>
    <s v="Future project."/>
    <s v="Floating Islands/ Managed Aquatic Plant Systems (MAPS)"/>
    <x v="3"/>
    <x v="3"/>
    <s v="TBD"/>
    <s v="TBD"/>
    <x v="0"/>
    <n v="271.17"/>
    <n v="60000"/>
    <n v="30000"/>
    <s v="County"/>
    <s v="County - $60,000"/>
    <s v="N/A"/>
    <s v="Structural"/>
    <n v="2016"/>
    <s v="North Indian River Lagoon"/>
    <n v="28.622769999999999"/>
    <n v="-80.814719999999994"/>
    <s v="TBD"/>
  </r>
  <r>
    <n v="3100"/>
    <s v="City of Titusville"/>
    <s v="TBD"/>
    <s v="TV-25"/>
    <s v="Grace Basin TMDL Improvements"/>
    <s v="Future project."/>
    <s v="BMP Treatment Train"/>
    <x v="3"/>
    <x v="3"/>
    <s v="TBD"/>
    <s v="TBD"/>
    <x v="0"/>
    <n v="17.73"/>
    <s v="TBD"/>
    <s v="TBD"/>
    <s v="TBD"/>
    <s v="TBD"/>
    <s v="N/A"/>
    <s v="Structural"/>
    <n v="2016"/>
    <s v="North Indian River Lagoon"/>
    <s v="TBD"/>
    <s v="TBD"/>
    <s v="TBD"/>
  </r>
  <r>
    <n v="3141"/>
    <s v="City of Titusville"/>
    <s v="Private Development"/>
    <s v="TV-26"/>
    <s v="Miracle City Basin TMDL Improvements"/>
    <s v="2nd generation baffle box."/>
    <s v="Baffle Boxes- Second Generation"/>
    <x v="0"/>
    <x v="19"/>
    <s v="TBD"/>
    <s v="TBD"/>
    <x v="0"/>
    <n v="2.448"/>
    <s v="TBD"/>
    <n v="4000"/>
    <s v="Private Development"/>
    <s v="TBD"/>
    <s v="N/A"/>
    <s v="Structural"/>
    <n v="2016"/>
    <s v="North Indian River Lagoon"/>
    <n v="28.586196999999999"/>
    <n v="-80.805989999999994"/>
    <n v="2017"/>
  </r>
  <r>
    <n v="3115"/>
    <s v="City of Titusville"/>
    <s v="TBD"/>
    <s v="TV-27"/>
    <s v="South Marina Basin TMDL Improvements"/>
    <s v="Future project."/>
    <s v="BMP Treatment Train"/>
    <x v="3"/>
    <x v="3"/>
    <s v="TBD"/>
    <s v="TBD"/>
    <x v="0"/>
    <n v="322.88"/>
    <s v="TBD"/>
    <s v="TBD"/>
    <s v="TBD"/>
    <s v="TBD"/>
    <s v="N/A"/>
    <s v="Structural"/>
    <n v="2016"/>
    <s v="North Indian River Lagoon"/>
    <s v="TBD"/>
    <s v="TBD"/>
    <s v="TBD"/>
  </r>
  <r>
    <n v="3089"/>
    <s v="City of Titusville"/>
    <s v="TBD"/>
    <s v="TV-28"/>
    <s v="S.R. 50 Basin TMDL Improvements"/>
    <s v="Future project."/>
    <s v="BMP Treatment Train"/>
    <x v="3"/>
    <x v="3"/>
    <s v="TBD"/>
    <s v="TBD"/>
    <x v="0"/>
    <n v="131.09"/>
    <s v="TBD"/>
    <s v="TBD"/>
    <s v="TBD"/>
    <s v="TBD"/>
    <s v="N/A"/>
    <s v="Structural"/>
    <n v="2016"/>
    <s v="North Indian River Lagoon"/>
    <s v="TBD"/>
    <s v="TBD"/>
    <s v="TBD"/>
  </r>
  <r>
    <n v="3088"/>
    <s v="City of Titusville"/>
    <s v="TBD"/>
    <s v="TV-29"/>
    <s v="Commons Basin TMDL Improvements"/>
    <s v="Future project."/>
    <s v="BMP Treatment Train"/>
    <x v="3"/>
    <x v="3"/>
    <s v="TBD"/>
    <s v="TBD"/>
    <x v="0"/>
    <n v="4.37"/>
    <s v="TBD"/>
    <s v="TBD"/>
    <s v="TBD"/>
    <s v="TBD"/>
    <s v="N/A"/>
    <s v="Structural"/>
    <n v="2016"/>
    <s v="North Indian River Lagoon"/>
    <s v="TBD"/>
    <s v="TBD"/>
    <s v="TBD"/>
  </r>
  <r>
    <n v="3087"/>
    <s v="City of Titusville"/>
    <s v="TBD"/>
    <s v="TV-30"/>
    <s v="Broad Street Basin TMDL Improvements"/>
    <s v="Future project."/>
    <s v="BMP Treatment Train"/>
    <x v="3"/>
    <x v="3"/>
    <s v="TBD"/>
    <s v="TBD"/>
    <x v="0"/>
    <n v="13.44"/>
    <s v="TBD"/>
    <s v="TBD"/>
    <s v="TBD"/>
    <s v="TBD"/>
    <s v="N/A"/>
    <s v="Structural"/>
    <n v="2016"/>
    <s v="North Indian River Lagoon"/>
    <s v="TBD"/>
    <s v="TBD"/>
    <s v="TBD"/>
  </r>
  <r>
    <n v="3086"/>
    <s v="City of Titusville"/>
    <s v="TBD"/>
    <s v="TV-31"/>
    <s v="Riverview Street Basin TMDL Improvements"/>
    <s v="Future project."/>
    <s v="BMP Treatment Train"/>
    <x v="3"/>
    <x v="3"/>
    <s v="TBD"/>
    <s v="TBD"/>
    <x v="0"/>
    <n v="7.32"/>
    <s v="TBD"/>
    <s v="TBD"/>
    <s v="TBD"/>
    <s v="TBD"/>
    <s v="N/A"/>
    <s v="Structural"/>
    <n v="2016"/>
    <s v="North Indian River Lagoon"/>
    <s v="TBD"/>
    <s v="TBD"/>
    <s v="TBD"/>
  </r>
  <r>
    <n v="3085"/>
    <s v="City of Titusville"/>
    <s v="TBD"/>
    <s v="TV-32"/>
    <s v="THS 2 Basin TMDL Improvements"/>
    <s v="Future project."/>
    <s v="BMP Treatment Train"/>
    <x v="3"/>
    <x v="3"/>
    <s v="TBD"/>
    <s v="TBD"/>
    <x v="0"/>
    <n v="26.54"/>
    <s v="TBD"/>
    <s v="TBD"/>
    <s v="TBD"/>
    <s v="TBD"/>
    <s v="N/A"/>
    <s v="Structural"/>
    <n v="2016"/>
    <s v="North Indian River Lagoon"/>
    <s v="TBD"/>
    <s v="TBD"/>
    <s v="TBD"/>
  </r>
  <r>
    <n v="3084"/>
    <s v="City of Titusville"/>
    <s v="Brevard County"/>
    <s v="TV-33"/>
    <s v="Osprey Water Reclamation Nutrient Removal Upgrade"/>
    <s v="Nitrogen effluent reduction of reclaimed water from 17.9 mg/l to 6 mg/l."/>
    <s v="WWTF Nutrient Reduction"/>
    <x v="3"/>
    <x v="15"/>
    <s v="TBD"/>
    <s v="TBD"/>
    <x v="0"/>
    <s v="N/A"/>
    <n v="8000000"/>
    <s v="TBD"/>
    <s v="City/ County"/>
    <s v="TBD"/>
    <s v="N/A"/>
    <s v="Structural"/>
    <n v="2017"/>
    <s v="North Indian River Lagoon"/>
    <n v="28.62416"/>
    <n v="80.816109999999995"/>
    <n v="2019"/>
  </r>
  <r>
    <n v="5371"/>
    <s v="City of Titusville"/>
    <s v="Brevard County"/>
    <s v="TV-34"/>
    <s v="Draa Field Pond MAPS"/>
    <s v="Managed aquatic plant system within a 3 acre pond."/>
    <s v="Floating Islands/ Managed Aquatic Plant Systems (MAPS)"/>
    <x v="3"/>
    <x v="12"/>
    <s v="TBD"/>
    <s v="TBD"/>
    <x v="0"/>
    <n v="105"/>
    <n v="60000"/>
    <n v="40000"/>
    <s v="City/ Brevard County"/>
    <s v="City - $28,719 / County - $31,281"/>
    <s v="N/A"/>
    <s v="Structural"/>
    <n v="2019"/>
    <s v="North Indian River Lagoon"/>
    <n v="28.61861"/>
    <n v="-80.820549999999997"/>
    <s v="N/A"/>
  </r>
  <r>
    <n v="5372"/>
    <s v="City of Titusville"/>
    <s v="Brevard County"/>
    <s v="TV-35"/>
    <s v="Draa Field Vegetation Harvesting"/>
    <s v="Aquatic vegetation harvesting of a 3 acre pond."/>
    <s v="Aquatic Vegetation Harvesting"/>
    <x v="3"/>
    <x v="12"/>
    <s v="TBD"/>
    <s v="TBD"/>
    <x v="0"/>
    <n v="3"/>
    <n v="50000"/>
    <n v="0"/>
    <s v="City/ Brevard County"/>
    <s v="TBD"/>
    <s v="N/A"/>
    <s v="Non-structural"/>
    <n v="2019"/>
    <s v="North Indian River Lagoon"/>
    <n v="28.61861"/>
    <n v="-80.820549999999997"/>
    <s v="N/A"/>
  </r>
  <r>
    <n v="3032"/>
    <s v="FDACS"/>
    <s v="N/A"/>
    <s v="AG-01"/>
    <s v="Credit for Changes in Land Use"/>
    <s v="Credit for changes in land use."/>
    <s v="Land Use Change"/>
    <x v="0"/>
    <x v="2"/>
    <n v="5047"/>
    <n v="1420.3"/>
    <x v="0"/>
    <s v="N/A"/>
    <s v="N/A"/>
    <s v="N/A"/>
    <s v="N/A"/>
    <s v="N/A"/>
    <s v="N/A"/>
    <s v="Non-structural"/>
    <n v="2013"/>
    <s v="North Indian River Lagoon"/>
    <s v="N/A"/>
    <s v="N/A"/>
    <s v="Not provided"/>
  </r>
  <r>
    <n v="3030"/>
    <s v="FDACS"/>
    <s v="N/A"/>
    <s v="AG-02"/>
    <s v="Credit for Changes in Land Use"/>
    <s v="Credit for changes in land use."/>
    <s v="Land Use Change"/>
    <x v="0"/>
    <x v="2"/>
    <n v="4739"/>
    <n v="1029.4000000000001"/>
    <x v="1"/>
    <s v="N/A"/>
    <s v="N/A"/>
    <s v="N/A"/>
    <s v="N/A"/>
    <s v="N/A"/>
    <s v="N/A"/>
    <s v="Non-structural"/>
    <n v="2013"/>
    <s v="North Indian River Lagoon"/>
    <s v="N/A"/>
    <s v="N/A"/>
    <s v="Not provided"/>
  </r>
  <r>
    <n v="4837"/>
    <s v="FDACS"/>
    <s v="Agricultural Producers"/>
    <s v="AG-03"/>
    <s v="BMP Implementation and Verification"/>
    <s v="Enrollment and verification of BMPs by agricultural producers. Acres treated based on FDACS OAWP December 2019 Enrollment and FSAID VI."/>
    <s v="Agricultural BMPs"/>
    <x v="0"/>
    <x v="2"/>
    <s v="N/A"/>
    <s v="N/A"/>
    <x v="0"/>
    <n v="212.4498796826222"/>
    <s v="TBD"/>
    <s v="TBD"/>
    <s v="FDACS"/>
    <s v="TBD"/>
    <s v="N/A"/>
    <s v="Non-structural"/>
    <n v="2018"/>
    <s v="North Indian River Lagoon"/>
    <s v="N/A"/>
    <s v="N/A"/>
    <s v="N/A"/>
  </r>
  <r>
    <n v="4838"/>
    <s v="FDACS"/>
    <s v="Agricultural Producers"/>
    <s v="AG-04"/>
    <s v="BMP Implementation and Verification"/>
    <s v="Enrollment and verification of BMPs by agricultural producers. Acres treated based on FDACS OAWP December 2019 Enrollment and FSAID VI."/>
    <s v="Agricultural BMPs"/>
    <x v="0"/>
    <x v="2"/>
    <s v="N/A"/>
    <s v="N/A"/>
    <x v="1"/>
    <n v="67.796502288520003"/>
    <s v="TBD"/>
    <s v="TBD"/>
    <s v="FDACS"/>
    <s v="TBD"/>
    <s v="N/A"/>
    <s v="Non-structural"/>
    <n v="2019"/>
    <s v="North Indian River Lagoon"/>
    <s v="N/A"/>
    <s v="N/A"/>
    <s v="N/A"/>
  </r>
  <r>
    <n v="3074"/>
    <s v="FDOT District 5"/>
    <s v="N/A"/>
    <s v="FDOT-01"/>
    <s v="Education Efforts"/>
    <s v="IDDE training, brochures, and NDPES flyer."/>
    <s v="Education Efforts"/>
    <x v="0"/>
    <x v="2"/>
    <n v="39"/>
    <n v="11.3"/>
    <x v="0"/>
    <s v="N/A"/>
    <s v="Not provided"/>
    <s v="Not provided"/>
    <s v="Florida Legislature"/>
    <s v="Not provided"/>
    <s v="N/A"/>
    <s v="Non-structural"/>
    <n v="2013"/>
    <s v="North Indian River Lagoon"/>
    <s v="N/A"/>
    <s v="N/A"/>
    <n v="2004"/>
  </r>
  <r>
    <n v="3082"/>
    <s v="FDOT District 5"/>
    <s v="N/A"/>
    <s v="FDOT-02"/>
    <s v="Street Sweeping"/>
    <s v="Not provided."/>
    <s v="Street Sweeping"/>
    <x v="0"/>
    <x v="2"/>
    <n v="185"/>
    <n v="119"/>
    <x v="0"/>
    <s v="N/A"/>
    <s v="Not provided"/>
    <s v="Not provided"/>
    <s v="Florida Legislature"/>
    <s v="Not provided"/>
    <s v="N/A"/>
    <s v="Non-structural"/>
    <n v="2013"/>
    <s v="North Indian River Lagoon"/>
    <s v="N/A"/>
    <s v="N/A"/>
    <n v="2013"/>
  </r>
  <r>
    <n v="3090"/>
    <s v="FDOT District 5"/>
    <s v="N/A"/>
    <s v="FDOT-03"/>
    <s v="Fertilizer Cessation"/>
    <s v="Elimination of fertilizer use along the rights-of-way."/>
    <s v="Fertilizer Cessation"/>
    <x v="0"/>
    <x v="4"/>
    <n v="595"/>
    <n v="0"/>
    <x v="0"/>
    <s v="N/A"/>
    <s v="Not provided"/>
    <s v="Not provided"/>
    <s v="Florida Legislature"/>
    <s v="Not provided"/>
    <s v="N/A"/>
    <s v="Non-structural"/>
    <n v="2013"/>
    <s v="North Indian River Lagoon"/>
    <s v="N/A"/>
    <s v="N/A"/>
    <n v="2013"/>
  </r>
  <r>
    <n v="3080"/>
    <s v="FDOT District 5"/>
    <s v="N/A"/>
    <s v="FDOT-04"/>
    <s v="70010-3517-01 French Drains"/>
    <s v="Missing from Model. French Drain system along State Road 5 from University Boulevard to Aurora Road."/>
    <s v="100% On-site Retention"/>
    <x v="0"/>
    <x v="25"/>
    <n v="57"/>
    <n v="34.200000000000003"/>
    <x v="1"/>
    <n v="21.3"/>
    <s v="Not provided"/>
    <s v="Not provided"/>
    <s v="Florida Legislature"/>
    <s v="Not provided"/>
    <s v="N/A"/>
    <s v="Structural"/>
    <n v="2013"/>
    <s v="North Indian River Lagoon"/>
    <n v="28.071010999999999"/>
    <n v="-80.613906"/>
    <n v="1995"/>
  </r>
  <r>
    <n v="3079"/>
    <s v="FDOT District 5"/>
    <s v="N/A"/>
    <s v="FDOT-05"/>
    <s v="70100-3544-01 French Drains"/>
    <s v="Missing from Model. Add lanes East of H.  Humphrey Bridge to Sykes Creek Parkway."/>
    <s v="100% On-site Retention"/>
    <x v="0"/>
    <x v="26"/>
    <n v="26"/>
    <n v="13.6"/>
    <x v="1"/>
    <n v="7"/>
    <s v="Not provided"/>
    <s v="Not provided"/>
    <s v="Florida Legislature"/>
    <s v="Not provided"/>
    <s v="N/A"/>
    <s v="Structural"/>
    <n v="2013"/>
    <s v="North Indian River Lagoon"/>
    <n v="28.356532000000001"/>
    <n v="-80.708950000000002"/>
    <n v="1995"/>
  </r>
  <r>
    <n v="3078"/>
    <s v="FDOT District 5"/>
    <s v="N/A"/>
    <s v="FDOT-06"/>
    <s v="70020-3501-01 Pond 1"/>
    <s v="Missing from Model. State Road 5 -Add lanes and reconstruct from Aurora Road to Post Road."/>
    <s v="Wet Detention Pond"/>
    <x v="0"/>
    <x v="10"/>
    <n v="38"/>
    <n v="22.4"/>
    <x v="1"/>
    <n v="17.100000000000001"/>
    <s v="Not provided"/>
    <s v="Not provided"/>
    <s v="Florida Legislature"/>
    <s v="Not provided"/>
    <s v="N/A"/>
    <s v="Structural"/>
    <n v="2013"/>
    <s v="North Indian River Lagoon"/>
    <n v="28.142420000000001"/>
    <n v="-80.634010000000004"/>
    <n v="2014"/>
  </r>
  <r>
    <n v="3077"/>
    <s v="FDOT District 5"/>
    <s v="N/A"/>
    <s v="FDOT-07"/>
    <s v="70020-3501-02A Pond 2A"/>
    <s v="Missing from Model. State Road 5 -Add lanes and reconstruct from Aurora Road to Post Road."/>
    <s v="Wet Detention Pond"/>
    <x v="0"/>
    <x v="10"/>
    <n v="35"/>
    <n v="19.2"/>
    <x v="1"/>
    <n v="12.6"/>
    <s v="Not provided"/>
    <s v="Not provided"/>
    <s v="Florida Legislature"/>
    <s v="Not provided"/>
    <s v="N/A"/>
    <s v="Structural"/>
    <n v="2013"/>
    <s v="North Indian River Lagoon"/>
    <n v="28.153860000000002"/>
    <n v="-80.639700000000005"/>
    <n v="2014"/>
  </r>
  <r>
    <n v="3076"/>
    <s v="FDOT District 5"/>
    <s v="N/A"/>
    <s v="FDOT-08"/>
    <s v="70020-3501-02B Pond 2B"/>
    <s v="Missing from Model. State Road 5 -Add lanes and reconstruct from Aurora Road to Post Road."/>
    <s v="Wet Detention Pond"/>
    <x v="0"/>
    <x v="10"/>
    <n v="10"/>
    <n v="5.2"/>
    <x v="1"/>
    <n v="4.8"/>
    <s v="Not provided"/>
    <s v="Not provided"/>
    <s v="Florida Legislature"/>
    <s v="Not provided"/>
    <s v="N/A"/>
    <s v="Structural"/>
    <n v="2013"/>
    <s v="North Indian River Lagoon"/>
    <n v="28.158059999999999"/>
    <n v="-80.641059999999996"/>
    <n v="2014"/>
  </r>
  <r>
    <n v="3098"/>
    <s v="FDOT District 5"/>
    <s v="N/A"/>
    <s v="FDOT-09"/>
    <s v="70020-3501-03 Pond 3"/>
    <s v="Missing from Model. State Road 5 -Add lanes and reconstruct from Aurora Road to Post Road."/>
    <s v="Wet Detention Pond"/>
    <x v="0"/>
    <x v="10"/>
    <n v="18"/>
    <n v="10.4"/>
    <x v="1"/>
    <n v="8.4"/>
    <s v="Not provided"/>
    <s v="Not provided"/>
    <s v="Florida Legislature"/>
    <s v="Not provided"/>
    <s v="N/A"/>
    <s v="Structural"/>
    <n v="2013"/>
    <s v="North Indian River Lagoon"/>
    <n v="28.158059999999999"/>
    <n v="-80.641059999999996"/>
    <n v="2014"/>
  </r>
  <r>
    <n v="3081"/>
    <s v="FDOT District 5"/>
    <s v="N/A"/>
    <s v="FDOT-10"/>
    <s v="70020-3501-04 Pond 4"/>
    <s v="Missing from Model. State Road 5 -Add lanes and reconstruct from Aurora Road to Post Road."/>
    <s v="Dry Detention Pond"/>
    <x v="0"/>
    <x v="10"/>
    <n v="17"/>
    <n v="8.8000000000000007"/>
    <x v="1"/>
    <n v="7.9"/>
    <s v="Not provided"/>
    <s v="Not provided"/>
    <s v="Florida Legislature"/>
    <s v="Not provided"/>
    <s v="N/A"/>
    <s v="Structural"/>
    <n v="2013"/>
    <s v="North Indian River Lagoon"/>
    <n v="28.16545"/>
    <n v="-80.644840000000002"/>
    <n v="2014"/>
  </r>
  <r>
    <n v="3083"/>
    <s v="FDOT District 5"/>
    <s v="N/A"/>
    <s v="FDOT-11"/>
    <s v="70020-3549-01 Pond 1"/>
    <s v="Missing from Model. State Road 5 - Add lanes and reconstruct from Post Road to State Road 404."/>
    <s v="Wet Detention Pond"/>
    <x v="0"/>
    <x v="4"/>
    <n v="28"/>
    <n v="14.2"/>
    <x v="1"/>
    <n v="9.9"/>
    <s v="Not provided"/>
    <s v="Not provided"/>
    <s v="Florida Legislature"/>
    <s v="Not provided"/>
    <s v="N/A"/>
    <s v="Structural"/>
    <n v="2013"/>
    <s v="North Indian River Lagoon"/>
    <n v="28.176938"/>
    <n v="-80.650852999999998"/>
    <n v="2009"/>
  </r>
  <r>
    <n v="3106"/>
    <s v="FDOT District 5"/>
    <s v="N/A"/>
    <s v="FDOT-12"/>
    <s v="70020-3549-02 Pond 2"/>
    <s v="Missing from Model. State Road 5 - Add lanes and reconstruct from Post Road to State Road 404."/>
    <s v="Wet Detention Pond"/>
    <x v="0"/>
    <x v="4"/>
    <n v="34"/>
    <n v="18.2"/>
    <x v="1"/>
    <n v="18.899999999999999"/>
    <s v="Not provided"/>
    <s v="Not provided"/>
    <s v="Florida Legislature"/>
    <s v="Not provided"/>
    <s v="N/A"/>
    <s v="Structural"/>
    <n v="2013"/>
    <s v="North Indian River Lagoon"/>
    <n v="28.187348"/>
    <n v="-80.655460000000005"/>
    <n v="2009"/>
  </r>
  <r>
    <n v="3105"/>
    <s v="FDOT District 5"/>
    <s v="N/A"/>
    <s v="FDOT-13"/>
    <s v="70020-3549-03 Pond 3"/>
    <s v="Missing from Model. State Road 5 - Add lanes and reconstruct from Post Road to State Road 404."/>
    <s v="Wet Detention Pond"/>
    <x v="0"/>
    <x v="4"/>
    <n v="32"/>
    <n v="16.5"/>
    <x v="1"/>
    <n v="11.2"/>
    <s v="Not provided"/>
    <s v="Not provided"/>
    <s v="Florida Legislature"/>
    <s v="Not provided"/>
    <s v="N/A"/>
    <s v="Structural"/>
    <n v="2013"/>
    <s v="North Indian River Lagoon"/>
    <n v="28.195774"/>
    <n v="-80.659115"/>
    <n v="2009"/>
  </r>
  <r>
    <n v="3104"/>
    <s v="FDOT District 5"/>
    <s v="N/A"/>
    <s v="FDOT-14"/>
    <s v="70020-3549-04 Pond 4"/>
    <s v="Missing from Model. State Road 5 - Add lanes and reconstruct from Post Road to State Road 404."/>
    <s v="Wet Detention Pond"/>
    <x v="0"/>
    <x v="4"/>
    <n v="14"/>
    <n v="7"/>
    <x v="1"/>
    <n v="3.4"/>
    <s v="Not provided"/>
    <s v="Not provided"/>
    <s v="Florida Legislature"/>
    <s v="Not provided"/>
    <s v="N/A"/>
    <s v="Structural"/>
    <n v="2013"/>
    <s v="North Indian River Lagoon"/>
    <n v="28.197889"/>
    <n v="-80.660989999999998"/>
    <n v="2009"/>
  </r>
  <r>
    <n v="3103"/>
    <s v="FDOT District 5"/>
    <s v="N/A"/>
    <s v="FDOT-15"/>
    <s v="70020-3549-05 Pond 5"/>
    <s v="Missing from Model. State Road 5 - Add lanes and reconstruct from Post Road to State Road 404."/>
    <s v="Wet Detention Pond"/>
    <x v="0"/>
    <x v="4"/>
    <n v="11"/>
    <n v="6"/>
    <x v="1"/>
    <n v="3.4"/>
    <s v="Not provided"/>
    <s v="Not provided"/>
    <s v="Florida Legislature"/>
    <s v="Not provided"/>
    <s v="N/A"/>
    <s v="Structural"/>
    <n v="2013"/>
    <s v="North Indian River Lagoon"/>
    <n v="28.200246"/>
    <n v="-80.660730000000001"/>
    <n v="2009"/>
  </r>
  <r>
    <n v="3102"/>
    <s v="FDOT District 5"/>
    <s v="N/A"/>
    <s v="FDOT-16"/>
    <s v=" 70140-3514-01 Pond A"/>
    <s v="Missing from Model. State Road 3 - Replace Christa McAuliffe Bridge."/>
    <s v="Dry Detention Pond"/>
    <x v="0"/>
    <x v="27"/>
    <n v="4"/>
    <n v="2.4"/>
    <x v="1"/>
    <n v="1.5"/>
    <s v="Not provided"/>
    <s v="Not provided"/>
    <s v="Florida Legislature"/>
    <s v="Not provided"/>
    <s v="N/A"/>
    <s v="Structural"/>
    <n v="2013"/>
    <s v="North Indian River Lagoon"/>
    <n v="28.407125000000001"/>
    <n v="-80.705574999999996"/>
    <n v="2000"/>
  </r>
  <r>
    <n v="3202"/>
    <s v="FDOT District 5"/>
    <s v="N/A"/>
    <s v="FDOT-17"/>
    <s v=" 70140-3514-02 Pond B"/>
    <s v="Missing from Model. State Road 3 - Replace Christa McAuliffe Bridge."/>
    <s v="Wet Detention Pond"/>
    <x v="0"/>
    <x v="27"/>
    <n v="18"/>
    <n v="7.5"/>
    <x v="1"/>
    <n v="5.9"/>
    <s v="Not provided"/>
    <s v="Not provided"/>
    <s v="Florida Legislature"/>
    <s v="Not provided"/>
    <s v="N/A"/>
    <s v="Structural"/>
    <n v="2013"/>
    <s v="North Indian River Lagoon"/>
    <n v="28.409645000000001"/>
    <n v="-80.704307"/>
    <n v="2000"/>
  </r>
  <r>
    <n v="3185"/>
    <s v="FDOT District 5"/>
    <s v="N/A"/>
    <s v="FDOT-18"/>
    <s v="70120-3518-01 Pond 7"/>
    <s v="Missing from Model. State Road 518 at State Road 513."/>
    <s v="Wet Detention Pond"/>
    <x v="0"/>
    <x v="28"/>
    <n v="45"/>
    <n v="21.1"/>
    <x v="1"/>
    <n v="9.9"/>
    <s v="Not provided"/>
    <s v="Not provided"/>
    <s v="Florida Legislature"/>
    <s v="Not provided"/>
    <s v="N/A"/>
    <s v="Structural"/>
    <n v="2013"/>
    <s v="North Indian River Lagoon"/>
    <n v="28.137447000000002"/>
    <n v="-80.600211000000002"/>
    <n v="1988"/>
  </r>
  <r>
    <n v="3187"/>
    <s v="FDOT District 5"/>
    <s v="N/A"/>
    <s v="FDOT-19"/>
    <s v="70008-3505-01 Pond 1"/>
    <s v="Missing from Model. From south of State Road 518 (Eau Gallie Causeway) to Banana River Drive."/>
    <s v="Wet Detention Pond"/>
    <x v="0"/>
    <x v="29"/>
    <n v="6"/>
    <n v="3.4"/>
    <x v="1"/>
    <n v="2.2999999999999998"/>
    <s v="Not provided"/>
    <s v="Not provided"/>
    <s v="Florida Legislature"/>
    <s v="Not provided"/>
    <s v="N/A"/>
    <s v="Structural"/>
    <n v="2013"/>
    <s v="North Indian River Lagoon"/>
    <n v="28.136172999999999"/>
    <n v="-80.597804999999994"/>
    <n v="1997"/>
  </r>
  <r>
    <n v="3211"/>
    <s v="FDOT District 5"/>
    <s v="N/A"/>
    <s v="FDOT-20"/>
    <s v="Education Efforts"/>
    <s v="IDDE training, stormwater brochures, NDPES flyer."/>
    <s v="Education Efforts"/>
    <x v="0"/>
    <x v="2"/>
    <n v="86"/>
    <n v="28"/>
    <x v="1"/>
    <s v="N/A"/>
    <s v="Not provided"/>
    <s v="Not provided"/>
    <s v="Florida Legislature"/>
    <s v="Not provided"/>
    <s v="N/A"/>
    <s v="Non-structural"/>
    <n v="2013"/>
    <s v="North Indian River Lagoon"/>
    <s v="N/A"/>
    <s v="N/A"/>
    <n v="2004"/>
  </r>
  <r>
    <n v="3210"/>
    <s v="FDOT District 5"/>
    <s v="N/A"/>
    <s v="FDOT-21"/>
    <s v="Street Sweeping"/>
    <s v="Street sweeping."/>
    <s v="Street Sweeping"/>
    <x v="0"/>
    <x v="2"/>
    <n v="466"/>
    <n v="254"/>
    <x v="1"/>
    <s v="N/A"/>
    <s v="Not provided"/>
    <s v="Not provided"/>
    <s v="Florida Legislature"/>
    <s v="Not provided"/>
    <s v="N/A"/>
    <s v="Non-structural"/>
    <n v="2013"/>
    <s v="North Indian River Lagoon"/>
    <s v="N/A"/>
    <s v="N/A"/>
    <n v="2015"/>
  </r>
  <r>
    <n v="3209"/>
    <s v="FDOT District 5"/>
    <s v="N/A"/>
    <s v="FDOT-22"/>
    <s v="Fertilizer Cessation"/>
    <s v="Elimination of fertilizer use along the rights-of-way."/>
    <s v="Fertilizer Cessation"/>
    <x v="0"/>
    <x v="4"/>
    <n v="2785"/>
    <n v="426"/>
    <x v="1"/>
    <s v="N/A"/>
    <s v="Not provided"/>
    <s v="Not provided"/>
    <s v="Florida Legislature"/>
    <s v="Not provided"/>
    <s v="N/A"/>
    <s v="Non-structural"/>
    <n v="2013"/>
    <s v="North Indian River Lagoon"/>
    <s v="N/A"/>
    <s v="N/A"/>
    <n v="2005"/>
  </r>
  <r>
    <n v="3208"/>
    <s v="Kennedy Space Center"/>
    <s v="Not provided"/>
    <s v="KSC-01"/>
    <s v="Landscape Fertilizer Reduction"/>
    <s v="Fertilizer use reduced from 60 tons/year in 2000 to 20 tons/year in 2010; formula changed from rapid nitrogen release 16-4-8 to slow nitrogen release, phosphate-free 15-0-15."/>
    <s v="Fertilizer Reduction"/>
    <x v="0"/>
    <x v="14"/>
    <n v="312"/>
    <n v="44.2"/>
    <x v="0"/>
    <s v="N/A"/>
    <s v="Not provided"/>
    <s v="Not provided"/>
    <s v="Not provided"/>
    <s v="Not provided"/>
    <s v="N/A"/>
    <s v="Non-structural"/>
    <n v="2013"/>
    <s v="North Indian River Lagoon"/>
    <s v="N/A"/>
    <s v="N/A"/>
    <s v="Not provided"/>
  </r>
  <r>
    <n v="3207"/>
    <s v="Kennedy Space Center"/>
    <s v="Not provided"/>
    <s v="KSC-02"/>
    <s v="Citrus Grove Termination Roberts Road"/>
    <s v="Grove lease termination resulted in abandonment of previously fertilized areas."/>
    <s v="Fertilizer Reduction"/>
    <x v="0"/>
    <x v="1"/>
    <n v="140"/>
    <n v="557.20000000000005"/>
    <x v="0"/>
    <s v="Not provided"/>
    <s v="Not provided"/>
    <s v="Not provided"/>
    <s v="Not provided"/>
    <s v="Not provided"/>
    <s v="N/A"/>
    <s v="Non-structural"/>
    <n v="2013"/>
    <s v="North Indian River Lagoon"/>
    <s v="Not provided"/>
    <s v="Not provided"/>
    <s v="Not provided"/>
  </r>
  <r>
    <n v="3206"/>
    <s v="Kennedy Space Center"/>
    <s v="Not provided"/>
    <s v="KSC-03"/>
    <s v="Citrus Grove Termination Schwartz Road"/>
    <s v="Grove lease termination resulted in abandonment of previously fertilized areas."/>
    <s v="Fertilizer Reduction"/>
    <x v="0"/>
    <x v="1"/>
    <n v="256"/>
    <n v="308.10000000000002"/>
    <x v="0"/>
    <s v="Not provided"/>
    <s v="Not provided"/>
    <s v="Not provided"/>
    <s v="Not provided"/>
    <s v="Not provided"/>
    <s v="N/A"/>
    <s v="Non-structural"/>
    <n v="2013"/>
    <s v="North Indian River Lagoon"/>
    <s v="Not provided"/>
    <s v="Not provided"/>
    <s v="Not provided"/>
  </r>
  <r>
    <n v="3205"/>
    <s v="Kennedy Space Center"/>
    <s v="N/A"/>
    <s v="KSC-04"/>
    <s v="Storage Building L5-0734"/>
    <s v="Demolition of facility resulted in loss of impervious area and change of land use."/>
    <s v="Land Use Change"/>
    <x v="0"/>
    <x v="1"/>
    <n v="0"/>
    <n v="0"/>
    <x v="0"/>
    <s v="N/A"/>
    <s v="N/A"/>
    <s v="N/A"/>
    <s v="N/A"/>
    <s v="N/A"/>
    <s v="N/A"/>
    <s v="Non-structural"/>
    <n v="2013"/>
    <s v="North Indian River Lagoon"/>
    <s v="Not provided"/>
    <s v="Not provided"/>
    <s v="Not provided"/>
  </r>
  <r>
    <n v="3195"/>
    <s v="Kennedy Space Center"/>
    <s v="N/A"/>
    <s v="KSC-05"/>
    <s v="Support Building L5-0683"/>
    <s v="Demolition of facility resulted in loss of impervious area and change of land use."/>
    <s v="Land Use Change"/>
    <x v="0"/>
    <x v="1"/>
    <n v="3"/>
    <n v="1"/>
    <x v="0"/>
    <n v="0.2"/>
    <s v="N/A"/>
    <s v="N/A"/>
    <s v="N/A"/>
    <s v="N/A"/>
    <s v="N/A"/>
    <s v="Non-structural"/>
    <n v="2013"/>
    <s v="North Indian River Lagoon"/>
    <s v="Not provided"/>
    <s v="Not provided"/>
    <s v="Not provided"/>
  </r>
  <r>
    <n v="3203"/>
    <s v="Kennedy Space Center"/>
    <s v="Not provided"/>
    <s v="KSC-06"/>
    <s v="Shuttle Landing Facility - missing from model"/>
    <s v="Runoff is captured and treated before discharging to the lagoon."/>
    <s v="Wet Detention Pond"/>
    <x v="0"/>
    <x v="14"/>
    <n v="2566"/>
    <n v="1005"/>
    <x v="0"/>
    <n v="617.79999999999995"/>
    <s v="Not provided"/>
    <s v="Not provided"/>
    <s v="Not provided"/>
    <s v="Not provided"/>
    <s v="N/A"/>
    <s v="Structural"/>
    <n v="2013"/>
    <s v="North Indian River Lagoon"/>
    <s v="Not provided"/>
    <s v="Not provided"/>
    <s v="Not provided"/>
  </r>
  <r>
    <n v="3201"/>
    <s v="Kennedy Space Center"/>
    <s v="Not provided"/>
    <s v="KSC-07"/>
    <s v="Launch Pad 39A"/>
    <s v="This area is a closed basin."/>
    <s v="Closed Basin"/>
    <x v="0"/>
    <x v="0"/>
    <n v="1255"/>
    <n v="326.3"/>
    <x v="0"/>
    <n v="456.5"/>
    <s v="Not provided"/>
    <s v="Not provided"/>
    <s v="Not provided"/>
    <s v="Not provided"/>
    <s v="N/A"/>
    <s v="Non-structural"/>
    <n v="2013"/>
    <s v="North Indian River Lagoon"/>
    <s v="Not provided"/>
    <s v="Not provided"/>
    <s v="Not provided"/>
  </r>
  <r>
    <n v="3200"/>
    <s v="Kennedy Space Center"/>
    <s v="Not provided"/>
    <s v="KSC-08"/>
    <s v="Launch Pad 39B"/>
    <s v="This area is a closed basin."/>
    <s v="Closed Basin"/>
    <x v="0"/>
    <x v="0"/>
    <n v="3043"/>
    <n v="588.5"/>
    <x v="0"/>
    <n v="549"/>
    <s v="Not provided"/>
    <s v="Not provided"/>
    <s v="Not provided"/>
    <s v="Not provided"/>
    <s v="N/A"/>
    <s v="Non-structural"/>
    <n v="2013"/>
    <s v="North Indian River Lagoon"/>
    <s v="Not provided"/>
    <s v="Not provided"/>
    <s v="Not provided"/>
  </r>
  <r>
    <n v="3199"/>
    <s v="Kennedy Space Center"/>
    <s v="Not provided"/>
    <s v="KSC-09"/>
    <s v="Schwartz Road Drainage System - missing from model"/>
    <s v="Closed system that ultimately drains to the northwest before discharging to an impoundment area adjacent to the lagoon."/>
    <s v="Impoundment"/>
    <x v="0"/>
    <x v="0"/>
    <n v="1290"/>
    <n v="270.8"/>
    <x v="0"/>
    <n v="1614.1"/>
    <s v="Not provided"/>
    <s v="Not provided"/>
    <s v="Not provided"/>
    <s v="Not provided"/>
    <s v="N/A"/>
    <s v="Structural"/>
    <n v="2013"/>
    <s v="North Indian River Lagoon"/>
    <s v="Not provided"/>
    <s v="Not provided"/>
    <s v="Not provided"/>
  </r>
  <r>
    <n v="3198"/>
    <s v="Kennedy Space Center"/>
    <s v="Not provided"/>
    <s v="KSC-10"/>
    <s v="Warehouse/Processing Area - missing from model"/>
    <s v="Receives treatment from permitted stormwater treatment systems."/>
    <s v="Wet Detention Pond"/>
    <x v="0"/>
    <x v="0"/>
    <n v="75"/>
    <n v="33.200000000000003"/>
    <x v="0"/>
    <n v="15.2"/>
    <s v="Not provided"/>
    <s v="Not provided"/>
    <s v="Not provided"/>
    <s v="Not provided"/>
    <s v="N/A"/>
    <s v="Structural"/>
    <n v="2013"/>
    <s v="North Indian River Lagoon"/>
    <s v="Not provided"/>
    <s v="Not provided"/>
    <s v="Not provided"/>
  </r>
  <r>
    <n v="3197"/>
    <s v="Kennedy Space Center"/>
    <s v="Not provided"/>
    <s v="KSC-11"/>
    <s v="Landscape Fertilizer Reduction"/>
    <s v="Fertilizer use reduced from 60 tons/year in 2000 to 20 tons/year in 2010; formula changed from rapid nitrogen release 16-4-8 to slow nitrogen release, phosphate-free 15-0-15."/>
    <s v="Fertilizer Reduction"/>
    <x v="0"/>
    <x v="14"/>
    <n v="312"/>
    <n v="44.2"/>
    <x v="1"/>
    <s v="N/A"/>
    <s v="Not provided"/>
    <s v="Not provided"/>
    <s v="Not provided"/>
    <s v="Not provided"/>
    <s v="N/A"/>
    <s v="Non-structural"/>
    <n v="2013"/>
    <s v="North Indian River Lagoon"/>
    <s v="Not provided"/>
    <s v="Not provided"/>
    <s v="Not provided"/>
  </r>
  <r>
    <n v="3196"/>
    <s v="Kennedy Space Center"/>
    <s v="Not provided"/>
    <s v="KSC-12"/>
    <s v="Citrus Grove Termination Jerome Road West"/>
    <s v="Grove lease termination resulted in abandonment of previously fertilized areas."/>
    <s v="Fertilizer Reduction"/>
    <x v="0"/>
    <x v="1"/>
    <n v="184"/>
    <n v="850.8"/>
    <x v="1"/>
    <s v="N/A"/>
    <s v="Not provided"/>
    <s v="Not provided"/>
    <s v="Not provided"/>
    <s v="Not provided"/>
    <s v="N/A"/>
    <s v="Non-structural"/>
    <n v="2013"/>
    <s v="North Indian River Lagoon"/>
    <s v="Not provided"/>
    <s v="Not provided"/>
    <s v="Not provided"/>
  </r>
  <r>
    <n v="2779"/>
    <s v="Kennedy Space Center"/>
    <s v="N/A"/>
    <s v="KSC-13"/>
    <s v="KARS II Racquetball Court M6-0328A"/>
    <s v="Demolition of facility resulted in loss of impervious area and change of land use."/>
    <s v="Land Use Change"/>
    <x v="0"/>
    <x v="1"/>
    <n v="1"/>
    <n v="0.2"/>
    <x v="1"/>
    <n v="0.1"/>
    <s v="N/A"/>
    <s v="N/A"/>
    <s v="N/A"/>
    <s v="N/A"/>
    <s v="N/A"/>
    <s v="Non-structural"/>
    <n v="2013"/>
    <s v="North Indian River Lagoon"/>
    <s v="Not provided"/>
    <s v="Not provided"/>
    <s v="Not provided"/>
  </r>
  <r>
    <n v="2788"/>
    <s v="Kennedy Space Center"/>
    <s v="N/A"/>
    <s v="KSC-14"/>
    <s v="Visitor Center Storage Building M6-0503"/>
    <s v="Demolition of facility resulted in loss of impervious area and change of land use."/>
    <s v="Land Use Change"/>
    <x v="0"/>
    <x v="1"/>
    <n v="1"/>
    <n v="0.3"/>
    <x v="1"/>
    <n v="0.1"/>
    <s v="N/A"/>
    <s v="N/A"/>
    <s v="N/A"/>
    <s v="N/A"/>
    <s v="N/A"/>
    <s v="Non-structural"/>
    <n v="2013"/>
    <s v="North Indian River Lagoon"/>
    <s v="Not provided"/>
    <s v="Not provided"/>
    <s v="Not provided"/>
  </r>
  <r>
    <n v="2798"/>
    <s v="Kennedy Space Center"/>
    <s v="Not provided"/>
    <s v="KSC-15"/>
    <s v="Causeway Wetland Mitigation"/>
    <s v="Missing from Model. Existing permitted stormwater treatment pond."/>
    <s v="Wet Detention Pond"/>
    <x v="0"/>
    <x v="0"/>
    <n v="8"/>
    <n v="3.8"/>
    <x v="1"/>
    <n v="12.6"/>
    <s v="Not provided"/>
    <s v="Not provided"/>
    <s v="Not provided"/>
    <s v="Not provided"/>
    <s v="N/A"/>
    <s v="Structural"/>
    <n v="2013"/>
    <s v="North Indian River Lagoon"/>
    <s v="Not provided"/>
    <s v="Not provided"/>
    <s v="Not provided"/>
  </r>
  <r>
    <n v="2786"/>
    <s v="Kennedy Space Center"/>
    <s v="Not provided"/>
    <s v="KSC-16"/>
    <s v="Visitors Complex/ NASA Badging Center"/>
    <s v="Missing from Model. Existing permitted stormwater treatment pond."/>
    <s v="Wet Detention Pond"/>
    <x v="0"/>
    <x v="0"/>
    <n v="452"/>
    <n v="169.4"/>
    <x v="1"/>
    <n v="131.69999999999999"/>
    <s v="Not provided"/>
    <s v="Not provided"/>
    <s v="Not provided"/>
    <s v="Not provided"/>
    <s v="N/A"/>
    <s v="Structural"/>
    <n v="2013"/>
    <s v="North Indian River Lagoon"/>
    <s v="Not provided"/>
    <s v="Not provided"/>
    <s v="Not provided"/>
  </r>
  <r>
    <n v="2785"/>
    <s v="Kennedy Space Center"/>
    <s v="Not provided"/>
    <s v="KSC-17"/>
    <s v="NASA Parkway West"/>
    <s v="Missing from Model. Ditch along south side of NASA Parkway West, ends before the lagoon."/>
    <s v="Grass Swales without Swale Blocks or Raised Culverts"/>
    <x v="0"/>
    <x v="0"/>
    <n v="239"/>
    <n v="100.9"/>
    <x v="1"/>
    <n v="135.80000000000001"/>
    <s v="Not provided"/>
    <s v="Not provided"/>
    <s v="Not provided"/>
    <s v="Not provided"/>
    <s v="N/A"/>
    <s v="Structural"/>
    <n v="2013"/>
    <s v="North Indian River Lagoon"/>
    <s v="Not provided"/>
    <s v="Not provided"/>
    <s v="Not provided"/>
  </r>
  <r>
    <n v="2784"/>
    <s v="Kennedy Space Center"/>
    <s v="N/A"/>
    <s v="KSC-18"/>
    <s v="Demolition of Facility J6-2377"/>
    <s v="Demolition of facility resulted in loss of impervious area and change of land use."/>
    <s v="Land Use Change"/>
    <x v="0"/>
    <x v="0"/>
    <n v="1"/>
    <n v="0.3"/>
    <x v="0"/>
    <n v="0.1"/>
    <s v="N/A"/>
    <s v="N/A"/>
    <s v="N/A"/>
    <s v="N/A"/>
    <s v="N/A"/>
    <s v="Non-structural"/>
    <n v="2014"/>
    <s v="North Indian River Lagoon"/>
    <s v="Not provided"/>
    <s v="Not provided"/>
    <s v="Not provided"/>
  </r>
  <r>
    <n v="2783"/>
    <s v="Kennedy Space Center"/>
    <s v="N/A"/>
    <s v="KSC-19"/>
    <s v="Demolition of Facility M5-1546"/>
    <s v="Demolition of facility resulted in loss of impervious area and change of land use."/>
    <s v="Land Use Change"/>
    <x v="0"/>
    <x v="0"/>
    <n v="76"/>
    <n v="15.8"/>
    <x v="1"/>
    <n v="5"/>
    <s v="N/A"/>
    <s v="N/A"/>
    <s v="N/A"/>
    <s v="N/A"/>
    <s v="N/A"/>
    <s v="Non-structural"/>
    <n v="2015"/>
    <s v="North Indian River Lagoon"/>
    <s v="Not provided"/>
    <s v="Not provided"/>
    <s v="Not provided"/>
  </r>
  <r>
    <n v="2782"/>
    <s v="Town of Indialantic"/>
    <s v="Not provided"/>
    <s v="TI-01"/>
    <s v="Swales North of U.S. 192 Causeway"/>
    <s v="Not provided."/>
    <s v="Grass Swales without Swale Blocks or Raised Culverts"/>
    <x v="0"/>
    <x v="30"/>
    <n v="297"/>
    <n v="51.7"/>
    <x v="1"/>
    <n v="29.2"/>
    <s v="Not provided"/>
    <s v="Not provided"/>
    <s v="Not provided"/>
    <s v="Not provided"/>
    <s v="N/A"/>
    <s v="Structural"/>
    <n v="2013"/>
    <s v="North Indian River Lagoon"/>
    <s v="Not provided"/>
    <s v="Not provided"/>
    <s v="Not provided"/>
  </r>
  <r>
    <n v="2781"/>
    <s v="Town of Indialantic"/>
    <s v="Not provided"/>
    <s v="TI-02"/>
    <s v="100% On-Site Retention"/>
    <s v="Not provided."/>
    <s v="100% On-site Retention"/>
    <x v="0"/>
    <x v="30"/>
    <n v="35"/>
    <n v="6.1"/>
    <x v="1"/>
    <n v="3.5"/>
    <s v="Not provided"/>
    <s v="Not provided"/>
    <s v="Not provided"/>
    <s v="Not provided"/>
    <s v="N/A"/>
    <s v="Structural"/>
    <n v="2013"/>
    <s v="North Indian River Lagoon"/>
    <s v="Not provided"/>
    <s v="Not provided"/>
    <s v="Not provided"/>
  </r>
  <r>
    <n v="2780"/>
    <s v="Town of Indialantic"/>
    <s v="Not provided"/>
    <s v="TI-03"/>
    <s v="Education Efforts"/>
    <s v="Pamphlet, website, and fertilizer ordinance."/>
    <s v="Education Efforts"/>
    <x v="0"/>
    <x v="2"/>
    <n v="18"/>
    <n v="3.2"/>
    <x v="1"/>
    <s v="N/A"/>
    <s v="Not provided"/>
    <s v="Not provided"/>
    <s v="Not provided"/>
    <s v="Not provided"/>
    <s v="N/A"/>
    <s v="Non-structural"/>
    <n v="2013"/>
    <s v="North Indian River Lagoon"/>
    <s v="N/A"/>
    <s v="N/A"/>
    <s v="Not provided"/>
  </r>
  <r>
    <n v="3068"/>
    <s v="Town of Indialantic"/>
    <s v="DEP"/>
    <s v="TI-04"/>
    <s v="Lily Park"/>
    <s v="Stormwater treatment."/>
    <s v="Wet Detention Pond"/>
    <x v="0"/>
    <x v="18"/>
    <s v="Not provided"/>
    <s v="Not provided"/>
    <x v="0"/>
    <n v="1.93"/>
    <n v="173000"/>
    <n v="500"/>
    <s v="DEP"/>
    <s v="DEP - $65,000"/>
    <s v="LP05120"/>
    <s v="Structural"/>
    <n v="2017"/>
    <s v="North Indian River Lagoon"/>
    <n v="29.42"/>
    <n v="80.574166660000003"/>
    <s v="Not provided"/>
  </r>
  <r>
    <n v="3067"/>
    <s v="Town of Palm Shores"/>
    <s v="Not provided"/>
    <s v="PS-01"/>
    <s v="Education Efforts"/>
    <s v="Fertilizer and landscaping ordinances, pamphlets, and presentations."/>
    <s v="Education Efforts"/>
    <x v="0"/>
    <x v="2"/>
    <n v="21"/>
    <n v="4.2"/>
    <x v="1"/>
    <s v="N/A"/>
    <s v="Not provided"/>
    <s v="Not provided"/>
    <s v="Not provided"/>
    <s v="Not provided"/>
    <s v="N/A"/>
    <s v="Non-structural"/>
    <n v="2013"/>
    <s v="North Indian River Lagoon"/>
    <s v="N/A"/>
    <s v="N/A"/>
    <s v="Not provided"/>
  </r>
  <r>
    <n v="3066"/>
    <s v="Volusia County"/>
    <s v="Not provided"/>
    <s v="VC-01"/>
    <s v="Education Efforts"/>
    <s v="Irrigation, fertilizer, pet waste management, and landscaping ordinances; pamphlets, presentations, website, illicit discharge program."/>
    <s v="Education Efforts"/>
    <x v="0"/>
    <x v="2"/>
    <n v="588"/>
    <n v="67.400000000000006"/>
    <x v="0"/>
    <s v="N/A"/>
    <s v="Not provided"/>
    <s v="Not provided"/>
    <s v="Not provided"/>
    <s v="Not provided"/>
    <s v="N/A"/>
    <s v="Non-structural"/>
    <n v="2013"/>
    <s v="North Indian River Lagoon"/>
    <s v="N/A"/>
    <s v="N/A"/>
    <s v="Not provided"/>
  </r>
  <r>
    <n v="3065"/>
    <s v="Volusia County"/>
    <s v="Not provided"/>
    <s v="VC-02"/>
    <s v="Roadside Ditch Cleaning"/>
    <s v="Roadside ditch cleaning."/>
    <s v="BMP Cleanout"/>
    <x v="0"/>
    <x v="18"/>
    <s v="Not provided"/>
    <s v="Not provided"/>
    <x v="0"/>
    <s v="Not provided"/>
    <s v="Not provided"/>
    <s v="Not provided"/>
    <s v="Not provided"/>
    <s v="Not provided"/>
    <s v="N/A"/>
    <s v="Non-structural"/>
    <n v="2017"/>
    <s v="North Indian River Lagoon"/>
    <s v="N/A"/>
    <s v="N/A"/>
    <s v="Not provided"/>
  </r>
  <r>
    <n v="3064"/>
    <s v="Volusia County"/>
    <s v="Not provided"/>
    <s v="VC-03"/>
    <s v="Open Channel Cleaning"/>
    <s v="Open channel cleaning; digging sediment out of open channels."/>
    <s v="BMP Cleanout"/>
    <x v="0"/>
    <x v="18"/>
    <s v="Not provided"/>
    <s v="Not provided"/>
    <x v="0"/>
    <s v="Not provided"/>
    <s v="Not provided"/>
    <s v="Not provided"/>
    <s v="Not provided"/>
    <s v="Not provided"/>
    <s v="N/A"/>
    <s v="Non-structural"/>
    <n v="2017"/>
    <s v="North Indian River Lagoon"/>
    <s v="N/A"/>
    <s v="N/A"/>
    <s v="Not provided"/>
  </r>
  <r>
    <n v="5373"/>
    <s v="Volusia County"/>
    <s v="N/A"/>
    <s v="VC-04"/>
    <s v="Fertilizer Ordinance"/>
    <s v="Fertilizer restrictions including summer ban on nitrogen and phosphorus."/>
    <s v="Regulations, Ordinances, and Guidelines"/>
    <x v="0"/>
    <x v="2"/>
    <s v="N/A"/>
    <s v="N/A"/>
    <x v="0"/>
    <s v="N/A"/>
    <s v="Not provided"/>
    <s v="Not provided"/>
    <s v="Volusia County"/>
    <s v="N/A"/>
    <s v="N/A"/>
    <s v="Non-structural"/>
    <n v="2019"/>
    <s v="North Indian River Lagoon"/>
    <s v="Not provided"/>
    <s v="Not provided"/>
    <s v="Not provided"/>
  </r>
  <r>
    <m/>
    <m/>
    <m/>
    <m/>
    <m/>
    <m/>
    <m/>
    <x v="4"/>
    <x v="31"/>
    <m/>
    <m/>
    <x v="2"/>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600-000000000000}" name="PivotTable14" cacheId="6" applyNumberFormats="0" applyBorderFormats="0" applyFontFormats="0" applyPatternFormats="0" applyAlignmentFormats="0" applyWidthHeightFormats="1" dataCaption="Values" updatedVersion="6" minRefreshableVersion="3" showDrill="0" useAutoFormatting="1" itemPrintTitles="1" createdVersion="5" indent="0" outline="1" outlineData="1" multipleFieldFilters="0">
  <location ref="A5:C26" firstHeaderRow="0" firstDataRow="1" firstDataCol="1" rowPageCount="1" colPageCount="1"/>
  <pivotFields count="23">
    <pivotField axis="axisRow" showAll="0">
      <items count="19">
        <item x="0"/>
        <item x="1"/>
        <item x="2"/>
        <item x="3"/>
        <item m="1" x="14"/>
        <item x="4"/>
        <item x="5"/>
        <item x="6"/>
        <item x="7"/>
        <item x="8"/>
        <item x="9"/>
        <item m="1" x="16"/>
        <item x="10"/>
        <item x="11"/>
        <item x="12"/>
        <item m="1" x="15"/>
        <item m="1" x="13"/>
        <item m="1" x="17"/>
        <item t="default"/>
      </items>
    </pivotField>
    <pivotField showAll="0"/>
    <pivotField showAll="0"/>
    <pivotField showAll="0"/>
    <pivotField showAll="0"/>
    <pivotField showAll="0"/>
    <pivotField axis="axisPage" multipleItemSelectionAllowed="1" showAll="0">
      <items count="6">
        <item h="1" x="2"/>
        <item x="0"/>
        <item h="1" x="3"/>
        <item h="1" x="1"/>
        <item h="1" x="4"/>
        <item t="default"/>
      </items>
    </pivotField>
    <pivotField showAll="0"/>
    <pivotField dataField="1" showAll="0"/>
    <pivotField dataField="1" showAll="0"/>
    <pivotField axis="axisRow" showAll="0">
      <items count="7">
        <item h="1" x="2"/>
        <item n="A Total" x="0"/>
        <item h="1" sd="0" m="1" x="4"/>
        <item n="B Total" x="1"/>
        <item h="1" m="1" x="5"/>
        <item h="1" x="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s>
  <rowFields count="2">
    <field x="10"/>
    <field x="0"/>
  </rowFields>
  <rowItems count="21">
    <i>
      <x v="1"/>
    </i>
    <i r="1">
      <x/>
    </i>
    <i r="1">
      <x v="2"/>
    </i>
    <i r="1">
      <x v="6"/>
    </i>
    <i r="1">
      <x v="7"/>
    </i>
    <i r="1">
      <x v="8"/>
    </i>
    <i r="1">
      <x v="9"/>
    </i>
    <i r="1">
      <x v="10"/>
    </i>
    <i r="1">
      <x v="13"/>
    </i>
    <i>
      <x v="3"/>
    </i>
    <i r="1">
      <x/>
    </i>
    <i r="1">
      <x v="1"/>
    </i>
    <i r="1">
      <x v="3"/>
    </i>
    <i r="1">
      <x v="5"/>
    </i>
    <i r="1">
      <x v="6"/>
    </i>
    <i r="1">
      <x v="7"/>
    </i>
    <i r="1">
      <x v="8"/>
    </i>
    <i r="1">
      <x v="9"/>
    </i>
    <i r="1">
      <x v="10"/>
    </i>
    <i r="1">
      <x v="12"/>
    </i>
    <i t="grand">
      <x/>
    </i>
  </rowItems>
  <colFields count="1">
    <field x="-2"/>
  </colFields>
  <colItems count="2">
    <i>
      <x/>
    </i>
    <i i="1">
      <x v="1"/>
    </i>
  </colItems>
  <pageFields count="1">
    <pageField fld="6" hier="-1"/>
  </pageFields>
  <dataFields count="2">
    <dataField name="Sum of TNReduction(lbs/yr)" fld="8" baseField="10" baseItem="1"/>
    <dataField name="Sum of TPReduction(lbs/yr)" fld="9" baseField="10" baseItem="1"/>
  </dataFields>
  <formats count="27">
    <format dxfId="37">
      <pivotArea type="all" dataOnly="0" outline="0" fieldPosition="0"/>
    </format>
    <format dxfId="36">
      <pivotArea outline="0" collapsedLevelsAreSubtotals="1" fieldPosition="0"/>
    </format>
    <format dxfId="35">
      <pivotArea field="10" type="button" dataOnly="0" labelOnly="1" outline="0" axis="axisRow" fieldPosition="0"/>
    </format>
    <format dxfId="34">
      <pivotArea dataOnly="0" labelOnly="1" fieldPosition="0">
        <references count="1">
          <reference field="10" count="0"/>
        </references>
      </pivotArea>
    </format>
    <format dxfId="33">
      <pivotArea dataOnly="0" labelOnly="1" grandRow="1" outline="0" fieldPosition="0"/>
    </format>
    <format dxfId="32">
      <pivotArea outline="0" collapsedLevelsAreSubtotals="1" fieldPosition="0"/>
    </format>
    <format dxfId="31">
      <pivotArea outline="0" collapsedLevelsAreSubtotals="1" fieldPosition="0"/>
    </format>
    <format dxfId="30">
      <pivotArea collapsedLevelsAreSubtotals="1" fieldPosition="0">
        <references count="1">
          <reference field="10" count="1">
            <x v="3"/>
          </reference>
        </references>
      </pivotArea>
    </format>
    <format dxfId="29">
      <pivotArea dataOnly="0" labelOnly="1" fieldPosition="0">
        <references count="1">
          <reference field="10" count="1">
            <x v="3"/>
          </reference>
        </references>
      </pivotArea>
    </format>
    <format dxfId="28">
      <pivotArea collapsedLevelsAreSubtotals="1" fieldPosition="0">
        <references count="1">
          <reference field="10" count="1">
            <x v="1"/>
          </reference>
        </references>
      </pivotArea>
    </format>
    <format dxfId="27">
      <pivotArea dataOnly="0" labelOnly="1" fieldPosition="0">
        <references count="1">
          <reference field="10" count="1">
            <x v="1"/>
          </reference>
        </references>
      </pivotArea>
    </format>
    <format dxfId="26">
      <pivotArea field="10" type="button" dataOnly="0" labelOnly="1" outline="0" axis="axisRow" fieldPosition="0"/>
    </format>
    <format dxfId="25">
      <pivotArea type="all" dataOnly="0" outline="0" fieldPosition="0"/>
    </format>
    <format dxfId="24">
      <pivotArea outline="0" collapsedLevelsAreSubtotals="1" fieldPosition="0"/>
    </format>
    <format dxfId="23">
      <pivotArea field="10" type="button" dataOnly="0" labelOnly="1" outline="0" axis="axisRow" fieldPosition="0"/>
    </format>
    <format dxfId="22">
      <pivotArea dataOnly="0" labelOnly="1" fieldPosition="0">
        <references count="1">
          <reference field="10" count="0"/>
        </references>
      </pivotArea>
    </format>
    <format dxfId="21">
      <pivotArea dataOnly="0" labelOnly="1" grandRow="1" outline="0" fieldPosition="0"/>
    </format>
    <format dxfId="20">
      <pivotArea type="all" dataOnly="0" outline="0" fieldPosition="0"/>
    </format>
    <format dxfId="19">
      <pivotArea outline="0" collapsedLevelsAreSubtotals="1" fieldPosition="0"/>
    </format>
    <format dxfId="18">
      <pivotArea field="10" type="button" dataOnly="0" labelOnly="1" outline="0" axis="axisRow" fieldPosition="0"/>
    </format>
    <format dxfId="17">
      <pivotArea dataOnly="0" labelOnly="1" fieldPosition="0">
        <references count="1">
          <reference field="10" count="0"/>
        </references>
      </pivotArea>
    </format>
    <format dxfId="16">
      <pivotArea dataOnly="0" labelOnly="1" grandRow="1" outline="0" fieldPosition="0"/>
    </format>
    <format dxfId="15">
      <pivotArea dataOnly="0" labelOnly="1" fieldPosition="0">
        <references count="1">
          <reference field="10" count="1">
            <x v="3"/>
          </reference>
        </references>
      </pivotArea>
    </format>
    <format dxfId="14">
      <pivotArea collapsedLevelsAreSubtotals="1" fieldPosition="0">
        <references count="1">
          <reference field="10" count="1">
            <x v="3"/>
          </reference>
        </references>
      </pivotArea>
    </format>
    <format dxfId="13">
      <pivotArea dataOnly="0" labelOnly="1" fieldPosition="0">
        <references count="1">
          <reference field="10" count="1">
            <x v="3"/>
          </reference>
        </references>
      </pivotArea>
    </format>
    <format dxfId="12">
      <pivotArea collapsedLevelsAreSubtotals="1" fieldPosition="0">
        <references count="1">
          <reference field="10" count="1">
            <x v="1"/>
          </reference>
        </references>
      </pivotArea>
    </format>
    <format dxfId="11">
      <pivotArea dataOnly="0" labelOnly="1" fieldPosition="0">
        <references count="1">
          <reference field="10" count="1">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242B5248-9EB2-4416-AE19-BADA71B8125F}" name="PivotTable1" cacheId="6"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10:F20" firstHeaderRow="1" firstDataRow="2" firstDataCol="1"/>
  <pivotFields count="23">
    <pivotField showAll="0"/>
    <pivotField showAll="0"/>
    <pivotField showAll="0"/>
    <pivotField showAll="0"/>
    <pivotField showAll="0"/>
    <pivotField showAll="0"/>
    <pivotField axis="axisCol" dataField="1" showAll="0">
      <items count="6">
        <item x="2"/>
        <item x="0"/>
        <item x="3"/>
        <item x="1"/>
        <item x="4"/>
        <item t="default"/>
      </items>
    </pivotField>
    <pivotField showAll="0"/>
    <pivotField showAll="0"/>
    <pivotField showAll="0"/>
    <pivotField showAll="0"/>
    <pivotField showAll="0"/>
    <pivotField showAll="0"/>
    <pivotField showAll="0"/>
    <pivotField showAll="0"/>
    <pivotField showAll="0"/>
    <pivotField showAll="0"/>
    <pivotField showAll="0"/>
    <pivotField axis="axisRow" showAll="0">
      <items count="10">
        <item x="0"/>
        <item x="4"/>
        <item x="1"/>
        <item x="5"/>
        <item x="6"/>
        <item x="3"/>
        <item h="1" x="8"/>
        <item x="7"/>
        <item x="2"/>
        <item t="default"/>
      </items>
    </pivotField>
    <pivotField showAll="0"/>
    <pivotField showAll="0"/>
    <pivotField showAll="0"/>
    <pivotField showAll="0"/>
  </pivotFields>
  <rowFields count="1">
    <field x="18"/>
  </rowFields>
  <rowItems count="9">
    <i>
      <x/>
    </i>
    <i>
      <x v="1"/>
    </i>
    <i>
      <x v="2"/>
    </i>
    <i>
      <x v="3"/>
    </i>
    <i>
      <x v="4"/>
    </i>
    <i>
      <x v="5"/>
    </i>
    <i>
      <x v="7"/>
    </i>
    <i>
      <x v="8"/>
    </i>
    <i t="grand">
      <x/>
    </i>
  </rowItems>
  <colFields count="1">
    <field x="6"/>
  </colFields>
  <colItems count="5">
    <i>
      <x/>
    </i>
    <i>
      <x v="1"/>
    </i>
    <i>
      <x v="2"/>
    </i>
    <i>
      <x v="3"/>
    </i>
    <i t="grand">
      <x/>
    </i>
  </colItems>
  <dataFields count="1">
    <dataField name="Count of ProjectStatus" fld="6"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DAFAB794-71BC-4916-84CF-AEBAE69B45C0}" name="PivotTable13" cacheId="8"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3:E4" firstHeaderRow="0" firstDataRow="1" firstDataCol="0" rowPageCount="1" colPageCount="1"/>
  <pivotFields count="24">
    <pivotField showAll="0"/>
    <pivotField showAll="0"/>
    <pivotField showAll="0"/>
    <pivotField dataField="1" showAll="0"/>
    <pivotField showAll="0"/>
    <pivotField showAll="0"/>
    <pivotField showAll="0"/>
    <pivotField axis="axisPage" multipleItemSelectionAllowed="1" showAll="0">
      <items count="6">
        <item h="1" x="2"/>
        <item x="0"/>
        <item h="1" x="3"/>
        <item h="1" x="1"/>
        <item h="1" x="4"/>
        <item t="default"/>
      </items>
    </pivotField>
    <pivotField showAll="0"/>
    <pivotField dataField="1" showAll="0"/>
    <pivotField dataField="1" showAll="0"/>
    <pivotField showAll="0"/>
    <pivotField showAll="0"/>
    <pivotField dataField="1" showAll="0"/>
    <pivotField dataField="1" showAll="0"/>
    <pivotField showAll="0"/>
    <pivotField showAll="0"/>
    <pivotField showAll="0"/>
    <pivotField showAll="0"/>
    <pivotField showAll="0"/>
    <pivotField showAll="0"/>
    <pivotField showAll="0"/>
    <pivotField showAll="0"/>
    <pivotField showAll="0"/>
  </pivotFields>
  <rowItems count="1">
    <i/>
  </rowItems>
  <colFields count="1">
    <field x="-2"/>
  </colFields>
  <colItems count="5">
    <i>
      <x/>
    </i>
    <i i="1">
      <x v="1"/>
    </i>
    <i i="2">
      <x v="2"/>
    </i>
    <i i="3">
      <x v="3"/>
    </i>
    <i i="4">
      <x v="4"/>
    </i>
  </colItems>
  <pageFields count="1">
    <pageField fld="7" hier="-1"/>
  </pageFields>
  <dataFields count="5">
    <dataField name="Sum of TNReduction(lbs/yr)" fld="9" baseField="0" baseItem="1" numFmtId="3"/>
    <dataField name="Sum of TPReduction(lbs/yr)" fld="10" baseField="0" baseItem="1" numFmtId="3"/>
    <dataField name="Sum of CostEstimate" fld="13" baseField="0" baseItem="1" numFmtId="164"/>
    <dataField name="Sum of CostAnnualO&amp;M" fld="14" baseField="0" baseItem="1" numFmtId="164"/>
    <dataField name="Count of ProjectNumber" fld="3" subtotal="count" baseField="0" baseItem="0"/>
  </dataFields>
  <formats count="2">
    <format dxfId="6">
      <pivotArea outline="0" collapsedLevelsAreSubtotals="1" fieldPosition="0">
        <references count="1">
          <reference field="4294967294" count="2" selected="0">
            <x v="2"/>
            <x v="3"/>
          </reference>
        </references>
      </pivotArea>
    </format>
    <format dxfId="5">
      <pivotArea outline="0" collapsedLevelsAreSubtotals="1" fieldPosition="0">
        <references count="1">
          <reference field="4294967294" count="2" selected="0">
            <x v="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0700-000001000000}" name="PivotTable16" cacheId="5"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J3:M4" firstHeaderRow="0" firstDataRow="1" firstDataCol="0" rowPageCount="1" colPageCount="1"/>
  <pivotFields count="17">
    <pivotField showAll="0"/>
    <pivotField showAll="0"/>
    <pivotField showAll="0"/>
    <pivotField showAll="0"/>
    <pivotField showAll="0"/>
    <pivotField showAll="0"/>
    <pivotField axis="axisPage" multipleItemSelectionAllowed="1" showAll="0">
      <items count="6">
        <item h="1" x="2"/>
        <item h="1" x="0"/>
        <item x="1"/>
        <item x="3"/>
        <item h="1" x="4"/>
        <item t="default"/>
      </items>
    </pivotField>
    <pivotField showAll="0"/>
    <pivotField dataField="1" showAll="0"/>
    <pivotField dataField="1" showAll="0"/>
    <pivotField showAll="0"/>
    <pivotField showAll="0"/>
    <pivotField dataField="1" showAll="0"/>
    <pivotField dataField="1" showAll="0"/>
    <pivotField showAll="0"/>
    <pivotField showAll="0"/>
    <pivotField showAll="0"/>
  </pivotFields>
  <rowItems count="1">
    <i/>
  </rowItems>
  <colFields count="1">
    <field x="-2"/>
  </colFields>
  <colItems count="4">
    <i>
      <x/>
    </i>
    <i i="1">
      <x v="1"/>
    </i>
    <i i="2">
      <x v="2"/>
    </i>
    <i i="3">
      <x v="3"/>
    </i>
  </colItems>
  <pageFields count="1">
    <pageField fld="6" hier="-1"/>
  </pageFields>
  <dataFields count="4">
    <dataField name="Sum of TN Reduction (lbs/yr)" fld="8" baseField="0" baseItem="1" numFmtId="3"/>
    <dataField name="Sum of TP Reduction (lbs/yr)" fld="9" baseField="0" baseItem="1" numFmtId="3"/>
    <dataField name="Sum of Cost Estimate" fld="12" baseField="0" baseItem="1"/>
    <dataField name="Sum of Cost Annual O&amp;M" fld="13" baseField="0" baseItem="1"/>
  </dataFields>
  <formats count="4">
    <format dxfId="10">
      <pivotArea type="all" dataOnly="0" outline="0" fieldPosition="0"/>
    </format>
    <format dxfId="9">
      <pivotArea outline="0" collapsedLevelsAreSubtotals="1" fieldPosition="0"/>
    </format>
    <format dxfId="8">
      <pivotArea dataOnly="0" labelOnly="1" outline="0" fieldPosition="0">
        <references count="1">
          <reference field="4294967294" count="2">
            <x v="2"/>
            <x v="3"/>
          </reference>
        </references>
      </pivotArea>
    </format>
    <format dxfId="7">
      <pivotArea outline="0" collapsedLevelsAreSubtotals="1" fieldPosition="0">
        <references count="1">
          <reference field="4294967294" count="2" selected="0">
            <x v="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314DEE58-DDE9-4C7D-BAB5-3078E2B028FF}" name="PivotTable1" cacheId="8"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3:C43" firstHeaderRow="0" firstDataRow="1" firstDataCol="1" rowPageCount="1" colPageCount="1"/>
  <pivotFields count="24">
    <pivotField showAll="0"/>
    <pivotField showAll="0"/>
    <pivotField showAll="0"/>
    <pivotField showAll="0"/>
    <pivotField showAll="0"/>
    <pivotField showAll="0"/>
    <pivotField showAll="0"/>
    <pivotField axis="axisPage" multipleItemSelectionAllowed="1" showAll="0">
      <items count="6">
        <item h="1" x="2"/>
        <item x="0"/>
        <item h="1" x="3"/>
        <item h="1" x="1"/>
        <item h="1" x="4"/>
        <item t="default"/>
      </items>
    </pivotField>
    <pivotField axis="axisRow" showAll="0">
      <items count="33">
        <item x="28"/>
        <item x="29"/>
        <item x="26"/>
        <item x="25"/>
        <item x="27"/>
        <item x="24"/>
        <item x="8"/>
        <item x="30"/>
        <item x="16"/>
        <item x="6"/>
        <item x="10"/>
        <item x="4"/>
        <item x="23"/>
        <item x="7"/>
        <item x="9"/>
        <item x="1"/>
        <item x="22"/>
        <item x="17"/>
        <item x="0"/>
        <item x="11"/>
        <item x="18"/>
        <item x="13"/>
        <item x="19"/>
        <item x="5"/>
        <item x="12"/>
        <item x="21"/>
        <item x="15"/>
        <item x="20"/>
        <item x="2"/>
        <item x="14"/>
        <item x="3"/>
        <item x="31"/>
        <item t="default"/>
      </items>
    </pivotField>
    <pivotField dataField="1" showAll="0"/>
    <pivotField dataField="1" showAll="0"/>
    <pivotField axis="axisRow" showAll="0">
      <items count="6">
        <item m="1" x="3"/>
        <item x="0"/>
        <item x="1"/>
        <item m="1" x="4"/>
        <item h="1"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s>
  <rowFields count="2">
    <field x="11"/>
    <field x="8"/>
  </rowFields>
  <rowItems count="40">
    <i>
      <x v="1"/>
    </i>
    <i r="1">
      <x v="11"/>
    </i>
    <i r="1">
      <x v="12"/>
    </i>
    <i r="1">
      <x v="15"/>
    </i>
    <i r="1">
      <x v="16"/>
    </i>
    <i r="1">
      <x v="18"/>
    </i>
    <i r="1">
      <x v="19"/>
    </i>
    <i r="1">
      <x v="20"/>
    </i>
    <i r="1">
      <x v="22"/>
    </i>
    <i r="1">
      <x v="23"/>
    </i>
    <i r="1">
      <x v="28"/>
    </i>
    <i r="1">
      <x v="29"/>
    </i>
    <i>
      <x v="2"/>
    </i>
    <i r="1">
      <x/>
    </i>
    <i r="1">
      <x v="1"/>
    </i>
    <i r="1">
      <x v="2"/>
    </i>
    <i r="1">
      <x v="3"/>
    </i>
    <i r="1">
      <x v="4"/>
    </i>
    <i r="1">
      <x v="5"/>
    </i>
    <i r="1">
      <x v="6"/>
    </i>
    <i r="1">
      <x v="7"/>
    </i>
    <i r="1">
      <x v="8"/>
    </i>
    <i r="1">
      <x v="9"/>
    </i>
    <i r="1">
      <x v="10"/>
    </i>
    <i r="1">
      <x v="11"/>
    </i>
    <i r="1">
      <x v="12"/>
    </i>
    <i r="1">
      <x v="13"/>
    </i>
    <i r="1">
      <x v="14"/>
    </i>
    <i r="1">
      <x v="15"/>
    </i>
    <i r="1">
      <x v="16"/>
    </i>
    <i r="1">
      <x v="17"/>
    </i>
    <i r="1">
      <x v="18"/>
    </i>
    <i r="1">
      <x v="19"/>
    </i>
    <i r="1">
      <x v="20"/>
    </i>
    <i r="1">
      <x v="21"/>
    </i>
    <i r="1">
      <x v="22"/>
    </i>
    <i r="1">
      <x v="23"/>
    </i>
    <i r="1">
      <x v="28"/>
    </i>
    <i r="1">
      <x v="29"/>
    </i>
    <i t="grand">
      <x/>
    </i>
  </rowItems>
  <colFields count="1">
    <field x="-2"/>
  </colFields>
  <colItems count="2">
    <i>
      <x/>
    </i>
    <i i="1">
      <x v="1"/>
    </i>
  </colItems>
  <pageFields count="1">
    <pageField fld="7" hier="-1"/>
  </pageFields>
  <dataFields count="2">
    <dataField name="Sum of TNReduction(lbs/yr)" fld="9" baseField="11" baseItem="1"/>
    <dataField name="Sum of TPReduction(lbs/yr)" fld="10" baseField="11" baseItem="1"/>
  </dataFields>
  <formats count="2">
    <format dxfId="4">
      <pivotArea outline="0" collapsedLevelsAreSubtotals="1" fieldPosition="0"/>
    </format>
    <format dxfId="3">
      <pivotArea dataOnly="0" labelOnly="1" outline="0" fieldPosition="0">
        <references count="1">
          <reference field="4294967294" count="2">
            <x v="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A7951C23-10D4-4D7B-9D24-F5AC69A1ADC6}" name="PivotTable8" cacheId="8"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3:B43" firstHeaderRow="1" firstDataRow="1" firstDataCol="1" rowPageCount="1" colPageCount="1"/>
  <pivotFields count="24">
    <pivotField showAll="0"/>
    <pivotField showAll="0"/>
    <pivotField showAll="0"/>
    <pivotField showAll="0"/>
    <pivotField showAll="0"/>
    <pivotField showAll="0"/>
    <pivotField showAll="0"/>
    <pivotField axis="axisPage" multipleItemSelectionAllowed="1" showAll="0">
      <items count="6">
        <item h="1" x="2"/>
        <item x="0"/>
        <item h="1" x="3"/>
        <item h="1" x="1"/>
        <item h="1" x="4"/>
        <item t="default"/>
      </items>
    </pivotField>
    <pivotField axis="axisRow" showAll="0">
      <items count="33">
        <item x="28"/>
        <item x="29"/>
        <item x="26"/>
        <item x="25"/>
        <item x="27"/>
        <item x="24"/>
        <item x="8"/>
        <item x="30"/>
        <item x="16"/>
        <item x="6"/>
        <item x="10"/>
        <item x="4"/>
        <item x="23"/>
        <item x="7"/>
        <item x="9"/>
        <item x="1"/>
        <item x="22"/>
        <item x="17"/>
        <item x="0"/>
        <item x="11"/>
        <item x="18"/>
        <item x="13"/>
        <item x="19"/>
        <item x="5"/>
        <item x="12"/>
        <item x="21"/>
        <item x="15"/>
        <item x="20"/>
        <item x="2"/>
        <item x="14"/>
        <item x="3"/>
        <item x="31"/>
        <item t="default"/>
      </items>
    </pivotField>
    <pivotField showAll="0"/>
    <pivotField dataField="1" showAll="0"/>
    <pivotField axis="axisRow" showAll="0">
      <items count="6">
        <item m="1" x="3"/>
        <item x="0"/>
        <item x="1"/>
        <item m="1" x="4"/>
        <item h="1"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s>
  <rowFields count="2">
    <field x="11"/>
    <field x="8"/>
  </rowFields>
  <rowItems count="40">
    <i>
      <x v="1"/>
    </i>
    <i r="1">
      <x v="11"/>
    </i>
    <i r="1">
      <x v="12"/>
    </i>
    <i r="1">
      <x v="15"/>
    </i>
    <i r="1">
      <x v="16"/>
    </i>
    <i r="1">
      <x v="18"/>
    </i>
    <i r="1">
      <x v="19"/>
    </i>
    <i r="1">
      <x v="20"/>
    </i>
    <i r="1">
      <x v="22"/>
    </i>
    <i r="1">
      <x v="23"/>
    </i>
    <i r="1">
      <x v="28"/>
    </i>
    <i r="1">
      <x v="29"/>
    </i>
    <i>
      <x v="2"/>
    </i>
    <i r="1">
      <x/>
    </i>
    <i r="1">
      <x v="1"/>
    </i>
    <i r="1">
      <x v="2"/>
    </i>
    <i r="1">
      <x v="3"/>
    </i>
    <i r="1">
      <x v="4"/>
    </i>
    <i r="1">
      <x v="5"/>
    </i>
    <i r="1">
      <x v="6"/>
    </i>
    <i r="1">
      <x v="7"/>
    </i>
    <i r="1">
      <x v="8"/>
    </i>
    <i r="1">
      <x v="9"/>
    </i>
    <i r="1">
      <x v="10"/>
    </i>
    <i r="1">
      <x v="11"/>
    </i>
    <i r="1">
      <x v="12"/>
    </i>
    <i r="1">
      <x v="13"/>
    </i>
    <i r="1">
      <x v="14"/>
    </i>
    <i r="1">
      <x v="15"/>
    </i>
    <i r="1">
      <x v="16"/>
    </i>
    <i r="1">
      <x v="17"/>
    </i>
    <i r="1">
      <x v="18"/>
    </i>
    <i r="1">
      <x v="19"/>
    </i>
    <i r="1">
      <x v="20"/>
    </i>
    <i r="1">
      <x v="21"/>
    </i>
    <i r="1">
      <x v="22"/>
    </i>
    <i r="1">
      <x v="23"/>
    </i>
    <i r="1">
      <x v="28"/>
    </i>
    <i r="1">
      <x v="29"/>
    </i>
    <i t="grand">
      <x/>
    </i>
  </rowItems>
  <colItems count="1">
    <i/>
  </colItems>
  <pageFields count="1">
    <pageField fld="7" hier="-1"/>
  </pageFields>
  <dataFields count="1">
    <dataField name="Sum of TPReduction(lbs/yr)" fld="10" baseField="11" baseItem="1" numFmtId="3"/>
  </dataFields>
  <formats count="3">
    <format dxfId="2">
      <pivotArea outline="0" collapsedLevelsAreSubtotals="1" fieldPosition="0"/>
    </format>
    <format dxfId="1">
      <pivotArea dataOnly="0" labelOnly="1" outline="0" fieldPosition="0">
        <references count="1">
          <reference field="7" count="0"/>
        </references>
      </pivotArea>
    </format>
    <format dxfId="0">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7022410D-F8FF-4278-9E40-C83194BE9D1E}" name="PivotTable22" cacheId="7"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N1:N2" firstHeaderRow="1" firstDataRow="1" firstDataCol="0"/>
  <pivotFields count="1">
    <pivotField dataField="1" showAll="0"/>
  </pivotFields>
  <rowItems count="1">
    <i/>
  </rowItems>
  <colItems count="1">
    <i/>
  </colItems>
  <dataFields count="1">
    <dataField name="Count of ProjID"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AD5D9E6C-993D-426A-9D95-15731F93ACEB}" name="PivotTable21" cacheId="7"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K1:K2" firstHeaderRow="1" firstDataRow="1" firstDataCol="0"/>
  <pivotFields count="1">
    <pivotField dataField="1" showAll="0"/>
  </pivotFields>
  <rowItems count="1">
    <i/>
  </rowItems>
  <colItems count="1">
    <i/>
  </colItems>
  <dataFields count="1">
    <dataField name="Sum of ProjID" fld="0" baseField="0" baseItem="123097856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readedComments/threadedComment1.xml><?xml version="1.0" encoding="utf-8"?>
<ThreadedComments xmlns="http://schemas.microsoft.com/office/spreadsheetml/2018/threadedcomments" xmlns:x="http://schemas.openxmlformats.org/spreadsheetml/2006/main">
  <threadedComment ref="F4" dT="2020-02-18T20:17:13.61" personId="{910663B4-CF32-481E-AE93-7D7730B9169C}" id="{8AC6564E-1CFC-48E0-873D-D61C70BA5043}">
    <text>a new standardized project description which was agreed to by DEP management and FDACS</text>
  </threadedComment>
  <threadedComment ref="J4" dT="2020-02-18T20:15:15.91" personId="{910663B4-CF32-481E-AE93-7D7730B9169C}" id="{6777378C-6EEB-470E-982A-9F26A65C4984}">
    <text>Kept N/A</text>
  </threadedComment>
  <threadedComment ref="K4" dT="2020-02-18T20:15:20.63" personId="{910663B4-CF32-481E-AE93-7D7730B9169C}" id="{FABD1071-F253-4B0F-B74F-9AFDC44D37B4}">
    <text>Kept N/A</text>
  </threadedComment>
  <threadedComment ref="F5" dT="2020-02-18T20:17:18.15" personId="{910663B4-CF32-481E-AE93-7D7730B9169C}" id="{7CE150E6-515D-4BDE-985F-57BDCC21BEA5}">
    <text>a new standardized project description which was agreed to by DEP management and FDACS</text>
  </threadedComment>
  <threadedComment ref="J5" dT="2020-02-18T20:15:25.91" personId="{910663B4-CF32-481E-AE93-7D7730B9169C}" id="{D10CB942-1E56-4CE6-9B51-5E41EAD0155C}">
    <text>Kept N/A</text>
  </threadedComment>
  <threadedComment ref="K5" dT="2020-02-18T20:15:29.91" personId="{910663B4-CF32-481E-AE93-7D7730B9169C}" id="{978B2641-BC94-43B3-9501-A2DD633B3589}">
    <text>Kept N/A</text>
  </threadedComment>
  <threadedComment ref="F53" personId="{B4B03F61-DF8A-4099-B19F-58EB4D9CF272}" id="{BBF29827-5EE1-4EA0-AB96-10A4CC1D6B73}">
    <text>Review project description with project type BC-48 to BC-51.</text>
  </threadedComment>
  <threadedComment ref="G85" personId="{B4B03F61-DF8A-4099-B19F-58EB4D9CF272}" id="{24140A3E-E22D-4845-86FC-778393093FB7}">
    <text xml:space="preserve">Should this be Enhanced Public Education since it is outside the scope of the standard FYN, pamphlets, IDP? </text>
  </threadedComment>
  <threadedComment ref="B108" dT="2020-02-20T14:55:50.76" personId="{910663B4-CF32-481E-AE93-7D7730B9169C}" id="{44452580-40B0-4CFB-8D51-48C1731CC7B2}">
    <text>Revised from Brevard County</text>
  </threadedComment>
  <threadedComment ref="J108" dT="2020-02-18T15:17:36.55" personId="{910663B4-CF32-481E-AE93-7D7730B9169C}" id="{282B5EB8-CFC5-43FF-8BBF-C1F3049CB407}">
    <text>Kept TBD</text>
  </threadedComment>
  <threadedComment ref="B109" dT="2020-02-20T14:57:35.28" personId="{910663B4-CF32-481E-AE93-7D7730B9169C}" id="{EF3316D8-408E-44E3-B858-148F0D7B1CB3}">
    <text>Revised from Brevard County</text>
  </threadedComment>
  <threadedComment ref="B110" dT="2020-02-20T14:57:40.76" personId="{910663B4-CF32-481E-AE93-7D7730B9169C}" id="{1BCCE13E-8EF6-4DEC-9106-17606E9E7A7A}">
    <text>Revised from Brevard County</text>
  </threadedComment>
  <threadedComment ref="B111" dT="2020-02-20T14:57:45.05" personId="{910663B4-CF32-481E-AE93-7D7730B9169C}" id="{5BE62D99-DBF6-4E29-8AA2-E678A7FAFC02}">
    <text>Revised from Brevard County</text>
  </threadedComment>
  <threadedComment ref="B112" dT="2020-02-20T14:57:49.28" personId="{910663B4-CF32-481E-AE93-7D7730B9169C}" id="{D5C80F4D-3F0A-46A3-B431-97777CA9CA0B}">
    <text>Revised from Brevard County</text>
  </threadedComment>
  <threadedComment ref="B113" dT="2020-02-20T14:57:53.11" personId="{910663B4-CF32-481E-AE93-7D7730B9169C}" id="{B4923358-352B-4630-9A95-8915634B63C9}">
    <text>Revised from Brevard County</text>
  </threadedComment>
  <threadedComment ref="B114" dT="2020-02-20T14:57:57.19" personId="{910663B4-CF32-481E-AE93-7D7730B9169C}" id="{DB079C7F-5FAB-47DB-88A3-95490F2269C0}">
    <text>Revised from Brevard County</text>
  </threadedComment>
  <threadedComment ref="J125" dT="2020-02-18T14:00:22.09" personId="{910663B4-CF32-481E-AE93-7D7730B9169C}" id="{CE5444D2-634D-46D8-8B12-4746910ACD9D}">
    <text>Revised from 313</text>
  </threadedComment>
  <threadedComment ref="K125" dT="2020-02-18T14:00:40.66" personId="{910663B4-CF32-481E-AE93-7D7730B9169C}" id="{7C745365-0C46-4FC1-8D6C-8C750670AE52}">
    <text>Revised from 215</text>
  </threadedComment>
  <threadedComment ref="J133" dT="2020-02-18T14:05:15.28" personId="{910663B4-CF32-481E-AE93-7D7730B9169C}" id="{F6F05E47-4E4F-4110-BFBE-560963E0E60D}">
    <text>Kept TBD. Being verified by Wood</text>
  </threadedComment>
  <threadedComment ref="K133" dT="2020-02-18T14:05:20.71" personId="{910663B4-CF32-481E-AE93-7D7730B9169C}" id="{490347A7-2EDB-4F9E-A63B-B85D1F1A07A5}">
    <text>Kept TBD. Being verified by Wood</text>
  </threadedComment>
  <threadedComment ref="J134" dT="2020-02-18T14:05:24.98" personId="{910663B4-CF32-481E-AE93-7D7730B9169C}" id="{EB0E1BB2-E71C-4C0F-A67B-D94EF47D79AA}">
    <text>Kept TBD. Being verified by Wood</text>
  </threadedComment>
  <threadedComment ref="K134" dT="2020-02-18T14:05:34.33" personId="{910663B4-CF32-481E-AE93-7D7730B9169C}" id="{507A9842-5905-41DB-B10B-D09BC9FE7FAF}">
    <text>Kept TBD. Being verified by Wood</text>
  </threadedComment>
  <threadedComment ref="J137" dT="2020-02-18T14:06:48.08" personId="{910663B4-CF32-481E-AE93-7D7730B9169C}" id="{F60C819E-CF76-4E39-9A5A-0E3AAD7F0BB1}">
    <text>Kept TBD</text>
  </threadedComment>
  <threadedComment ref="K137" dT="2020-02-18T14:06:51.55" personId="{910663B4-CF32-481E-AE93-7D7730B9169C}" id="{3BC01BA9-F041-4721-8DD5-02DC65EB127F}">
    <text>Kept TBD</text>
  </threadedComment>
  <threadedComment ref="R202" dT="2019-03-18T21:21:59.59" personId="{B4B03F61-DF8A-4099-B19F-58EB4D9CF272}" id="{6C6080F8-9A7A-490E-8FF4-F63E98EEC9B3}">
    <text>Agreement number provided was not alpha numeric.</text>
  </threadedComment>
  <threadedComment ref="J226" dT="2020-02-18T15:09:19.53" personId="{910663B4-CF32-481E-AE93-7D7730B9169C}" id="{60A655E8-6AFE-45B4-9A88-469EB4284252}">
    <text>Revised from 9</text>
  </threadedComment>
  <threadedComment ref="K226" dT="2020-02-18T15:09:39.28" personId="{910663B4-CF32-481E-AE93-7D7730B9169C}" id="{99874FB9-56B7-4B8E-B444-A516ABE28127}">
    <text>Revised from 1</text>
  </threadedComment>
  <threadedComment ref="J232" dT="2020-02-18T15:10:47.08" personId="{910663B4-CF32-481E-AE93-7D7730B9169C}" id="{429B8244-12AF-409C-BD7C-4FDB569B31F9}">
    <text>Revised from 5</text>
  </threadedComment>
  <threadedComment ref="K232" dT="2020-02-18T15:11:05.53" personId="{910663B4-CF32-481E-AE93-7D7730B9169C}" id="{0A0FF19A-0691-417A-8F4E-56886D82376A}">
    <text>Revised from 0</text>
  </threadedComment>
  <threadedComment ref="J240" dT="2020-02-18T15:11:49.00" personId="{910663B4-CF32-481E-AE93-7D7730B9169C}" id="{97D8BA7A-9539-4C64-92B4-5FA8B9E92816}">
    <text>Revised from 1</text>
  </threadedComment>
  <threadedComment ref="K240" dT="2020-02-18T15:12:15.35" personId="{910663B4-CF32-481E-AE93-7D7730B9169C}" id="{0626D6DF-593F-45E2-B0F5-A352EA70E0F9}">
    <text>Revised from 0</text>
  </threadedComment>
  <threadedComment ref="J241" dT="2020-02-18T15:12:45.66" personId="{910663B4-CF32-481E-AE93-7D7730B9169C}" id="{11EC7D65-A3B2-44A1-8FDC-D4179752CE46}">
    <text>Revised from TBD</text>
  </threadedComment>
  <threadedComment ref="K241" dT="2020-02-18T15:12:49.98" personId="{910663B4-CF32-481E-AE93-7D7730B9169C}" id="{678056BD-2CEA-4531-B0A7-1675F05C3DE0}">
    <text>Revised from TBD</text>
  </threadedComment>
  <threadedComment ref="J245" dT="2020-02-18T15:17:36.55" personId="{910663B4-CF32-481E-AE93-7D7730B9169C}" id="{F8C44B91-C501-4821-99DC-21992F050FDA}">
    <text>Kept TBD</text>
  </threadedComment>
  <threadedComment ref="J246" dT="2020-02-18T15:17:36.55" personId="{910663B4-CF32-481E-AE93-7D7730B9169C}" id="{CAE28E73-07F2-44C4-8068-0C38A849E420}">
    <text>Kept TBD</text>
  </threadedComment>
  <threadedComment ref="J250" dT="2020-02-18T15:20:07.60" personId="{910663B4-CF32-481E-AE93-7D7730B9169C}" id="{9C20629A-D4A0-4158-8090-1CB822DB40D8}">
    <text>Revised from 4. Sent to Wood for Verification</text>
  </threadedComment>
  <threadedComment ref="J252" dT="2020-02-18T15:21:27.95" personId="{910663B4-CF32-481E-AE93-7D7730B9169C}" id="{2DFBF1E6-CD6E-42D5-8EAC-85DE59770A95}">
    <text>Revised from 1.6. Sent to Wood for Verification</text>
  </threadedComment>
  <threadedComment ref="K252" dT="2020-02-18T15:21:38.43" personId="{910663B4-CF32-481E-AE93-7D7730B9169C}" id="{520110BE-9F86-4CC1-B4DF-EE0D6E825975}">
    <text>Revised from 0.44. Sent to Wood for Verification</text>
  </threadedComment>
  <threadedComment ref="J254" dT="2020-02-18T15:23:55.58" personId="{910663B4-CF32-481E-AE93-7D7730B9169C}" id="{240A2BBA-69A9-42A3-92EB-9664722650E8}">
    <text>Revised from 13. Sent to Wood for Verification</text>
  </threadedComment>
  <threadedComment ref="J262" dT="2020-02-18T15:17:36.55" personId="{910663B4-CF32-481E-AE93-7D7730B9169C}" id="{62004A67-161D-446D-BEB0-29E3C3FCC3C7}">
    <text>Kept TBD</text>
  </threadedComment>
</ThreadedComments>
</file>

<file path=xl/threadedComments/threadedComment2.xml><?xml version="1.0" encoding="utf-8"?>
<ThreadedComments xmlns="http://schemas.microsoft.com/office/spreadsheetml/2018/threadedcomments" xmlns:x="http://schemas.openxmlformats.org/spreadsheetml/2006/main">
  <threadedComment ref="A110" personId="{B4B03F61-DF8A-4099-B19F-58EB4D9CF272}" id="{37EBE052-B834-4788-8A29-C4C4391E0830}">
    <text xml:space="preserve">Should this be Enhanced Public Education since it is outside the scope of the standard FYN, pamphlets, IDP? </text>
  </threadedComment>
</ThreadedComments>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5">
    <wetp:webextensionref xmlns:r="http://schemas.openxmlformats.org/officeDocument/2006/relationships" r:id="rId1"/>
  </wetp:taskpane>
</wetp:taskpanes>
</file>

<file path=xl/webextensions/webextension1.xml><?xml version="1.0" encoding="utf-8"?>
<we:webextension xmlns:we="http://schemas.microsoft.com/office/webextensions/webextension/2010/11" id="{788DE713-5D61-43BB-A0BE-7F984D489735}">
  <we:reference id="wa104379727" version="1.0.0.0" store="en-US" storeType="OMEX"/>
  <we:alternateReferences>
    <we:reference id="wa104379727" version="1.0.0.0" store="wa104379727" storeType="OMEX"/>
  </we:alternateReferences>
  <we:properties/>
  <we:bindings>
    <we:binding id="Range" type="matrix" appref="{51C949FC-53C8-4D7F-A537-8DFDF9487755}"/>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ivotTable" Target="../pivotTables/pivotTable1.xml"/></Relationships>
</file>

<file path=xl/worksheets/_rels/sheet5.xml.rels><?xml version="1.0" encoding="UTF-8" standalone="yes"?>
<Relationships xmlns="http://schemas.openxmlformats.org/package/2006/relationships"><Relationship Id="rId3" Type="http://schemas.openxmlformats.org/officeDocument/2006/relationships/pivotTable" Target="../pivotTables/pivotTable4.xml"/><Relationship Id="rId2" Type="http://schemas.openxmlformats.org/officeDocument/2006/relationships/pivotTable" Target="../pivotTables/pivotTable3.xml"/><Relationship Id="rId1" Type="http://schemas.openxmlformats.org/officeDocument/2006/relationships/pivotTable" Target="../pivotTables/pivotTable2.xml"/><Relationship Id="rId4"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5.bin"/><Relationship Id="rId1" Type="http://schemas.openxmlformats.org/officeDocument/2006/relationships/pivotTable" Target="../pivotTables/pivotTable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ivotTable" Target="../pivotTables/pivotTable6.x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ivotTable" Target="../pivotTables/pivotTable8.xml"/><Relationship Id="rId1" Type="http://schemas.openxmlformats.org/officeDocument/2006/relationships/pivotTable" Target="../pivotTables/pivotTable7.xml"/><Relationship Id="rId6" Type="http://schemas.microsoft.com/office/2017/10/relationships/threadedComment" Target="../threadedComments/threadedComment2.xml"/><Relationship Id="rId5" Type="http://schemas.openxmlformats.org/officeDocument/2006/relationships/comments" Target="../comments2.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24"/>
  <sheetViews>
    <sheetView tabSelected="1" workbookViewId="0">
      <selection activeCell="A21" sqref="A21"/>
    </sheetView>
  </sheetViews>
  <sheetFormatPr defaultColWidth="9.109375" defaultRowHeight="14.4" x14ac:dyDescent="0.3"/>
  <cols>
    <col min="1" max="1" width="27.77734375" style="9" customWidth="1"/>
    <col min="2" max="2" width="9.109375" style="9"/>
    <col min="3" max="3" width="25.88671875" style="9" customWidth="1"/>
    <col min="4" max="4" width="17.44140625" style="9" customWidth="1"/>
    <col min="5" max="16384" width="9.109375" style="9"/>
  </cols>
  <sheetData>
    <row r="1" spans="1:23" x14ac:dyDescent="0.3">
      <c r="A1" s="8" t="s">
        <v>406</v>
      </c>
    </row>
    <row r="2" spans="1:23" x14ac:dyDescent="0.3">
      <c r="A2" s="147" t="s">
        <v>544</v>
      </c>
      <c r="B2" s="148"/>
      <c r="C2" s="148"/>
      <c r="D2" s="148"/>
      <c r="E2" s="148"/>
      <c r="F2" s="148"/>
      <c r="G2" s="148"/>
      <c r="H2" s="148"/>
      <c r="I2" s="148"/>
      <c r="J2" s="148"/>
      <c r="K2" s="148"/>
      <c r="L2" s="148"/>
    </row>
    <row r="3" spans="1:23" x14ac:dyDescent="0.3">
      <c r="A3" s="149" t="s">
        <v>543</v>
      </c>
      <c r="B3" s="148"/>
      <c r="C3" s="148"/>
      <c r="D3" s="148"/>
      <c r="E3" s="148"/>
      <c r="F3" s="148"/>
      <c r="G3" s="148"/>
      <c r="H3" s="148"/>
      <c r="I3" s="148"/>
      <c r="J3" s="148"/>
      <c r="K3" s="148"/>
      <c r="L3" s="148"/>
    </row>
    <row r="4" spans="1:23" x14ac:dyDescent="0.3">
      <c r="A4" s="148" t="s">
        <v>545</v>
      </c>
      <c r="B4" s="148"/>
      <c r="C4" s="148"/>
      <c r="D4" s="148"/>
      <c r="E4" s="148"/>
      <c r="F4" s="148"/>
      <c r="G4" s="148"/>
      <c r="H4" s="148"/>
      <c r="I4" s="148"/>
      <c r="J4" s="148"/>
      <c r="K4" s="148"/>
      <c r="L4" s="148"/>
    </row>
    <row r="5" spans="1:23" x14ac:dyDescent="0.3">
      <c r="A5" s="148" t="s">
        <v>624</v>
      </c>
      <c r="B5" s="148"/>
      <c r="C5" s="148"/>
      <c r="D5" s="148"/>
      <c r="E5" s="148"/>
      <c r="F5" s="148"/>
      <c r="G5" s="148"/>
      <c r="H5" s="148"/>
      <c r="I5" s="148"/>
      <c r="J5" s="148"/>
      <c r="K5" s="148"/>
      <c r="L5" s="148"/>
    </row>
    <row r="6" spans="1:23" x14ac:dyDescent="0.3">
      <c r="A6" s="148" t="s">
        <v>626</v>
      </c>
      <c r="B6" s="148"/>
      <c r="C6" s="148"/>
      <c r="D6" s="148"/>
      <c r="E6" s="148"/>
      <c r="F6" s="150"/>
      <c r="G6" s="151"/>
      <c r="H6" s="148"/>
      <c r="I6" s="148"/>
      <c r="J6" s="148"/>
      <c r="K6" s="148"/>
      <c r="L6" s="148"/>
    </row>
    <row r="7" spans="1:23" x14ac:dyDescent="0.3">
      <c r="A7" s="148" t="s">
        <v>680</v>
      </c>
      <c r="B7" s="148"/>
      <c r="C7" s="148"/>
      <c r="D7" s="148"/>
      <c r="E7" s="148"/>
      <c r="F7" s="148"/>
      <c r="G7" s="148"/>
      <c r="H7" s="148"/>
      <c r="I7" s="152"/>
      <c r="J7" s="148"/>
      <c r="K7" s="148"/>
      <c r="L7" s="148"/>
    </row>
    <row r="8" spans="1:23" x14ac:dyDescent="0.3">
      <c r="A8" s="148" t="s">
        <v>1513</v>
      </c>
      <c r="B8" s="148"/>
      <c r="C8" s="148"/>
      <c r="D8" s="153"/>
      <c r="E8" s="148"/>
      <c r="F8" s="148"/>
      <c r="G8" s="148"/>
      <c r="H8" s="148"/>
      <c r="I8" s="148"/>
      <c r="J8" s="148"/>
      <c r="K8" s="148"/>
      <c r="L8" s="148"/>
    </row>
    <row r="9" spans="1:23" x14ac:dyDescent="0.3">
      <c r="A9" s="154" t="s">
        <v>845</v>
      </c>
      <c r="B9" s="154"/>
      <c r="C9" s="154"/>
      <c r="D9" s="154"/>
      <c r="E9" s="154"/>
      <c r="F9" s="154"/>
      <c r="G9" s="154"/>
      <c r="H9" s="154"/>
      <c r="I9" s="154"/>
      <c r="J9" s="148"/>
      <c r="K9" s="148"/>
      <c r="L9" s="148"/>
    </row>
    <row r="10" spans="1:23" x14ac:dyDescent="0.3">
      <c r="A10" s="155" t="s">
        <v>846</v>
      </c>
      <c r="B10" s="155"/>
      <c r="C10" s="155"/>
      <c r="D10" s="155"/>
      <c r="E10" s="155"/>
      <c r="F10" s="148"/>
      <c r="G10" s="148"/>
      <c r="H10" s="148"/>
      <c r="I10" s="148"/>
      <c r="J10" s="148"/>
      <c r="K10" s="148"/>
      <c r="L10" s="148"/>
    </row>
    <row r="11" spans="1:23" x14ac:dyDescent="0.3">
      <c r="A11" s="148" t="s">
        <v>904</v>
      </c>
      <c r="B11" s="148"/>
      <c r="C11" s="148"/>
      <c r="D11" s="156"/>
      <c r="E11" s="156"/>
      <c r="F11" s="156"/>
      <c r="G11" s="156"/>
      <c r="H11" s="156"/>
      <c r="I11" s="156"/>
      <c r="J11" s="156"/>
      <c r="K11" s="156"/>
      <c r="L11" s="156"/>
    </row>
    <row r="12" spans="1:23" x14ac:dyDescent="0.3">
      <c r="A12" s="148" t="s">
        <v>963</v>
      </c>
      <c r="B12" s="148"/>
      <c r="C12" s="148"/>
      <c r="D12" s="148"/>
      <c r="E12" s="148"/>
      <c r="F12" s="148"/>
      <c r="G12" s="157"/>
      <c r="H12" s="148"/>
      <c r="I12" s="148"/>
      <c r="J12" s="148"/>
      <c r="K12" s="148"/>
      <c r="L12" s="148"/>
    </row>
    <row r="13" spans="1:23" x14ac:dyDescent="0.3">
      <c r="A13" s="148" t="s">
        <v>1059</v>
      </c>
      <c r="B13" s="148"/>
      <c r="C13" s="148"/>
      <c r="D13" s="158"/>
      <c r="E13" s="158"/>
      <c r="F13" s="148"/>
      <c r="G13" s="148"/>
      <c r="H13" s="148"/>
      <c r="I13" s="148"/>
      <c r="J13" s="148"/>
      <c r="K13" s="148"/>
      <c r="L13" s="148"/>
    </row>
    <row r="14" spans="1:23" x14ac:dyDescent="0.3">
      <c r="A14" s="148" t="s">
        <v>1484</v>
      </c>
      <c r="B14" s="148"/>
      <c r="C14" s="148"/>
      <c r="D14" s="148"/>
      <c r="E14" s="148"/>
      <c r="F14" s="148"/>
      <c r="G14" s="148"/>
      <c r="H14" s="148"/>
      <c r="I14" s="148"/>
      <c r="J14" s="148"/>
      <c r="K14" s="148"/>
      <c r="L14" s="148"/>
    </row>
    <row r="15" spans="1:23" x14ac:dyDescent="0.3">
      <c r="A15" s="159" t="s">
        <v>1487</v>
      </c>
      <c r="B15" s="159"/>
      <c r="C15" s="159"/>
      <c r="D15" s="159"/>
      <c r="E15" s="159"/>
      <c r="F15" s="159"/>
      <c r="G15" s="159"/>
      <c r="H15" s="159"/>
      <c r="I15" s="159"/>
      <c r="J15" s="159"/>
      <c r="K15" s="159"/>
      <c r="L15" s="159"/>
      <c r="M15" s="105"/>
      <c r="N15" s="105"/>
      <c r="O15" s="105"/>
      <c r="P15" s="105"/>
      <c r="Q15" s="105"/>
      <c r="R15" s="105"/>
      <c r="S15" s="105"/>
      <c r="T15" s="105"/>
      <c r="U15" s="105"/>
      <c r="V15" s="105"/>
      <c r="W15" s="105"/>
    </row>
    <row r="16" spans="1:23" x14ac:dyDescent="0.3">
      <c r="A16" s="148" t="s">
        <v>1491</v>
      </c>
      <c r="B16" s="148"/>
      <c r="C16" s="148"/>
      <c r="D16" s="148"/>
      <c r="E16" s="148"/>
      <c r="F16" s="148"/>
      <c r="G16" s="148"/>
      <c r="H16" s="148"/>
      <c r="I16" s="148"/>
      <c r="J16" s="148"/>
      <c r="K16" s="148"/>
      <c r="L16" s="160"/>
    </row>
    <row r="18" spans="1:5" x14ac:dyDescent="0.3">
      <c r="A18" s="82" t="s">
        <v>1518</v>
      </c>
    </row>
    <row r="19" spans="1:5" ht="57.6" x14ac:dyDescent="0.3">
      <c r="A19" s="161" t="s">
        <v>1508</v>
      </c>
      <c r="B19" s="162"/>
      <c r="C19" s="162"/>
      <c r="D19" s="162"/>
    </row>
    <row r="20" spans="1:5" ht="28.8" x14ac:dyDescent="0.3">
      <c r="A20" s="163" t="s">
        <v>1509</v>
      </c>
      <c r="B20" s="162"/>
      <c r="C20" s="162"/>
      <c r="D20" s="162"/>
    </row>
    <row r="21" spans="1:5" ht="72" x14ac:dyDescent="0.3">
      <c r="A21" s="164" t="s">
        <v>1510</v>
      </c>
      <c r="B21" s="162"/>
      <c r="C21" s="165" t="s">
        <v>1514</v>
      </c>
      <c r="D21" s="169" t="s">
        <v>1519</v>
      </c>
      <c r="E21" s="165" t="s">
        <v>1515</v>
      </c>
    </row>
    <row r="22" spans="1:5" ht="43.2" x14ac:dyDescent="0.3">
      <c r="A22" s="166" t="s">
        <v>1511</v>
      </c>
      <c r="B22" s="162"/>
      <c r="C22" s="162"/>
      <c r="D22" s="162"/>
    </row>
    <row r="23" spans="1:5" ht="28.8" x14ac:dyDescent="0.3">
      <c r="A23" s="167" t="s">
        <v>1512</v>
      </c>
      <c r="B23" s="162"/>
      <c r="C23" s="162"/>
      <c r="D23" s="162"/>
    </row>
    <row r="24" spans="1:5" x14ac:dyDescent="0.3">
      <c r="A24" s="168" t="s">
        <v>1506</v>
      </c>
      <c r="B24" s="162"/>
      <c r="C24" s="162"/>
      <c r="D24" s="162"/>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C301"/>
  <sheetViews>
    <sheetView zoomScaleNormal="100" workbookViewId="0">
      <pane ySplit="1" topLeftCell="A2" activePane="bottomLeft" state="frozen"/>
      <selection activeCell="K1" sqref="K1"/>
      <selection pane="bottomLeft" activeCell="D2" sqref="D2"/>
    </sheetView>
  </sheetViews>
  <sheetFormatPr defaultColWidth="24.44140625" defaultRowHeight="14.4" x14ac:dyDescent="0.3"/>
  <cols>
    <col min="1" max="1" width="9.6640625" style="87" customWidth="1"/>
    <col min="2" max="2" width="15.6640625" style="21" customWidth="1"/>
    <col min="3" max="3" width="17.109375" style="18" customWidth="1"/>
    <col min="4" max="4" width="7" style="21" customWidth="1"/>
    <col min="5" max="5" width="15.6640625" style="21" customWidth="1"/>
    <col min="6" max="6" width="25.6640625" style="21" customWidth="1"/>
    <col min="7" max="8" width="15.6640625" style="21" customWidth="1"/>
    <col min="9" max="9" width="13.6640625" style="89" customWidth="1"/>
    <col min="10" max="10" width="11" style="23" customWidth="1"/>
    <col min="11" max="11" width="10.6640625" style="23" customWidth="1"/>
    <col min="12" max="12" width="15.6640625" style="21" customWidth="1"/>
    <col min="13" max="13" width="11.33203125" style="23" customWidth="1"/>
    <col min="14" max="16" width="15.6640625" style="70" customWidth="1"/>
    <col min="17" max="17" width="15.6640625" style="24" customWidth="1"/>
    <col min="18" max="18" width="13.33203125" style="21" customWidth="1"/>
    <col min="19" max="19" width="15.6640625" style="21" customWidth="1"/>
    <col min="20" max="20" width="13.44140625" style="21" customWidth="1"/>
    <col min="21" max="21" width="15.6640625" style="18" customWidth="1"/>
    <col min="22" max="23" width="15.6640625" style="98" customWidth="1"/>
    <col min="24" max="24" width="15.6640625" style="18" customWidth="1"/>
    <col min="25" max="25" width="24.44140625" style="14" customWidth="1"/>
    <col min="26" max="26" width="13.33203125" style="14" customWidth="1"/>
    <col min="27" max="27" width="14.21875" style="14" bestFit="1" customWidth="1"/>
    <col min="28" max="28" width="24.88671875" style="14" bestFit="1" customWidth="1"/>
    <col min="29" max="16384" width="24.44140625" style="14"/>
  </cols>
  <sheetData>
    <row r="1" spans="1:29" s="12" customFormat="1" ht="57" customHeight="1" x14ac:dyDescent="0.3">
      <c r="A1" s="116" t="s">
        <v>627</v>
      </c>
      <c r="B1" s="116" t="s">
        <v>715</v>
      </c>
      <c r="C1" s="116" t="s">
        <v>197</v>
      </c>
      <c r="D1" s="116" t="s">
        <v>716</v>
      </c>
      <c r="E1" s="116" t="s">
        <v>717</v>
      </c>
      <c r="F1" s="116" t="s">
        <v>718</v>
      </c>
      <c r="G1" s="116" t="s">
        <v>719</v>
      </c>
      <c r="H1" s="116" t="s">
        <v>720</v>
      </c>
      <c r="I1" s="117" t="s">
        <v>721</v>
      </c>
      <c r="J1" s="118" t="s">
        <v>722</v>
      </c>
      <c r="K1" s="118" t="s">
        <v>723</v>
      </c>
      <c r="L1" s="116" t="s">
        <v>196</v>
      </c>
      <c r="M1" s="118" t="s">
        <v>724</v>
      </c>
      <c r="N1" s="119" t="s">
        <v>725</v>
      </c>
      <c r="O1" s="119" t="s">
        <v>726</v>
      </c>
      <c r="P1" s="119" t="s">
        <v>727</v>
      </c>
      <c r="Q1" s="119" t="s">
        <v>728</v>
      </c>
      <c r="R1" s="116" t="s">
        <v>729</v>
      </c>
      <c r="S1" s="112" t="s">
        <v>186</v>
      </c>
      <c r="T1" s="112" t="s">
        <v>182</v>
      </c>
      <c r="U1" s="112" t="s">
        <v>193</v>
      </c>
      <c r="V1" s="113" t="s">
        <v>194</v>
      </c>
      <c r="W1" s="113" t="s">
        <v>195</v>
      </c>
      <c r="X1" s="112" t="s">
        <v>198</v>
      </c>
      <c r="Y1" s="112" t="s">
        <v>1065</v>
      </c>
      <c r="Z1" s="106" t="s">
        <v>1494</v>
      </c>
      <c r="AA1" s="106" t="s">
        <v>1495</v>
      </c>
      <c r="AB1" s="115" t="s">
        <v>1496</v>
      </c>
      <c r="AC1" s="115" t="s">
        <v>1497</v>
      </c>
    </row>
    <row r="2" spans="1:29" ht="37.5" customHeight="1" x14ac:dyDescent="0.3">
      <c r="A2" s="81">
        <v>3032</v>
      </c>
      <c r="B2" s="81" t="s">
        <v>750</v>
      </c>
      <c r="C2" s="140" t="s">
        <v>497</v>
      </c>
      <c r="D2" s="146" t="s">
        <v>582</v>
      </c>
      <c r="E2" s="81" t="s">
        <v>31</v>
      </c>
      <c r="F2" s="81" t="s">
        <v>584</v>
      </c>
      <c r="G2" s="81" t="s">
        <v>227</v>
      </c>
      <c r="H2" s="81" t="s">
        <v>3</v>
      </c>
      <c r="I2" s="141" t="s">
        <v>585</v>
      </c>
      <c r="J2" s="135">
        <v>5047</v>
      </c>
      <c r="K2" s="135">
        <v>1420.3</v>
      </c>
      <c r="L2" s="108" t="s">
        <v>30</v>
      </c>
      <c r="M2" s="136" t="s">
        <v>497</v>
      </c>
      <c r="N2" s="142" t="s">
        <v>497</v>
      </c>
      <c r="O2" s="142" t="s">
        <v>497</v>
      </c>
      <c r="P2" s="142" t="s">
        <v>497</v>
      </c>
      <c r="Q2" s="142" t="s">
        <v>497</v>
      </c>
      <c r="R2" s="81" t="s">
        <v>497</v>
      </c>
      <c r="S2" s="81" t="s">
        <v>184</v>
      </c>
      <c r="T2" s="81">
        <v>2013</v>
      </c>
      <c r="U2" s="81" t="s">
        <v>199</v>
      </c>
      <c r="V2" s="145" t="s">
        <v>497</v>
      </c>
      <c r="W2" s="145" t="s">
        <v>497</v>
      </c>
      <c r="X2" s="140" t="s">
        <v>585</v>
      </c>
      <c r="Y2" s="81"/>
      <c r="Z2" s="140" t="s">
        <v>1492</v>
      </c>
      <c r="AA2" s="81" t="s">
        <v>1493</v>
      </c>
      <c r="AB2" s="81" t="s">
        <v>1505</v>
      </c>
      <c r="AC2" s="108" t="s">
        <v>1506</v>
      </c>
    </row>
    <row r="3" spans="1:29" ht="38.25" customHeight="1" x14ac:dyDescent="0.3">
      <c r="A3" s="81">
        <v>3030</v>
      </c>
      <c r="B3" s="81" t="s">
        <v>750</v>
      </c>
      <c r="C3" s="140" t="s">
        <v>497</v>
      </c>
      <c r="D3" s="146" t="s">
        <v>583</v>
      </c>
      <c r="E3" s="81" t="s">
        <v>31</v>
      </c>
      <c r="F3" s="81" t="s">
        <v>584</v>
      </c>
      <c r="G3" s="81" t="s">
        <v>227</v>
      </c>
      <c r="H3" s="81" t="s">
        <v>3</v>
      </c>
      <c r="I3" s="141" t="s">
        <v>585</v>
      </c>
      <c r="J3" s="135">
        <v>4739</v>
      </c>
      <c r="K3" s="135">
        <v>1029.4000000000001</v>
      </c>
      <c r="L3" s="108" t="s">
        <v>29</v>
      </c>
      <c r="M3" s="136" t="s">
        <v>497</v>
      </c>
      <c r="N3" s="142" t="s">
        <v>497</v>
      </c>
      <c r="O3" s="142" t="s">
        <v>497</v>
      </c>
      <c r="P3" s="142" t="s">
        <v>497</v>
      </c>
      <c r="Q3" s="142" t="s">
        <v>497</v>
      </c>
      <c r="R3" s="81" t="s">
        <v>497</v>
      </c>
      <c r="S3" s="81" t="s">
        <v>184</v>
      </c>
      <c r="T3" s="81">
        <v>2013</v>
      </c>
      <c r="U3" s="81" t="s">
        <v>199</v>
      </c>
      <c r="V3" s="145" t="s">
        <v>497</v>
      </c>
      <c r="W3" s="145" t="s">
        <v>497</v>
      </c>
      <c r="X3" s="140" t="s">
        <v>585</v>
      </c>
      <c r="Y3" s="81"/>
      <c r="Z3" s="140" t="s">
        <v>1492</v>
      </c>
      <c r="AA3" s="81" t="s">
        <v>1493</v>
      </c>
      <c r="AB3" s="81" t="s">
        <v>1505</v>
      </c>
      <c r="AC3" s="108" t="s">
        <v>1506</v>
      </c>
    </row>
    <row r="4" spans="1:29" ht="38.25" customHeight="1" x14ac:dyDescent="0.3">
      <c r="A4" s="81">
        <v>4837</v>
      </c>
      <c r="B4" s="81" t="s">
        <v>750</v>
      </c>
      <c r="C4" s="81" t="s">
        <v>751</v>
      </c>
      <c r="D4" s="146" t="s">
        <v>752</v>
      </c>
      <c r="E4" s="81" t="s">
        <v>753</v>
      </c>
      <c r="F4" s="81" t="s">
        <v>844</v>
      </c>
      <c r="G4" s="81" t="s">
        <v>730</v>
      </c>
      <c r="H4" s="81" t="s">
        <v>3</v>
      </c>
      <c r="I4" s="141" t="s">
        <v>497</v>
      </c>
      <c r="J4" s="135" t="s">
        <v>497</v>
      </c>
      <c r="K4" s="135" t="s">
        <v>497</v>
      </c>
      <c r="L4" s="108" t="s">
        <v>30</v>
      </c>
      <c r="M4" s="136">
        <v>212.4498796826222</v>
      </c>
      <c r="N4" s="142" t="s">
        <v>20</v>
      </c>
      <c r="O4" s="142" t="s">
        <v>20</v>
      </c>
      <c r="P4" s="111" t="s">
        <v>750</v>
      </c>
      <c r="Q4" s="142" t="s">
        <v>20</v>
      </c>
      <c r="R4" s="81" t="s">
        <v>497</v>
      </c>
      <c r="S4" s="81" t="s">
        <v>184</v>
      </c>
      <c r="T4" s="81">
        <v>2018</v>
      </c>
      <c r="U4" s="81" t="s">
        <v>199</v>
      </c>
      <c r="V4" s="145" t="s">
        <v>497</v>
      </c>
      <c r="W4" s="145" t="s">
        <v>497</v>
      </c>
      <c r="X4" s="140" t="s">
        <v>497</v>
      </c>
      <c r="Y4" s="81"/>
      <c r="Z4" s="140" t="s">
        <v>1492</v>
      </c>
      <c r="AA4" s="81" t="s">
        <v>1493</v>
      </c>
      <c r="AB4" s="81" t="s">
        <v>1505</v>
      </c>
      <c r="AC4" s="108" t="s">
        <v>1506</v>
      </c>
    </row>
    <row r="5" spans="1:29" ht="38.25" customHeight="1" x14ac:dyDescent="0.3">
      <c r="A5" s="81">
        <v>4838</v>
      </c>
      <c r="B5" s="81" t="s">
        <v>750</v>
      </c>
      <c r="C5" s="81" t="s">
        <v>751</v>
      </c>
      <c r="D5" s="146" t="s">
        <v>754</v>
      </c>
      <c r="E5" s="81" t="s">
        <v>753</v>
      </c>
      <c r="F5" s="81" t="s">
        <v>844</v>
      </c>
      <c r="G5" s="81" t="s">
        <v>730</v>
      </c>
      <c r="H5" s="81" t="s">
        <v>3</v>
      </c>
      <c r="I5" s="141" t="s">
        <v>497</v>
      </c>
      <c r="J5" s="135" t="s">
        <v>497</v>
      </c>
      <c r="K5" s="135" t="s">
        <v>497</v>
      </c>
      <c r="L5" s="108" t="s">
        <v>29</v>
      </c>
      <c r="M5" s="136">
        <v>67.796502288520003</v>
      </c>
      <c r="N5" s="142" t="s">
        <v>20</v>
      </c>
      <c r="O5" s="142" t="s">
        <v>20</v>
      </c>
      <c r="P5" s="111" t="s">
        <v>750</v>
      </c>
      <c r="Q5" s="142" t="s">
        <v>20</v>
      </c>
      <c r="R5" s="81" t="s">
        <v>497</v>
      </c>
      <c r="S5" s="81" t="s">
        <v>184</v>
      </c>
      <c r="T5" s="81">
        <v>2019</v>
      </c>
      <c r="U5" s="81" t="s">
        <v>199</v>
      </c>
      <c r="V5" s="145" t="s">
        <v>497</v>
      </c>
      <c r="W5" s="145" t="s">
        <v>497</v>
      </c>
      <c r="X5" s="140" t="s">
        <v>497</v>
      </c>
      <c r="Y5" s="81"/>
      <c r="Z5" s="140" t="s">
        <v>1492</v>
      </c>
      <c r="AA5" s="81" t="s">
        <v>1493</v>
      </c>
      <c r="AB5" s="81" t="s">
        <v>1505</v>
      </c>
      <c r="AC5" s="108" t="s">
        <v>1506</v>
      </c>
    </row>
    <row r="6" spans="1:29" ht="25.5" customHeight="1" x14ac:dyDescent="0.3">
      <c r="A6" s="81">
        <v>2769</v>
      </c>
      <c r="B6" s="81" t="s">
        <v>0</v>
      </c>
      <c r="C6" s="140" t="s">
        <v>497</v>
      </c>
      <c r="D6" s="146" t="s">
        <v>1049</v>
      </c>
      <c r="E6" s="81" t="s">
        <v>32</v>
      </c>
      <c r="F6" s="81" t="s">
        <v>421</v>
      </c>
      <c r="G6" s="81" t="s">
        <v>222</v>
      </c>
      <c r="H6" s="81" t="s">
        <v>1517</v>
      </c>
      <c r="I6" s="109">
        <v>2014</v>
      </c>
      <c r="J6" s="131" t="s">
        <v>585</v>
      </c>
      <c r="K6" s="131" t="s">
        <v>585</v>
      </c>
      <c r="L6" s="54" t="s">
        <v>30</v>
      </c>
      <c r="M6" s="131" t="s">
        <v>585</v>
      </c>
      <c r="N6" s="111">
        <v>2000</v>
      </c>
      <c r="O6" s="111">
        <v>2000</v>
      </c>
      <c r="P6" s="111" t="s">
        <v>547</v>
      </c>
      <c r="Q6" s="111" t="s">
        <v>801</v>
      </c>
      <c r="R6" s="81" t="s">
        <v>497</v>
      </c>
      <c r="S6" s="81" t="s">
        <v>184</v>
      </c>
      <c r="T6" s="81">
        <v>2013</v>
      </c>
      <c r="U6" s="81" t="s">
        <v>199</v>
      </c>
      <c r="V6" s="145" t="s">
        <v>585</v>
      </c>
      <c r="W6" s="145" t="s">
        <v>585</v>
      </c>
      <c r="X6" s="81">
        <v>2010</v>
      </c>
      <c r="Y6" s="81"/>
      <c r="Z6" s="81" t="s">
        <v>1492</v>
      </c>
      <c r="AA6" s="81" t="s">
        <v>1492</v>
      </c>
      <c r="AB6" s="81" t="s">
        <v>1498</v>
      </c>
      <c r="AC6" s="54" t="s">
        <v>1499</v>
      </c>
    </row>
    <row r="7" spans="1:29" ht="25.5" customHeight="1" x14ac:dyDescent="0.3">
      <c r="A7" s="81">
        <v>2797</v>
      </c>
      <c r="B7" s="81" t="s">
        <v>0</v>
      </c>
      <c r="C7" s="81" t="s">
        <v>567</v>
      </c>
      <c r="D7" s="146" t="s">
        <v>1050</v>
      </c>
      <c r="E7" s="81" t="s">
        <v>33</v>
      </c>
      <c r="F7" s="81" t="s">
        <v>882</v>
      </c>
      <c r="G7" s="81" t="s">
        <v>229</v>
      </c>
      <c r="H7" s="81" t="s">
        <v>3</v>
      </c>
      <c r="I7" s="109">
        <v>2010</v>
      </c>
      <c r="J7" s="132">
        <v>2699</v>
      </c>
      <c r="K7" s="132">
        <v>1109.4000000000001</v>
      </c>
      <c r="L7" s="54" t="s">
        <v>30</v>
      </c>
      <c r="M7" s="131">
        <v>1072.5</v>
      </c>
      <c r="N7" s="111">
        <v>2051405</v>
      </c>
      <c r="O7" s="142" t="s">
        <v>585</v>
      </c>
      <c r="P7" s="111" t="s">
        <v>379</v>
      </c>
      <c r="Q7" s="142" t="s">
        <v>585</v>
      </c>
      <c r="R7" s="81" t="s">
        <v>252</v>
      </c>
      <c r="S7" s="81" t="s">
        <v>185</v>
      </c>
      <c r="T7" s="81">
        <v>2013</v>
      </c>
      <c r="U7" s="81" t="s">
        <v>199</v>
      </c>
      <c r="V7" s="100" t="s">
        <v>1067</v>
      </c>
      <c r="W7" s="100" t="s">
        <v>1069</v>
      </c>
      <c r="X7" s="81">
        <v>2010</v>
      </c>
      <c r="Y7" s="81"/>
      <c r="Z7" s="81" t="s">
        <v>1493</v>
      </c>
      <c r="AA7" s="81" t="s">
        <v>1493</v>
      </c>
      <c r="AB7" s="81" t="s">
        <v>1493</v>
      </c>
      <c r="AC7" s="54" t="s">
        <v>1504</v>
      </c>
    </row>
    <row r="8" spans="1:29" ht="97.5" customHeight="1" x14ac:dyDescent="0.3">
      <c r="A8" s="81">
        <v>2796</v>
      </c>
      <c r="B8" s="81" t="s">
        <v>0</v>
      </c>
      <c r="C8" s="81" t="s">
        <v>588</v>
      </c>
      <c r="D8" s="146" t="s">
        <v>1051</v>
      </c>
      <c r="E8" s="81" t="s">
        <v>1</v>
      </c>
      <c r="F8" s="81" t="s">
        <v>422</v>
      </c>
      <c r="G8" s="81" t="s">
        <v>1</v>
      </c>
      <c r="H8" s="81" t="s">
        <v>1517</v>
      </c>
      <c r="I8" s="141" t="s">
        <v>497</v>
      </c>
      <c r="J8" s="132">
        <v>1660</v>
      </c>
      <c r="K8" s="132">
        <v>214</v>
      </c>
      <c r="L8" s="54" t="s">
        <v>30</v>
      </c>
      <c r="M8" s="131" t="s">
        <v>497</v>
      </c>
      <c r="N8" s="142" t="s">
        <v>585</v>
      </c>
      <c r="O8" s="142" t="s">
        <v>585</v>
      </c>
      <c r="P8" s="142" t="s">
        <v>585</v>
      </c>
      <c r="Q8" s="142" t="s">
        <v>585</v>
      </c>
      <c r="R8" s="81" t="s">
        <v>497</v>
      </c>
      <c r="S8" s="81" t="s">
        <v>184</v>
      </c>
      <c r="T8" s="81">
        <v>2013</v>
      </c>
      <c r="U8" s="81" t="s">
        <v>199</v>
      </c>
      <c r="V8" s="145" t="s">
        <v>497</v>
      </c>
      <c r="W8" s="145" t="s">
        <v>497</v>
      </c>
      <c r="X8" s="140" t="s">
        <v>585</v>
      </c>
      <c r="Y8" s="81"/>
      <c r="Z8" s="81" t="s">
        <v>1492</v>
      </c>
      <c r="AA8" s="81" t="s">
        <v>1492</v>
      </c>
      <c r="AB8" s="81" t="s">
        <v>1500</v>
      </c>
      <c r="AC8" s="54" t="s">
        <v>1501</v>
      </c>
    </row>
    <row r="9" spans="1:29" ht="25.5" customHeight="1" x14ac:dyDescent="0.3">
      <c r="A9" s="81">
        <v>2795</v>
      </c>
      <c r="B9" s="81" t="s">
        <v>0</v>
      </c>
      <c r="C9" s="140" t="s">
        <v>20</v>
      </c>
      <c r="D9" s="81" t="s">
        <v>1052</v>
      </c>
      <c r="E9" s="81" t="s">
        <v>34</v>
      </c>
      <c r="F9" s="81" t="s">
        <v>423</v>
      </c>
      <c r="G9" s="81" t="s">
        <v>491</v>
      </c>
      <c r="H9" s="81" t="s">
        <v>28</v>
      </c>
      <c r="I9" s="141" t="s">
        <v>20</v>
      </c>
      <c r="J9" s="131" t="s">
        <v>20</v>
      </c>
      <c r="K9" s="131" t="s">
        <v>20</v>
      </c>
      <c r="L9" s="54" t="s">
        <v>30</v>
      </c>
      <c r="M9" s="131">
        <v>530.9</v>
      </c>
      <c r="N9" s="111">
        <v>601664</v>
      </c>
      <c r="O9" s="111">
        <v>1000</v>
      </c>
      <c r="P9" s="111" t="s">
        <v>692</v>
      </c>
      <c r="Q9" s="111" t="s">
        <v>802</v>
      </c>
      <c r="R9" s="81" t="s">
        <v>693</v>
      </c>
      <c r="S9" s="81" t="s">
        <v>185</v>
      </c>
      <c r="T9" s="81">
        <v>2013</v>
      </c>
      <c r="U9" s="81" t="s">
        <v>199</v>
      </c>
      <c r="V9" s="100" t="s">
        <v>1068</v>
      </c>
      <c r="W9" s="100" t="s">
        <v>1070</v>
      </c>
      <c r="X9" s="140" t="s">
        <v>20</v>
      </c>
      <c r="Y9" s="81"/>
      <c r="Z9" s="81" t="s">
        <v>1493</v>
      </c>
      <c r="AA9" s="81" t="s">
        <v>1493</v>
      </c>
      <c r="AB9" s="81" t="s">
        <v>1493</v>
      </c>
      <c r="AC9" s="54" t="s">
        <v>1504</v>
      </c>
    </row>
    <row r="10" spans="1:29" ht="48.75" customHeight="1" x14ac:dyDescent="0.3">
      <c r="A10" s="81">
        <v>2794</v>
      </c>
      <c r="B10" s="81" t="s">
        <v>0</v>
      </c>
      <c r="C10" s="81" t="s">
        <v>568</v>
      </c>
      <c r="D10" s="146" t="s">
        <v>1053</v>
      </c>
      <c r="E10" s="81" t="s">
        <v>35</v>
      </c>
      <c r="F10" s="81" t="s">
        <v>883</v>
      </c>
      <c r="G10" s="81" t="s">
        <v>229</v>
      </c>
      <c r="H10" s="81" t="s">
        <v>3</v>
      </c>
      <c r="I10" s="109">
        <v>2014</v>
      </c>
      <c r="J10" s="132">
        <v>1325</v>
      </c>
      <c r="K10" s="132">
        <v>440.6</v>
      </c>
      <c r="L10" s="54" t="s">
        <v>30</v>
      </c>
      <c r="M10" s="131">
        <v>575.20000000000005</v>
      </c>
      <c r="N10" s="111">
        <v>3200000</v>
      </c>
      <c r="O10" s="111">
        <v>1000</v>
      </c>
      <c r="P10" s="111" t="s">
        <v>379</v>
      </c>
      <c r="Q10" s="142" t="s">
        <v>585</v>
      </c>
      <c r="R10" s="81" t="s">
        <v>190</v>
      </c>
      <c r="S10" s="81" t="s">
        <v>185</v>
      </c>
      <c r="T10" s="81">
        <v>2013</v>
      </c>
      <c r="U10" s="81" t="s">
        <v>199</v>
      </c>
      <c r="V10" s="100" t="s">
        <v>1071</v>
      </c>
      <c r="W10" s="100" t="s">
        <v>1072</v>
      </c>
      <c r="X10" s="81">
        <v>2014</v>
      </c>
      <c r="Y10" s="81"/>
      <c r="Z10" s="81" t="s">
        <v>1493</v>
      </c>
      <c r="AA10" s="81" t="s">
        <v>1493</v>
      </c>
      <c r="AB10" s="81" t="s">
        <v>1493</v>
      </c>
      <c r="AC10" s="54" t="s">
        <v>1504</v>
      </c>
    </row>
    <row r="11" spans="1:29" ht="25.5" customHeight="1" x14ac:dyDescent="0.3">
      <c r="A11" s="81">
        <v>2793</v>
      </c>
      <c r="B11" s="81" t="s">
        <v>0</v>
      </c>
      <c r="C11" s="140" t="s">
        <v>585</v>
      </c>
      <c r="D11" s="146" t="s">
        <v>1054</v>
      </c>
      <c r="E11" s="81" t="s">
        <v>36</v>
      </c>
      <c r="F11" s="81" t="s">
        <v>884</v>
      </c>
      <c r="G11" s="81" t="s">
        <v>228</v>
      </c>
      <c r="H11" s="81" t="s">
        <v>3</v>
      </c>
      <c r="I11" s="109">
        <v>2005</v>
      </c>
      <c r="J11" s="132">
        <v>498</v>
      </c>
      <c r="K11" s="132">
        <v>63.2</v>
      </c>
      <c r="L11" s="54" t="s">
        <v>30</v>
      </c>
      <c r="M11" s="131" t="s">
        <v>585</v>
      </c>
      <c r="N11" s="142" t="s">
        <v>585</v>
      </c>
      <c r="O11" s="142" t="s">
        <v>585</v>
      </c>
      <c r="P11" s="142" t="s">
        <v>585</v>
      </c>
      <c r="Q11" s="142" t="s">
        <v>585</v>
      </c>
      <c r="R11" s="81" t="s">
        <v>497</v>
      </c>
      <c r="S11" s="81" t="s">
        <v>185</v>
      </c>
      <c r="T11" s="81">
        <v>2013</v>
      </c>
      <c r="U11" s="81" t="s">
        <v>199</v>
      </c>
      <c r="V11" s="100" t="s">
        <v>1067</v>
      </c>
      <c r="W11" s="100" t="s">
        <v>1069</v>
      </c>
      <c r="X11" s="140" t="s">
        <v>585</v>
      </c>
      <c r="Y11" s="81"/>
      <c r="Z11" s="81" t="s">
        <v>1493</v>
      </c>
      <c r="AA11" s="81" t="s">
        <v>1493</v>
      </c>
      <c r="AB11" s="81" t="s">
        <v>1493</v>
      </c>
      <c r="AC11" s="54" t="s">
        <v>1504</v>
      </c>
    </row>
    <row r="12" spans="1:29" ht="25.5" customHeight="1" x14ac:dyDescent="0.3">
      <c r="A12" s="81">
        <v>2792</v>
      </c>
      <c r="B12" s="81" t="s">
        <v>0</v>
      </c>
      <c r="C12" s="140" t="s">
        <v>20</v>
      </c>
      <c r="D12" s="81" t="s">
        <v>1055</v>
      </c>
      <c r="E12" s="81" t="s">
        <v>37</v>
      </c>
      <c r="F12" s="81" t="s">
        <v>423</v>
      </c>
      <c r="G12" s="81" t="s">
        <v>491</v>
      </c>
      <c r="H12" s="81" t="s">
        <v>28</v>
      </c>
      <c r="I12" s="109">
        <v>2019</v>
      </c>
      <c r="J12" s="131" t="s">
        <v>20</v>
      </c>
      <c r="K12" s="131" t="s">
        <v>20</v>
      </c>
      <c r="L12" s="54" t="s">
        <v>30</v>
      </c>
      <c r="M12" s="131">
        <v>463</v>
      </c>
      <c r="N12" s="142" t="s">
        <v>20</v>
      </c>
      <c r="O12" s="111">
        <v>1000</v>
      </c>
      <c r="P12" s="111" t="s">
        <v>692</v>
      </c>
      <c r="Q12" s="111" t="s">
        <v>804</v>
      </c>
      <c r="R12" s="81" t="s">
        <v>694</v>
      </c>
      <c r="S12" s="81" t="s">
        <v>185</v>
      </c>
      <c r="T12" s="81">
        <v>2015</v>
      </c>
      <c r="U12" s="81" t="s">
        <v>199</v>
      </c>
      <c r="V12" s="100" t="s">
        <v>1073</v>
      </c>
      <c r="W12" s="100" t="s">
        <v>1074</v>
      </c>
      <c r="X12" s="140" t="s">
        <v>20</v>
      </c>
      <c r="Y12" s="81"/>
      <c r="Z12" s="81" t="s">
        <v>1493</v>
      </c>
      <c r="AA12" s="81" t="s">
        <v>1493</v>
      </c>
      <c r="AB12" s="81" t="s">
        <v>1493</v>
      </c>
      <c r="AC12" s="54" t="s">
        <v>1504</v>
      </c>
    </row>
    <row r="13" spans="1:29" ht="25.5" customHeight="1" x14ac:dyDescent="0.3">
      <c r="A13" s="81">
        <v>2791</v>
      </c>
      <c r="B13" s="81" t="s">
        <v>0</v>
      </c>
      <c r="C13" s="140" t="s">
        <v>585</v>
      </c>
      <c r="D13" s="146" t="s">
        <v>1056</v>
      </c>
      <c r="E13" s="81" t="s">
        <v>95</v>
      </c>
      <c r="F13" s="81" t="s">
        <v>885</v>
      </c>
      <c r="G13" s="100" t="s">
        <v>731</v>
      </c>
      <c r="H13" s="81" t="s">
        <v>3</v>
      </c>
      <c r="I13" s="109">
        <v>2014</v>
      </c>
      <c r="J13" s="132">
        <v>10</v>
      </c>
      <c r="K13" s="132">
        <v>1</v>
      </c>
      <c r="L13" s="54" t="s">
        <v>29</v>
      </c>
      <c r="M13" s="131">
        <v>7.7</v>
      </c>
      <c r="N13" s="142" t="s">
        <v>585</v>
      </c>
      <c r="O13" s="142" t="s">
        <v>585</v>
      </c>
      <c r="P13" s="142" t="s">
        <v>585</v>
      </c>
      <c r="Q13" s="142" t="s">
        <v>585</v>
      </c>
      <c r="R13" s="81" t="s">
        <v>497</v>
      </c>
      <c r="S13" s="81" t="s">
        <v>185</v>
      </c>
      <c r="T13" s="81">
        <v>2013</v>
      </c>
      <c r="U13" s="81" t="s">
        <v>199</v>
      </c>
      <c r="V13" s="100" t="s">
        <v>1075</v>
      </c>
      <c r="W13" s="100" t="s">
        <v>1076</v>
      </c>
      <c r="X13" s="140" t="s">
        <v>585</v>
      </c>
      <c r="Y13" s="81"/>
      <c r="Z13" s="81" t="s">
        <v>1493</v>
      </c>
      <c r="AA13" s="81" t="s">
        <v>1493</v>
      </c>
      <c r="AB13" s="81" t="s">
        <v>1493</v>
      </c>
      <c r="AC13" s="54" t="s">
        <v>1504</v>
      </c>
    </row>
    <row r="14" spans="1:29" ht="25.5" customHeight="1" x14ac:dyDescent="0.3">
      <c r="A14" s="81">
        <v>2790</v>
      </c>
      <c r="B14" s="81" t="s">
        <v>0</v>
      </c>
      <c r="C14" s="140" t="s">
        <v>585</v>
      </c>
      <c r="D14" s="146" t="s">
        <v>1057</v>
      </c>
      <c r="E14" s="81" t="s">
        <v>96</v>
      </c>
      <c r="F14" s="81" t="s">
        <v>885</v>
      </c>
      <c r="G14" s="100" t="s">
        <v>731</v>
      </c>
      <c r="H14" s="81" t="s">
        <v>3</v>
      </c>
      <c r="I14" s="109">
        <v>2014</v>
      </c>
      <c r="J14" s="132">
        <v>10</v>
      </c>
      <c r="K14" s="132">
        <v>1</v>
      </c>
      <c r="L14" s="54" t="s">
        <v>29</v>
      </c>
      <c r="M14" s="131">
        <v>8.5</v>
      </c>
      <c r="N14" s="111">
        <v>20082</v>
      </c>
      <c r="O14" s="142" t="s">
        <v>585</v>
      </c>
      <c r="P14" s="142" t="s">
        <v>585</v>
      </c>
      <c r="Q14" s="142" t="s">
        <v>585</v>
      </c>
      <c r="R14" s="81" t="s">
        <v>497</v>
      </c>
      <c r="S14" s="81" t="s">
        <v>185</v>
      </c>
      <c r="T14" s="81">
        <v>2013</v>
      </c>
      <c r="U14" s="81" t="s">
        <v>199</v>
      </c>
      <c r="V14" s="100" t="s">
        <v>1077</v>
      </c>
      <c r="W14" s="100" t="s">
        <v>1078</v>
      </c>
      <c r="X14" s="140" t="s">
        <v>585</v>
      </c>
      <c r="Y14" s="81"/>
      <c r="Z14" s="81" t="s">
        <v>1493</v>
      </c>
      <c r="AA14" s="81" t="s">
        <v>1493</v>
      </c>
      <c r="AB14" s="81" t="s">
        <v>1493</v>
      </c>
      <c r="AC14" s="54" t="s">
        <v>1504</v>
      </c>
    </row>
    <row r="15" spans="1:29" ht="25.5" customHeight="1" x14ac:dyDescent="0.3">
      <c r="A15" s="81">
        <v>3058</v>
      </c>
      <c r="B15" s="81" t="s">
        <v>0</v>
      </c>
      <c r="C15" s="81" t="s">
        <v>379</v>
      </c>
      <c r="D15" s="146" t="s">
        <v>1058</v>
      </c>
      <c r="E15" s="81" t="s">
        <v>58</v>
      </c>
      <c r="F15" s="81" t="s">
        <v>885</v>
      </c>
      <c r="G15" s="100" t="s">
        <v>731</v>
      </c>
      <c r="H15" s="81" t="s">
        <v>3</v>
      </c>
      <c r="I15" s="109">
        <v>2003</v>
      </c>
      <c r="J15" s="132">
        <v>8</v>
      </c>
      <c r="K15" s="132">
        <v>0.8</v>
      </c>
      <c r="L15" s="54" t="s">
        <v>29</v>
      </c>
      <c r="M15" s="131">
        <v>5.2</v>
      </c>
      <c r="N15" s="111">
        <v>36835</v>
      </c>
      <c r="O15" s="111">
        <v>1000</v>
      </c>
      <c r="P15" s="111" t="s">
        <v>589</v>
      </c>
      <c r="Q15" s="142" t="s">
        <v>585</v>
      </c>
      <c r="R15" s="81" t="s">
        <v>190</v>
      </c>
      <c r="S15" s="81" t="s">
        <v>185</v>
      </c>
      <c r="T15" s="81">
        <v>2013</v>
      </c>
      <c r="U15" s="81" t="s">
        <v>199</v>
      </c>
      <c r="V15" s="100" t="s">
        <v>1079</v>
      </c>
      <c r="W15" s="100" t="s">
        <v>1080</v>
      </c>
      <c r="X15" s="81">
        <v>2017</v>
      </c>
      <c r="Y15" s="81"/>
      <c r="Z15" s="81" t="s">
        <v>1493</v>
      </c>
      <c r="AA15" s="81" t="s">
        <v>1493</v>
      </c>
      <c r="AB15" s="81" t="s">
        <v>1493</v>
      </c>
      <c r="AC15" s="54" t="s">
        <v>1504</v>
      </c>
    </row>
    <row r="16" spans="1:29" ht="25.5" customHeight="1" x14ac:dyDescent="0.3">
      <c r="A16" s="81">
        <v>3041</v>
      </c>
      <c r="B16" s="81" t="s">
        <v>0</v>
      </c>
      <c r="C16" s="81" t="s">
        <v>379</v>
      </c>
      <c r="D16" s="146" t="s">
        <v>969</v>
      </c>
      <c r="E16" s="81" t="s">
        <v>59</v>
      </c>
      <c r="F16" s="81" t="s">
        <v>885</v>
      </c>
      <c r="G16" s="100" t="s">
        <v>731</v>
      </c>
      <c r="H16" s="81" t="s">
        <v>3</v>
      </c>
      <c r="I16" s="109">
        <v>2008</v>
      </c>
      <c r="J16" s="132">
        <v>2</v>
      </c>
      <c r="K16" s="132">
        <v>0.1</v>
      </c>
      <c r="L16" s="54" t="s">
        <v>29</v>
      </c>
      <c r="M16" s="131">
        <v>2.4</v>
      </c>
      <c r="N16" s="111">
        <v>61094</v>
      </c>
      <c r="O16" s="111">
        <v>1000</v>
      </c>
      <c r="P16" s="111" t="s">
        <v>379</v>
      </c>
      <c r="Q16" s="142" t="s">
        <v>585</v>
      </c>
      <c r="R16" s="81" t="s">
        <v>190</v>
      </c>
      <c r="S16" s="81" t="s">
        <v>185</v>
      </c>
      <c r="T16" s="81">
        <v>2013</v>
      </c>
      <c r="U16" s="81" t="s">
        <v>199</v>
      </c>
      <c r="V16" s="100" t="s">
        <v>1081</v>
      </c>
      <c r="W16" s="100" t="s">
        <v>1082</v>
      </c>
      <c r="X16" s="81">
        <v>2017</v>
      </c>
      <c r="Y16" s="81"/>
      <c r="Z16" s="81" t="s">
        <v>1493</v>
      </c>
      <c r="AA16" s="81" t="s">
        <v>1493</v>
      </c>
      <c r="AB16" s="81" t="s">
        <v>1493</v>
      </c>
      <c r="AC16" s="54" t="s">
        <v>1504</v>
      </c>
    </row>
    <row r="17" spans="1:29" ht="25.5" customHeight="1" x14ac:dyDescent="0.3">
      <c r="A17" s="81">
        <v>3042</v>
      </c>
      <c r="B17" s="81" t="s">
        <v>0</v>
      </c>
      <c r="C17" s="140" t="s">
        <v>585</v>
      </c>
      <c r="D17" s="146" t="s">
        <v>970</v>
      </c>
      <c r="E17" s="81" t="s">
        <v>60</v>
      </c>
      <c r="F17" s="81" t="s">
        <v>885</v>
      </c>
      <c r="G17" s="100" t="s">
        <v>731</v>
      </c>
      <c r="H17" s="81" t="s">
        <v>3</v>
      </c>
      <c r="I17" s="109">
        <v>2000</v>
      </c>
      <c r="J17" s="132">
        <v>3</v>
      </c>
      <c r="K17" s="132">
        <v>0.3</v>
      </c>
      <c r="L17" s="54" t="s">
        <v>29</v>
      </c>
      <c r="M17" s="131">
        <v>3.8</v>
      </c>
      <c r="N17" s="111">
        <v>47686</v>
      </c>
      <c r="O17" s="111">
        <v>1000</v>
      </c>
      <c r="P17" s="142" t="s">
        <v>585</v>
      </c>
      <c r="Q17" s="142" t="s">
        <v>585</v>
      </c>
      <c r="R17" s="81" t="s">
        <v>497</v>
      </c>
      <c r="S17" s="81" t="s">
        <v>185</v>
      </c>
      <c r="T17" s="81">
        <v>2013</v>
      </c>
      <c r="U17" s="81" t="s">
        <v>199</v>
      </c>
      <c r="V17" s="100" t="s">
        <v>1083</v>
      </c>
      <c r="W17" s="100" t="s">
        <v>1084</v>
      </c>
      <c r="X17" s="81">
        <v>2017</v>
      </c>
      <c r="Y17" s="81"/>
      <c r="Z17" s="81" t="s">
        <v>1493</v>
      </c>
      <c r="AA17" s="81" t="s">
        <v>1493</v>
      </c>
      <c r="AB17" s="81" t="s">
        <v>1493</v>
      </c>
      <c r="AC17" s="54" t="s">
        <v>1504</v>
      </c>
    </row>
    <row r="18" spans="1:29" ht="25.5" customHeight="1" x14ac:dyDescent="0.3">
      <c r="A18" s="81">
        <v>3043</v>
      </c>
      <c r="B18" s="81" t="s">
        <v>0</v>
      </c>
      <c r="C18" s="81" t="s">
        <v>379</v>
      </c>
      <c r="D18" s="146" t="s">
        <v>971</v>
      </c>
      <c r="E18" s="81" t="s">
        <v>61</v>
      </c>
      <c r="F18" s="81" t="s">
        <v>885</v>
      </c>
      <c r="G18" s="100" t="s">
        <v>731</v>
      </c>
      <c r="H18" s="81" t="s">
        <v>3</v>
      </c>
      <c r="I18" s="109">
        <v>2000</v>
      </c>
      <c r="J18" s="132">
        <v>47</v>
      </c>
      <c r="K18" s="132">
        <v>5.4</v>
      </c>
      <c r="L18" s="54" t="s">
        <v>29</v>
      </c>
      <c r="M18" s="131">
        <v>29.4</v>
      </c>
      <c r="N18" s="111">
        <v>49560</v>
      </c>
      <c r="O18" s="111">
        <v>1000</v>
      </c>
      <c r="P18" s="111" t="s">
        <v>379</v>
      </c>
      <c r="Q18" s="142" t="s">
        <v>585</v>
      </c>
      <c r="R18" s="81" t="s">
        <v>190</v>
      </c>
      <c r="S18" s="81" t="s">
        <v>185</v>
      </c>
      <c r="T18" s="81">
        <v>2013</v>
      </c>
      <c r="U18" s="81" t="s">
        <v>199</v>
      </c>
      <c r="V18" s="100" t="s">
        <v>1085</v>
      </c>
      <c r="W18" s="100" t="s">
        <v>1086</v>
      </c>
      <c r="X18" s="81">
        <v>2017</v>
      </c>
      <c r="Y18" s="81"/>
      <c r="Z18" s="81" t="s">
        <v>1493</v>
      </c>
      <c r="AA18" s="81" t="s">
        <v>1493</v>
      </c>
      <c r="AB18" s="81" t="s">
        <v>1493</v>
      </c>
      <c r="AC18" s="54" t="s">
        <v>1504</v>
      </c>
    </row>
    <row r="19" spans="1:29" ht="38.25" customHeight="1" x14ac:dyDescent="0.3">
      <c r="A19" s="81">
        <v>3044</v>
      </c>
      <c r="B19" s="81" t="s">
        <v>0</v>
      </c>
      <c r="C19" s="140" t="s">
        <v>585</v>
      </c>
      <c r="D19" s="146" t="s">
        <v>972</v>
      </c>
      <c r="E19" s="81" t="s">
        <v>62</v>
      </c>
      <c r="F19" s="81" t="s">
        <v>885</v>
      </c>
      <c r="G19" s="100" t="s">
        <v>731</v>
      </c>
      <c r="H19" s="81" t="s">
        <v>3</v>
      </c>
      <c r="I19" s="109">
        <v>2003</v>
      </c>
      <c r="J19" s="132">
        <v>10</v>
      </c>
      <c r="K19" s="132">
        <v>1.8</v>
      </c>
      <c r="L19" s="54" t="s">
        <v>29</v>
      </c>
      <c r="M19" s="131">
        <v>9.6999999999999993</v>
      </c>
      <c r="N19" s="111">
        <v>21817</v>
      </c>
      <c r="O19" s="111">
        <v>1000</v>
      </c>
      <c r="P19" s="142" t="s">
        <v>585</v>
      </c>
      <c r="Q19" s="142" t="s">
        <v>585</v>
      </c>
      <c r="R19" s="81" t="s">
        <v>497</v>
      </c>
      <c r="S19" s="81" t="s">
        <v>185</v>
      </c>
      <c r="T19" s="81">
        <v>2013</v>
      </c>
      <c r="U19" s="81" t="s">
        <v>199</v>
      </c>
      <c r="V19" s="100" t="s">
        <v>1087</v>
      </c>
      <c r="W19" s="100" t="s">
        <v>1088</v>
      </c>
      <c r="X19" s="140" t="s">
        <v>585</v>
      </c>
      <c r="Y19" s="81"/>
      <c r="Z19" s="81" t="s">
        <v>1493</v>
      </c>
      <c r="AA19" s="81" t="s">
        <v>1493</v>
      </c>
      <c r="AB19" s="81" t="s">
        <v>1493</v>
      </c>
      <c r="AC19" s="54" t="s">
        <v>1504</v>
      </c>
    </row>
    <row r="20" spans="1:29" ht="25.5" customHeight="1" x14ac:dyDescent="0.3">
      <c r="A20" s="81">
        <v>3040</v>
      </c>
      <c r="B20" s="81" t="s">
        <v>0</v>
      </c>
      <c r="C20" s="81" t="s">
        <v>379</v>
      </c>
      <c r="D20" s="146" t="s">
        <v>973</v>
      </c>
      <c r="E20" s="81" t="s">
        <v>63</v>
      </c>
      <c r="F20" s="81" t="s">
        <v>885</v>
      </c>
      <c r="G20" s="100" t="s">
        <v>731</v>
      </c>
      <c r="H20" s="81" t="s">
        <v>3</v>
      </c>
      <c r="I20" s="109">
        <v>2003</v>
      </c>
      <c r="J20" s="132">
        <v>2</v>
      </c>
      <c r="K20" s="132">
        <v>0.2</v>
      </c>
      <c r="L20" s="54" t="s">
        <v>29</v>
      </c>
      <c r="M20" s="131">
        <v>2.2000000000000002</v>
      </c>
      <c r="N20" s="111">
        <v>24953</v>
      </c>
      <c r="O20" s="111">
        <v>1000</v>
      </c>
      <c r="P20" s="111" t="s">
        <v>379</v>
      </c>
      <c r="Q20" s="142" t="s">
        <v>585</v>
      </c>
      <c r="R20" s="81" t="s">
        <v>190</v>
      </c>
      <c r="S20" s="81" t="s">
        <v>185</v>
      </c>
      <c r="T20" s="81">
        <v>2013</v>
      </c>
      <c r="U20" s="81" t="s">
        <v>199</v>
      </c>
      <c r="V20" s="100" t="s">
        <v>1089</v>
      </c>
      <c r="W20" s="100" t="s">
        <v>1090</v>
      </c>
      <c r="X20" s="81">
        <v>2017</v>
      </c>
      <c r="Y20" s="81"/>
      <c r="Z20" s="81" t="s">
        <v>1493</v>
      </c>
      <c r="AA20" s="81" t="s">
        <v>1493</v>
      </c>
      <c r="AB20" s="81" t="s">
        <v>1493</v>
      </c>
      <c r="AC20" s="54" t="s">
        <v>1504</v>
      </c>
    </row>
    <row r="21" spans="1:29" ht="25.5" customHeight="1" x14ac:dyDescent="0.3">
      <c r="A21" s="81">
        <v>3039</v>
      </c>
      <c r="B21" s="81" t="s">
        <v>0</v>
      </c>
      <c r="C21" s="81" t="s">
        <v>400</v>
      </c>
      <c r="D21" s="146" t="s">
        <v>974</v>
      </c>
      <c r="E21" s="81" t="s">
        <v>64</v>
      </c>
      <c r="F21" s="81" t="s">
        <v>885</v>
      </c>
      <c r="G21" s="100" t="s">
        <v>731</v>
      </c>
      <c r="H21" s="81" t="s">
        <v>3</v>
      </c>
      <c r="I21" s="109">
        <v>2009</v>
      </c>
      <c r="J21" s="132">
        <v>21</v>
      </c>
      <c r="K21" s="132">
        <v>2.4</v>
      </c>
      <c r="L21" s="54" t="s">
        <v>29</v>
      </c>
      <c r="M21" s="131">
        <v>13.1</v>
      </c>
      <c r="N21" s="111">
        <v>27582</v>
      </c>
      <c r="O21" s="111">
        <v>1000</v>
      </c>
      <c r="P21" s="142" t="s">
        <v>585</v>
      </c>
      <c r="Q21" s="142" t="s">
        <v>585</v>
      </c>
      <c r="R21" s="81" t="s">
        <v>497</v>
      </c>
      <c r="S21" s="81" t="s">
        <v>185</v>
      </c>
      <c r="T21" s="81">
        <v>2013</v>
      </c>
      <c r="U21" s="81" t="s">
        <v>199</v>
      </c>
      <c r="V21" s="100" t="s">
        <v>1091</v>
      </c>
      <c r="W21" s="100" t="s">
        <v>1092</v>
      </c>
      <c r="X21" s="81">
        <v>2010</v>
      </c>
      <c r="Y21" s="81"/>
      <c r="Z21" s="81" t="s">
        <v>1493</v>
      </c>
      <c r="AA21" s="81" t="s">
        <v>1493</v>
      </c>
      <c r="AB21" s="81" t="s">
        <v>1493</v>
      </c>
      <c r="AC21" s="54" t="s">
        <v>1504</v>
      </c>
    </row>
    <row r="22" spans="1:29" ht="25.5" customHeight="1" x14ac:dyDescent="0.3">
      <c r="A22" s="81">
        <v>3038</v>
      </c>
      <c r="B22" s="81" t="s">
        <v>0</v>
      </c>
      <c r="C22" s="81" t="s">
        <v>542</v>
      </c>
      <c r="D22" s="146" t="s">
        <v>975</v>
      </c>
      <c r="E22" s="81" t="s">
        <v>65</v>
      </c>
      <c r="F22" s="81" t="s">
        <v>886</v>
      </c>
      <c r="G22" s="81" t="s">
        <v>229</v>
      </c>
      <c r="H22" s="81" t="s">
        <v>3</v>
      </c>
      <c r="I22" s="109">
        <v>2000</v>
      </c>
      <c r="J22" s="132">
        <v>272</v>
      </c>
      <c r="K22" s="132">
        <v>55.7</v>
      </c>
      <c r="L22" s="54" t="s">
        <v>29</v>
      </c>
      <c r="M22" s="131">
        <v>85.7</v>
      </c>
      <c r="N22" s="111">
        <v>553169</v>
      </c>
      <c r="O22" s="111">
        <v>14972.5</v>
      </c>
      <c r="P22" s="142" t="s">
        <v>585</v>
      </c>
      <c r="Q22" s="142" t="s">
        <v>585</v>
      </c>
      <c r="R22" s="81" t="s">
        <v>497</v>
      </c>
      <c r="S22" s="81" t="s">
        <v>185</v>
      </c>
      <c r="T22" s="81">
        <v>2013</v>
      </c>
      <c r="U22" s="81" t="s">
        <v>199</v>
      </c>
      <c r="V22" s="100" t="s">
        <v>1093</v>
      </c>
      <c r="W22" s="100" t="s">
        <v>1094</v>
      </c>
      <c r="X22" s="140" t="s">
        <v>585</v>
      </c>
      <c r="Y22" s="81"/>
      <c r="Z22" s="81" t="s">
        <v>1493</v>
      </c>
      <c r="AA22" s="81" t="s">
        <v>1493</v>
      </c>
      <c r="AB22" s="81" t="s">
        <v>1493</v>
      </c>
      <c r="AC22" s="54" t="s">
        <v>1504</v>
      </c>
    </row>
    <row r="23" spans="1:29" ht="25.5" customHeight="1" x14ac:dyDescent="0.3">
      <c r="A23" s="81">
        <v>3037</v>
      </c>
      <c r="B23" s="81" t="s">
        <v>0</v>
      </c>
      <c r="C23" s="140" t="s">
        <v>585</v>
      </c>
      <c r="D23" s="146" t="s">
        <v>976</v>
      </c>
      <c r="E23" s="81" t="s">
        <v>66</v>
      </c>
      <c r="F23" s="81" t="s">
        <v>886</v>
      </c>
      <c r="G23" s="81" t="s">
        <v>229</v>
      </c>
      <c r="H23" s="81" t="s">
        <v>3</v>
      </c>
      <c r="I23" s="109">
        <v>2003</v>
      </c>
      <c r="J23" s="132">
        <v>350</v>
      </c>
      <c r="K23" s="132">
        <v>111.1</v>
      </c>
      <c r="L23" s="54" t="s">
        <v>29</v>
      </c>
      <c r="M23" s="131">
        <v>80.2</v>
      </c>
      <c r="N23" s="111">
        <v>730869</v>
      </c>
      <c r="O23" s="142" t="s">
        <v>585</v>
      </c>
      <c r="P23" s="142" t="s">
        <v>585</v>
      </c>
      <c r="Q23" s="142" t="s">
        <v>585</v>
      </c>
      <c r="R23" s="81" t="s">
        <v>497</v>
      </c>
      <c r="S23" s="81" t="s">
        <v>185</v>
      </c>
      <c r="T23" s="81">
        <v>2013</v>
      </c>
      <c r="U23" s="81" t="s">
        <v>199</v>
      </c>
      <c r="V23" s="100" t="s">
        <v>1095</v>
      </c>
      <c r="W23" s="100" t="s">
        <v>1096</v>
      </c>
      <c r="X23" s="140" t="s">
        <v>585</v>
      </c>
      <c r="Y23" s="81"/>
      <c r="Z23" s="81" t="s">
        <v>1493</v>
      </c>
      <c r="AA23" s="81" t="s">
        <v>1493</v>
      </c>
      <c r="AB23" s="81" t="s">
        <v>1493</v>
      </c>
      <c r="AC23" s="54" t="s">
        <v>1504</v>
      </c>
    </row>
    <row r="24" spans="1:29" ht="25.5" customHeight="1" x14ac:dyDescent="0.3">
      <c r="A24" s="81">
        <v>3036</v>
      </c>
      <c r="B24" s="81" t="s">
        <v>0</v>
      </c>
      <c r="C24" s="81" t="s">
        <v>379</v>
      </c>
      <c r="D24" s="146" t="s">
        <v>977</v>
      </c>
      <c r="E24" s="81" t="s">
        <v>67</v>
      </c>
      <c r="F24" s="81" t="s">
        <v>886</v>
      </c>
      <c r="G24" s="81" t="s">
        <v>229</v>
      </c>
      <c r="H24" s="81" t="s">
        <v>3</v>
      </c>
      <c r="I24" s="109">
        <v>2010</v>
      </c>
      <c r="J24" s="132">
        <v>1261</v>
      </c>
      <c r="K24" s="132">
        <v>414.6</v>
      </c>
      <c r="L24" s="54" t="s">
        <v>29</v>
      </c>
      <c r="M24" s="131">
        <v>719</v>
      </c>
      <c r="N24" s="111">
        <v>347255</v>
      </c>
      <c r="O24" s="111">
        <v>17750</v>
      </c>
      <c r="P24" s="111" t="s">
        <v>379</v>
      </c>
      <c r="Q24" s="142" t="s">
        <v>585</v>
      </c>
      <c r="R24" s="81" t="s">
        <v>253</v>
      </c>
      <c r="S24" s="81" t="s">
        <v>185</v>
      </c>
      <c r="T24" s="81">
        <v>2013</v>
      </c>
      <c r="U24" s="81" t="s">
        <v>199</v>
      </c>
      <c r="V24" s="100" t="s">
        <v>1097</v>
      </c>
      <c r="W24" s="100" t="s">
        <v>1098</v>
      </c>
      <c r="X24" s="140" t="s">
        <v>585</v>
      </c>
      <c r="Y24" s="81"/>
      <c r="Z24" s="81" t="s">
        <v>1493</v>
      </c>
      <c r="AA24" s="81" t="s">
        <v>1493</v>
      </c>
      <c r="AB24" s="81" t="s">
        <v>1493</v>
      </c>
      <c r="AC24" s="54" t="s">
        <v>1504</v>
      </c>
    </row>
    <row r="25" spans="1:29" ht="38.25" customHeight="1" x14ac:dyDescent="0.3">
      <c r="A25" s="81">
        <v>3035</v>
      </c>
      <c r="B25" s="81" t="s">
        <v>0</v>
      </c>
      <c r="C25" s="140" t="s">
        <v>585</v>
      </c>
      <c r="D25" s="146" t="s">
        <v>978</v>
      </c>
      <c r="E25" s="81" t="s">
        <v>68</v>
      </c>
      <c r="F25" s="81" t="s">
        <v>886</v>
      </c>
      <c r="G25" s="81" t="s">
        <v>229</v>
      </c>
      <c r="H25" s="81" t="s">
        <v>3</v>
      </c>
      <c r="I25" s="109">
        <v>2003</v>
      </c>
      <c r="J25" s="132">
        <v>8</v>
      </c>
      <c r="K25" s="132">
        <v>2.5</v>
      </c>
      <c r="L25" s="54" t="s">
        <v>29</v>
      </c>
      <c r="M25" s="131">
        <v>7</v>
      </c>
      <c r="N25" s="111">
        <v>95584</v>
      </c>
      <c r="O25" s="142" t="s">
        <v>585</v>
      </c>
      <c r="P25" s="142" t="s">
        <v>585</v>
      </c>
      <c r="Q25" s="142" t="s">
        <v>585</v>
      </c>
      <c r="R25" s="81" t="s">
        <v>497</v>
      </c>
      <c r="S25" s="81" t="s">
        <v>185</v>
      </c>
      <c r="T25" s="81">
        <v>2013</v>
      </c>
      <c r="U25" s="81" t="s">
        <v>199</v>
      </c>
      <c r="V25" s="100" t="s">
        <v>1099</v>
      </c>
      <c r="W25" s="100" t="s">
        <v>1100</v>
      </c>
      <c r="X25" s="140" t="s">
        <v>585</v>
      </c>
      <c r="Y25" s="81"/>
      <c r="Z25" s="81" t="s">
        <v>1493</v>
      </c>
      <c r="AA25" s="81" t="s">
        <v>1493</v>
      </c>
      <c r="AB25" s="81" t="s">
        <v>1493</v>
      </c>
      <c r="AC25" s="54" t="s">
        <v>1504</v>
      </c>
    </row>
    <row r="26" spans="1:29" ht="25.5" customHeight="1" x14ac:dyDescent="0.3">
      <c r="A26" s="81">
        <v>3034</v>
      </c>
      <c r="B26" s="81" t="s">
        <v>0</v>
      </c>
      <c r="C26" s="140" t="s">
        <v>585</v>
      </c>
      <c r="D26" s="146" t="s">
        <v>979</v>
      </c>
      <c r="E26" s="81" t="s">
        <v>783</v>
      </c>
      <c r="F26" s="81" t="s">
        <v>886</v>
      </c>
      <c r="G26" s="81" t="s">
        <v>229</v>
      </c>
      <c r="H26" s="81" t="s">
        <v>3</v>
      </c>
      <c r="I26" s="109">
        <v>2004</v>
      </c>
      <c r="J26" s="132">
        <v>4041</v>
      </c>
      <c r="K26" s="132">
        <v>1598.9</v>
      </c>
      <c r="L26" s="54" t="s">
        <v>29</v>
      </c>
      <c r="M26" s="131">
        <v>1796.9</v>
      </c>
      <c r="N26" s="111">
        <v>1817720</v>
      </c>
      <c r="O26" s="142" t="s">
        <v>585</v>
      </c>
      <c r="P26" s="142" t="s">
        <v>585</v>
      </c>
      <c r="Q26" s="142" t="s">
        <v>585</v>
      </c>
      <c r="R26" s="81" t="s">
        <v>497</v>
      </c>
      <c r="S26" s="81" t="s">
        <v>185</v>
      </c>
      <c r="T26" s="81">
        <v>2013</v>
      </c>
      <c r="U26" s="81" t="s">
        <v>199</v>
      </c>
      <c r="V26" s="100" t="s">
        <v>1101</v>
      </c>
      <c r="W26" s="100" t="s">
        <v>1102</v>
      </c>
      <c r="X26" s="140" t="s">
        <v>585</v>
      </c>
      <c r="Y26" s="81"/>
      <c r="Z26" s="81" t="s">
        <v>1493</v>
      </c>
      <c r="AA26" s="81" t="s">
        <v>1493</v>
      </c>
      <c r="AB26" s="81" t="s">
        <v>1493</v>
      </c>
      <c r="AC26" s="54" t="s">
        <v>1504</v>
      </c>
    </row>
    <row r="27" spans="1:29" ht="25.5" customHeight="1" x14ac:dyDescent="0.3">
      <c r="A27" s="81">
        <v>3033</v>
      </c>
      <c r="B27" s="81" t="s">
        <v>0</v>
      </c>
      <c r="C27" s="140" t="s">
        <v>585</v>
      </c>
      <c r="D27" s="146" t="s">
        <v>980</v>
      </c>
      <c r="E27" s="81" t="s">
        <v>4</v>
      </c>
      <c r="F27" s="81" t="s">
        <v>887</v>
      </c>
      <c r="G27" s="81" t="s">
        <v>4</v>
      </c>
      <c r="H27" s="81" t="s">
        <v>1517</v>
      </c>
      <c r="I27" s="141" t="s">
        <v>497</v>
      </c>
      <c r="J27" s="132">
        <v>636</v>
      </c>
      <c r="K27" s="132">
        <v>408</v>
      </c>
      <c r="L27" s="54" t="s">
        <v>29</v>
      </c>
      <c r="M27" s="131" t="s">
        <v>497</v>
      </c>
      <c r="N27" s="111">
        <v>106665.04</v>
      </c>
      <c r="O27" s="142" t="s">
        <v>585</v>
      </c>
      <c r="P27" s="142" t="s">
        <v>585</v>
      </c>
      <c r="Q27" s="142" t="s">
        <v>585</v>
      </c>
      <c r="R27" s="81" t="s">
        <v>497</v>
      </c>
      <c r="S27" s="81" t="s">
        <v>184</v>
      </c>
      <c r="T27" s="81">
        <v>2013</v>
      </c>
      <c r="U27" s="81" t="s">
        <v>199</v>
      </c>
      <c r="V27" s="145" t="s">
        <v>497</v>
      </c>
      <c r="W27" s="145" t="s">
        <v>497</v>
      </c>
      <c r="X27" s="140" t="s">
        <v>585</v>
      </c>
      <c r="Y27" s="81"/>
      <c r="Z27" s="81" t="s">
        <v>1492</v>
      </c>
      <c r="AA27" s="81" t="s">
        <v>1492</v>
      </c>
      <c r="AB27" s="81" t="s">
        <v>1498</v>
      </c>
      <c r="AC27" s="54" t="s">
        <v>1499</v>
      </c>
    </row>
    <row r="28" spans="1:29" ht="25.5" customHeight="1" x14ac:dyDescent="0.3">
      <c r="A28" s="81">
        <v>3018</v>
      </c>
      <c r="B28" s="81" t="s">
        <v>0</v>
      </c>
      <c r="C28" s="140" t="s">
        <v>585</v>
      </c>
      <c r="D28" s="146" t="s">
        <v>981</v>
      </c>
      <c r="E28" s="81" t="s">
        <v>1</v>
      </c>
      <c r="F28" s="81" t="s">
        <v>422</v>
      </c>
      <c r="G28" s="81" t="s">
        <v>1</v>
      </c>
      <c r="H28" s="81" t="s">
        <v>1517</v>
      </c>
      <c r="I28" s="141" t="s">
        <v>497</v>
      </c>
      <c r="J28" s="132">
        <v>6339</v>
      </c>
      <c r="K28" s="132">
        <v>1035</v>
      </c>
      <c r="L28" s="54" t="s">
        <v>29</v>
      </c>
      <c r="M28" s="131" t="s">
        <v>497</v>
      </c>
      <c r="N28" s="142" t="s">
        <v>585</v>
      </c>
      <c r="O28" s="142" t="s">
        <v>585</v>
      </c>
      <c r="P28" s="142" t="s">
        <v>585</v>
      </c>
      <c r="Q28" s="142" t="s">
        <v>585</v>
      </c>
      <c r="R28" s="81" t="s">
        <v>497</v>
      </c>
      <c r="S28" s="81" t="s">
        <v>184</v>
      </c>
      <c r="T28" s="81">
        <v>2013</v>
      </c>
      <c r="U28" s="81" t="s">
        <v>199</v>
      </c>
      <c r="V28" s="145" t="s">
        <v>497</v>
      </c>
      <c r="W28" s="145" t="s">
        <v>497</v>
      </c>
      <c r="X28" s="140" t="s">
        <v>585</v>
      </c>
      <c r="Y28" s="81"/>
      <c r="Z28" s="81" t="s">
        <v>1492</v>
      </c>
      <c r="AA28" s="81" t="s">
        <v>1492</v>
      </c>
      <c r="AB28" s="81" t="s">
        <v>1500</v>
      </c>
      <c r="AC28" s="54" t="s">
        <v>1501</v>
      </c>
    </row>
    <row r="29" spans="1:29" ht="25.5" customHeight="1" x14ac:dyDescent="0.3">
      <c r="A29" s="81">
        <v>3031</v>
      </c>
      <c r="B29" s="81" t="s">
        <v>0</v>
      </c>
      <c r="C29" s="81" t="s">
        <v>379</v>
      </c>
      <c r="D29" s="81" t="s">
        <v>982</v>
      </c>
      <c r="E29" s="81" t="s">
        <v>2</v>
      </c>
      <c r="F29" s="81" t="s">
        <v>888</v>
      </c>
      <c r="G29" s="81" t="s">
        <v>229</v>
      </c>
      <c r="H29" s="81" t="s">
        <v>3</v>
      </c>
      <c r="I29" s="109">
        <v>2015</v>
      </c>
      <c r="J29" s="132">
        <v>10948</v>
      </c>
      <c r="K29" s="132">
        <v>3217.9</v>
      </c>
      <c r="L29" s="54" t="s">
        <v>29</v>
      </c>
      <c r="M29" s="131">
        <v>6232.9</v>
      </c>
      <c r="N29" s="111">
        <v>4131255</v>
      </c>
      <c r="O29" s="111">
        <v>34705</v>
      </c>
      <c r="P29" s="111" t="s">
        <v>695</v>
      </c>
      <c r="Q29" s="121" t="s">
        <v>803</v>
      </c>
      <c r="R29" s="81" t="s">
        <v>738</v>
      </c>
      <c r="S29" s="81" t="s">
        <v>185</v>
      </c>
      <c r="T29" s="81">
        <v>2013</v>
      </c>
      <c r="U29" s="81" t="s">
        <v>199</v>
      </c>
      <c r="V29" s="100" t="s">
        <v>1103</v>
      </c>
      <c r="W29" s="100" t="s">
        <v>1104</v>
      </c>
      <c r="X29" s="140" t="s">
        <v>585</v>
      </c>
      <c r="Y29" s="81"/>
      <c r="Z29" s="81" t="s">
        <v>1493</v>
      </c>
      <c r="AA29" s="81" t="s">
        <v>1493</v>
      </c>
      <c r="AB29" s="81" t="s">
        <v>1493</v>
      </c>
      <c r="AC29" s="54" t="s">
        <v>1504</v>
      </c>
    </row>
    <row r="30" spans="1:29" ht="63.75" customHeight="1" x14ac:dyDescent="0.3">
      <c r="A30" s="81">
        <v>3045</v>
      </c>
      <c r="B30" s="81" t="s">
        <v>0</v>
      </c>
      <c r="C30" s="109" t="s">
        <v>497</v>
      </c>
      <c r="D30" s="81" t="s">
        <v>983</v>
      </c>
      <c r="E30" s="81" t="s">
        <v>784</v>
      </c>
      <c r="F30" s="109" t="s">
        <v>497</v>
      </c>
      <c r="G30" s="81" t="s">
        <v>229</v>
      </c>
      <c r="H30" s="81" t="s">
        <v>549</v>
      </c>
      <c r="I30" s="109" t="s">
        <v>497</v>
      </c>
      <c r="J30" s="110" t="s">
        <v>497</v>
      </c>
      <c r="K30" s="110" t="s">
        <v>497</v>
      </c>
      <c r="L30" s="81" t="s">
        <v>29</v>
      </c>
      <c r="M30" s="110" t="s">
        <v>497</v>
      </c>
      <c r="N30" s="111" t="s">
        <v>497</v>
      </c>
      <c r="O30" s="111" t="s">
        <v>497</v>
      </c>
      <c r="P30" s="111" t="s">
        <v>497</v>
      </c>
      <c r="Q30" s="111" t="s">
        <v>497</v>
      </c>
      <c r="R30" s="81" t="s">
        <v>497</v>
      </c>
      <c r="S30" s="81" t="s">
        <v>185</v>
      </c>
      <c r="T30" s="81" t="s">
        <v>497</v>
      </c>
      <c r="U30" s="81" t="s">
        <v>199</v>
      </c>
      <c r="V30" s="81" t="s">
        <v>497</v>
      </c>
      <c r="W30" s="81" t="s">
        <v>497</v>
      </c>
      <c r="X30" s="81" t="s">
        <v>497</v>
      </c>
      <c r="Y30" s="81"/>
      <c r="Z30" s="81" t="s">
        <v>1507</v>
      </c>
      <c r="AA30" s="81" t="s">
        <v>1492</v>
      </c>
      <c r="AB30" s="81" t="s">
        <v>497</v>
      </c>
      <c r="AC30" s="81" t="s">
        <v>497</v>
      </c>
    </row>
    <row r="31" spans="1:29" ht="36.75" customHeight="1" x14ac:dyDescent="0.3">
      <c r="A31" s="81">
        <v>3029</v>
      </c>
      <c r="B31" s="81" t="s">
        <v>0</v>
      </c>
      <c r="C31" s="81" t="s">
        <v>379</v>
      </c>
      <c r="D31" s="81" t="s">
        <v>984</v>
      </c>
      <c r="E31" s="81" t="s">
        <v>69</v>
      </c>
      <c r="F31" s="81" t="s">
        <v>889</v>
      </c>
      <c r="G31" s="81" t="s">
        <v>229</v>
      </c>
      <c r="H31" s="81" t="s">
        <v>28</v>
      </c>
      <c r="I31" s="109">
        <v>2020</v>
      </c>
      <c r="J31" s="132">
        <v>801.5</v>
      </c>
      <c r="K31" s="132">
        <v>101</v>
      </c>
      <c r="L31" s="54" t="s">
        <v>29</v>
      </c>
      <c r="M31" s="131">
        <v>71</v>
      </c>
      <c r="N31" s="111">
        <v>822000</v>
      </c>
      <c r="O31" s="142" t="s">
        <v>20</v>
      </c>
      <c r="P31" s="111" t="s">
        <v>379</v>
      </c>
      <c r="Q31" s="142" t="s">
        <v>585</v>
      </c>
      <c r="R31" s="81" t="s">
        <v>389</v>
      </c>
      <c r="S31" s="81" t="s">
        <v>185</v>
      </c>
      <c r="T31" s="81">
        <v>2013</v>
      </c>
      <c r="U31" s="81" t="s">
        <v>199</v>
      </c>
      <c r="V31" s="100" t="s">
        <v>1107</v>
      </c>
      <c r="W31" s="100" t="s">
        <v>1108</v>
      </c>
      <c r="X31" s="140" t="s">
        <v>20</v>
      </c>
      <c r="Y31" s="81"/>
      <c r="Z31" s="81" t="s">
        <v>1493</v>
      </c>
      <c r="AA31" s="81" t="s">
        <v>1493</v>
      </c>
      <c r="AB31" s="81" t="s">
        <v>1493</v>
      </c>
      <c r="AC31" s="54" t="s">
        <v>1504</v>
      </c>
    </row>
    <row r="32" spans="1:29" ht="25.5" customHeight="1" x14ac:dyDescent="0.3">
      <c r="A32" s="81">
        <v>3028</v>
      </c>
      <c r="B32" s="81" t="s">
        <v>0</v>
      </c>
      <c r="C32" s="81" t="s">
        <v>379</v>
      </c>
      <c r="D32" s="146" t="s">
        <v>985</v>
      </c>
      <c r="E32" s="81" t="s">
        <v>70</v>
      </c>
      <c r="F32" s="81" t="s">
        <v>1066</v>
      </c>
      <c r="G32" s="81" t="s">
        <v>630</v>
      </c>
      <c r="H32" s="81" t="s">
        <v>3</v>
      </c>
      <c r="I32" s="109">
        <v>2017</v>
      </c>
      <c r="J32" s="132">
        <v>187.14</v>
      </c>
      <c r="K32" s="132">
        <v>27.04</v>
      </c>
      <c r="L32" s="54" t="s">
        <v>29</v>
      </c>
      <c r="M32" s="131">
        <v>133.4</v>
      </c>
      <c r="N32" s="111">
        <v>499416.43</v>
      </c>
      <c r="O32" s="142" t="s">
        <v>585</v>
      </c>
      <c r="P32" s="111" t="s">
        <v>379</v>
      </c>
      <c r="Q32" s="111" t="s">
        <v>805</v>
      </c>
      <c r="R32" s="81" t="s">
        <v>254</v>
      </c>
      <c r="S32" s="81" t="s">
        <v>185</v>
      </c>
      <c r="T32" s="81">
        <v>2013</v>
      </c>
      <c r="U32" s="81" t="s">
        <v>199</v>
      </c>
      <c r="V32" s="100" t="s">
        <v>1109</v>
      </c>
      <c r="W32" s="100" t="s">
        <v>1110</v>
      </c>
      <c r="X32" s="140" t="s">
        <v>20</v>
      </c>
      <c r="Y32" s="81"/>
      <c r="Z32" s="81" t="s">
        <v>1493</v>
      </c>
      <c r="AA32" s="81" t="s">
        <v>1493</v>
      </c>
      <c r="AB32" s="81" t="s">
        <v>1493</v>
      </c>
      <c r="AC32" s="54" t="s">
        <v>1504</v>
      </c>
    </row>
    <row r="33" spans="1:29" ht="25.5" customHeight="1" x14ac:dyDescent="0.3">
      <c r="A33" s="81">
        <v>3027</v>
      </c>
      <c r="B33" s="81" t="s">
        <v>0</v>
      </c>
      <c r="C33" s="81" t="s">
        <v>379</v>
      </c>
      <c r="D33" s="146" t="s">
        <v>986</v>
      </c>
      <c r="E33" s="81" t="s">
        <v>17</v>
      </c>
      <c r="F33" s="81" t="s">
        <v>890</v>
      </c>
      <c r="G33" s="81" t="s">
        <v>630</v>
      </c>
      <c r="H33" s="81" t="s">
        <v>3</v>
      </c>
      <c r="I33" s="109">
        <v>2014</v>
      </c>
      <c r="J33" s="132">
        <v>197</v>
      </c>
      <c r="K33" s="132">
        <v>21</v>
      </c>
      <c r="L33" s="54" t="s">
        <v>29</v>
      </c>
      <c r="M33" s="131">
        <v>88.4</v>
      </c>
      <c r="N33" s="111">
        <v>40772</v>
      </c>
      <c r="O33" s="111">
        <v>18295</v>
      </c>
      <c r="P33" s="111" t="s">
        <v>379</v>
      </c>
      <c r="Q33" s="142" t="s">
        <v>585</v>
      </c>
      <c r="R33" s="81" t="s">
        <v>254</v>
      </c>
      <c r="S33" s="81" t="s">
        <v>185</v>
      </c>
      <c r="T33" s="81">
        <v>2013</v>
      </c>
      <c r="U33" s="81" t="s">
        <v>199</v>
      </c>
      <c r="V33" s="100" t="s">
        <v>1111</v>
      </c>
      <c r="W33" s="100" t="s">
        <v>1112</v>
      </c>
      <c r="X33" s="140" t="s">
        <v>585</v>
      </c>
      <c r="Y33" s="81"/>
      <c r="Z33" s="81" t="s">
        <v>1493</v>
      </c>
      <c r="AA33" s="81" t="s">
        <v>1493</v>
      </c>
      <c r="AB33" s="81" t="s">
        <v>1493</v>
      </c>
      <c r="AC33" s="54" t="s">
        <v>1504</v>
      </c>
    </row>
    <row r="34" spans="1:29" ht="51" customHeight="1" x14ac:dyDescent="0.3">
      <c r="A34" s="81">
        <v>3026</v>
      </c>
      <c r="B34" s="81" t="s">
        <v>0</v>
      </c>
      <c r="C34" s="81" t="s">
        <v>379</v>
      </c>
      <c r="D34" s="146" t="s">
        <v>987</v>
      </c>
      <c r="E34" s="81" t="s">
        <v>71</v>
      </c>
      <c r="F34" s="81" t="s">
        <v>890</v>
      </c>
      <c r="G34" s="81" t="s">
        <v>630</v>
      </c>
      <c r="H34" s="81" t="s">
        <v>3</v>
      </c>
      <c r="I34" s="109">
        <v>2017</v>
      </c>
      <c r="J34" s="132">
        <v>123</v>
      </c>
      <c r="K34" s="132">
        <v>12.2</v>
      </c>
      <c r="L34" s="54" t="s">
        <v>29</v>
      </c>
      <c r="M34" s="131">
        <v>80.2</v>
      </c>
      <c r="N34" s="111">
        <v>34996</v>
      </c>
      <c r="O34" s="111">
        <v>15703</v>
      </c>
      <c r="P34" s="111" t="s">
        <v>379</v>
      </c>
      <c r="Q34" s="142" t="s">
        <v>585</v>
      </c>
      <c r="R34" s="81" t="s">
        <v>254</v>
      </c>
      <c r="S34" s="81" t="s">
        <v>185</v>
      </c>
      <c r="T34" s="81">
        <v>2013</v>
      </c>
      <c r="U34" s="81" t="s">
        <v>199</v>
      </c>
      <c r="V34" s="100" t="s">
        <v>1095</v>
      </c>
      <c r="W34" s="100" t="s">
        <v>1096</v>
      </c>
      <c r="X34" s="140" t="s">
        <v>585</v>
      </c>
      <c r="Y34" s="81"/>
      <c r="Z34" s="81" t="s">
        <v>1493</v>
      </c>
      <c r="AA34" s="81" t="s">
        <v>1493</v>
      </c>
      <c r="AB34" s="81" t="s">
        <v>1493</v>
      </c>
      <c r="AC34" s="54" t="s">
        <v>1504</v>
      </c>
    </row>
    <row r="35" spans="1:29" ht="51" customHeight="1" x14ac:dyDescent="0.3">
      <c r="A35" s="81">
        <v>3025</v>
      </c>
      <c r="B35" s="81" t="s">
        <v>0</v>
      </c>
      <c r="C35" s="81" t="s">
        <v>379</v>
      </c>
      <c r="D35" s="146" t="s">
        <v>988</v>
      </c>
      <c r="E35" s="81" t="s">
        <v>72</v>
      </c>
      <c r="F35" s="81" t="s">
        <v>890</v>
      </c>
      <c r="G35" s="81" t="s">
        <v>630</v>
      </c>
      <c r="H35" s="81" t="s">
        <v>3</v>
      </c>
      <c r="I35" s="141" t="s">
        <v>712</v>
      </c>
      <c r="J35" s="132">
        <v>237</v>
      </c>
      <c r="K35" s="132">
        <v>41.5</v>
      </c>
      <c r="L35" s="54" t="s">
        <v>29</v>
      </c>
      <c r="M35" s="131">
        <v>57.9</v>
      </c>
      <c r="N35" s="111">
        <v>16308</v>
      </c>
      <c r="O35" s="111">
        <v>7315</v>
      </c>
      <c r="P35" s="111" t="s">
        <v>379</v>
      </c>
      <c r="Q35" s="142" t="s">
        <v>585</v>
      </c>
      <c r="R35" s="81" t="s">
        <v>254</v>
      </c>
      <c r="S35" s="81" t="s">
        <v>185</v>
      </c>
      <c r="T35" s="81">
        <v>2013</v>
      </c>
      <c r="U35" s="81" t="s">
        <v>199</v>
      </c>
      <c r="V35" s="100" t="s">
        <v>1113</v>
      </c>
      <c r="W35" s="100" t="s">
        <v>1114</v>
      </c>
      <c r="X35" s="140" t="s">
        <v>585</v>
      </c>
      <c r="Y35" s="81"/>
      <c r="Z35" s="81" t="s">
        <v>1493</v>
      </c>
      <c r="AA35" s="81" t="s">
        <v>1493</v>
      </c>
      <c r="AB35" s="81" t="s">
        <v>1493</v>
      </c>
      <c r="AC35" s="54" t="s">
        <v>1504</v>
      </c>
    </row>
    <row r="36" spans="1:29" ht="51" customHeight="1" x14ac:dyDescent="0.3">
      <c r="A36" s="81">
        <v>3024</v>
      </c>
      <c r="B36" s="81" t="s">
        <v>0</v>
      </c>
      <c r="C36" s="81" t="s">
        <v>379</v>
      </c>
      <c r="D36" s="146" t="s">
        <v>989</v>
      </c>
      <c r="E36" s="81" t="s">
        <v>785</v>
      </c>
      <c r="F36" s="81" t="s">
        <v>890</v>
      </c>
      <c r="G36" s="81" t="s">
        <v>630</v>
      </c>
      <c r="H36" s="81" t="s">
        <v>3</v>
      </c>
      <c r="I36" s="109">
        <v>2017</v>
      </c>
      <c r="J36" s="132">
        <v>2804</v>
      </c>
      <c r="K36" s="132">
        <v>597.79999999999995</v>
      </c>
      <c r="L36" s="54" t="s">
        <v>29</v>
      </c>
      <c r="M36" s="131">
        <v>1796.9</v>
      </c>
      <c r="N36" s="111">
        <v>75428</v>
      </c>
      <c r="O36" s="111">
        <v>24175</v>
      </c>
      <c r="P36" s="111" t="s">
        <v>379</v>
      </c>
      <c r="Q36" s="142" t="s">
        <v>585</v>
      </c>
      <c r="R36" s="81" t="s">
        <v>254</v>
      </c>
      <c r="S36" s="81" t="s">
        <v>185</v>
      </c>
      <c r="T36" s="81">
        <v>2013</v>
      </c>
      <c r="U36" s="81" t="s">
        <v>199</v>
      </c>
      <c r="V36" s="100" t="s">
        <v>1101</v>
      </c>
      <c r="W36" s="100" t="s">
        <v>1102</v>
      </c>
      <c r="X36" s="140" t="s">
        <v>585</v>
      </c>
      <c r="Y36" s="81"/>
      <c r="Z36" s="81" t="s">
        <v>1493</v>
      </c>
      <c r="AA36" s="81" t="s">
        <v>1493</v>
      </c>
      <c r="AB36" s="81" t="s">
        <v>1493</v>
      </c>
      <c r="AC36" s="54" t="s">
        <v>1504</v>
      </c>
    </row>
    <row r="37" spans="1:29" ht="51" customHeight="1" x14ac:dyDescent="0.3">
      <c r="A37" s="81">
        <v>3023</v>
      </c>
      <c r="B37" s="81" t="s">
        <v>0</v>
      </c>
      <c r="C37" s="81" t="s">
        <v>379</v>
      </c>
      <c r="D37" s="81" t="s">
        <v>990</v>
      </c>
      <c r="E37" s="81" t="s">
        <v>73</v>
      </c>
      <c r="F37" s="81" t="s">
        <v>569</v>
      </c>
      <c r="G37" s="81" t="s">
        <v>628</v>
      </c>
      <c r="H37" s="81" t="s">
        <v>3</v>
      </c>
      <c r="I37" s="109">
        <v>2017</v>
      </c>
      <c r="J37" s="132">
        <v>120</v>
      </c>
      <c r="K37" s="132">
        <v>12</v>
      </c>
      <c r="L37" s="54" t="s">
        <v>29</v>
      </c>
      <c r="M37" s="131">
        <v>50.7</v>
      </c>
      <c r="N37" s="111">
        <v>15000</v>
      </c>
      <c r="O37" s="111">
        <v>2140</v>
      </c>
      <c r="P37" s="111" t="s">
        <v>379</v>
      </c>
      <c r="Q37" s="111" t="s">
        <v>957</v>
      </c>
      <c r="R37" s="81" t="s">
        <v>191</v>
      </c>
      <c r="S37" s="81" t="s">
        <v>185</v>
      </c>
      <c r="T37" s="81">
        <v>2013</v>
      </c>
      <c r="U37" s="81" t="s">
        <v>199</v>
      </c>
      <c r="V37" s="100" t="s">
        <v>1115</v>
      </c>
      <c r="W37" s="100" t="s">
        <v>1116</v>
      </c>
      <c r="X37" s="140" t="s">
        <v>585</v>
      </c>
      <c r="Y37" s="81"/>
      <c r="Z37" s="81" t="s">
        <v>1493</v>
      </c>
      <c r="AA37" s="81" t="s">
        <v>1493</v>
      </c>
      <c r="AB37" s="81" t="s">
        <v>1493</v>
      </c>
      <c r="AC37" s="54" t="s">
        <v>1504</v>
      </c>
    </row>
    <row r="38" spans="1:29" ht="51" customHeight="1" x14ac:dyDescent="0.3">
      <c r="A38" s="81">
        <v>3022</v>
      </c>
      <c r="B38" s="81" t="s">
        <v>0</v>
      </c>
      <c r="C38" s="81" t="s">
        <v>379</v>
      </c>
      <c r="D38" s="146" t="s">
        <v>991</v>
      </c>
      <c r="E38" s="81" t="s">
        <v>74</v>
      </c>
      <c r="F38" s="81" t="s">
        <v>569</v>
      </c>
      <c r="G38" s="81" t="s">
        <v>628</v>
      </c>
      <c r="H38" s="81" t="s">
        <v>3</v>
      </c>
      <c r="I38" s="141" t="s">
        <v>712</v>
      </c>
      <c r="J38" s="132">
        <v>8</v>
      </c>
      <c r="K38" s="132">
        <v>0.7</v>
      </c>
      <c r="L38" s="54" t="s">
        <v>29</v>
      </c>
      <c r="M38" s="131">
        <v>2.7</v>
      </c>
      <c r="N38" s="111">
        <v>12507</v>
      </c>
      <c r="O38" s="111">
        <v>2140</v>
      </c>
      <c r="P38" s="111" t="s">
        <v>379</v>
      </c>
      <c r="Q38" s="111" t="s">
        <v>957</v>
      </c>
      <c r="R38" s="81" t="s">
        <v>191</v>
      </c>
      <c r="S38" s="81" t="s">
        <v>185</v>
      </c>
      <c r="T38" s="81">
        <v>2013</v>
      </c>
      <c r="U38" s="81" t="s">
        <v>199</v>
      </c>
      <c r="V38" s="100" t="s">
        <v>1117</v>
      </c>
      <c r="W38" s="100" t="s">
        <v>1118</v>
      </c>
      <c r="X38" s="140" t="s">
        <v>585</v>
      </c>
      <c r="Y38" s="81"/>
      <c r="Z38" s="81" t="s">
        <v>1493</v>
      </c>
      <c r="AA38" s="81" t="s">
        <v>1493</v>
      </c>
      <c r="AB38" s="81" t="s">
        <v>1493</v>
      </c>
      <c r="AC38" s="54" t="s">
        <v>1504</v>
      </c>
    </row>
    <row r="39" spans="1:29" ht="53.25" customHeight="1" x14ac:dyDescent="0.3">
      <c r="A39" s="81">
        <v>3021</v>
      </c>
      <c r="B39" s="81" t="s">
        <v>0</v>
      </c>
      <c r="C39" s="81" t="s">
        <v>379</v>
      </c>
      <c r="D39" s="146" t="s">
        <v>992</v>
      </c>
      <c r="E39" s="81" t="s">
        <v>75</v>
      </c>
      <c r="F39" s="81" t="s">
        <v>569</v>
      </c>
      <c r="G39" s="81" t="s">
        <v>628</v>
      </c>
      <c r="H39" s="81" t="s">
        <v>3</v>
      </c>
      <c r="I39" s="141" t="s">
        <v>712</v>
      </c>
      <c r="J39" s="132">
        <v>63</v>
      </c>
      <c r="K39" s="132">
        <v>7.8</v>
      </c>
      <c r="L39" s="54" t="s">
        <v>29</v>
      </c>
      <c r="M39" s="131">
        <v>7.3</v>
      </c>
      <c r="N39" s="111">
        <v>30844</v>
      </c>
      <c r="O39" s="111">
        <v>2140</v>
      </c>
      <c r="P39" s="111" t="s">
        <v>379</v>
      </c>
      <c r="Q39" s="111" t="s">
        <v>957</v>
      </c>
      <c r="R39" s="81" t="s">
        <v>191</v>
      </c>
      <c r="S39" s="81" t="s">
        <v>185</v>
      </c>
      <c r="T39" s="81">
        <v>2013</v>
      </c>
      <c r="U39" s="81" t="s">
        <v>199</v>
      </c>
      <c r="V39" s="100" t="s">
        <v>1119</v>
      </c>
      <c r="W39" s="100" t="s">
        <v>1120</v>
      </c>
      <c r="X39" s="140" t="s">
        <v>585</v>
      </c>
      <c r="Y39" s="81"/>
      <c r="Z39" s="81" t="s">
        <v>1493</v>
      </c>
      <c r="AA39" s="81" t="s">
        <v>1493</v>
      </c>
      <c r="AB39" s="81" t="s">
        <v>1493</v>
      </c>
      <c r="AC39" s="54" t="s">
        <v>1504</v>
      </c>
    </row>
    <row r="40" spans="1:29" ht="51" customHeight="1" x14ac:dyDescent="0.3">
      <c r="A40" s="81">
        <v>3020</v>
      </c>
      <c r="B40" s="81" t="s">
        <v>0</v>
      </c>
      <c r="C40" s="81" t="s">
        <v>379</v>
      </c>
      <c r="D40" s="146" t="s">
        <v>993</v>
      </c>
      <c r="E40" s="81" t="s">
        <v>570</v>
      </c>
      <c r="F40" s="81" t="s">
        <v>569</v>
      </c>
      <c r="G40" s="81" t="s">
        <v>628</v>
      </c>
      <c r="H40" s="81" t="s">
        <v>3</v>
      </c>
      <c r="I40" s="141" t="s">
        <v>712</v>
      </c>
      <c r="J40" s="132">
        <v>99</v>
      </c>
      <c r="K40" s="132">
        <v>16.399999999999999</v>
      </c>
      <c r="L40" s="54" t="s">
        <v>29</v>
      </c>
      <c r="M40" s="131">
        <v>38.6</v>
      </c>
      <c r="N40" s="111">
        <v>15000</v>
      </c>
      <c r="O40" s="111">
        <v>2140</v>
      </c>
      <c r="P40" s="111" t="s">
        <v>379</v>
      </c>
      <c r="Q40" s="111" t="s">
        <v>957</v>
      </c>
      <c r="R40" s="81" t="s">
        <v>191</v>
      </c>
      <c r="S40" s="81" t="s">
        <v>185</v>
      </c>
      <c r="T40" s="81">
        <v>2013</v>
      </c>
      <c r="U40" s="81" t="s">
        <v>199</v>
      </c>
      <c r="V40" s="100" t="s">
        <v>1121</v>
      </c>
      <c r="W40" s="100" t="s">
        <v>1122</v>
      </c>
      <c r="X40" s="140" t="s">
        <v>585</v>
      </c>
      <c r="Y40" s="81"/>
      <c r="Z40" s="81" t="s">
        <v>1493</v>
      </c>
      <c r="AA40" s="81" t="s">
        <v>1493</v>
      </c>
      <c r="AB40" s="81" t="s">
        <v>1493</v>
      </c>
      <c r="AC40" s="54" t="s">
        <v>1504</v>
      </c>
    </row>
    <row r="41" spans="1:29" ht="51" customHeight="1" x14ac:dyDescent="0.3">
      <c r="A41" s="81">
        <v>3071</v>
      </c>
      <c r="B41" s="81" t="s">
        <v>0</v>
      </c>
      <c r="C41" s="81" t="s">
        <v>379</v>
      </c>
      <c r="D41" s="146" t="s">
        <v>994</v>
      </c>
      <c r="E41" s="81" t="s">
        <v>76</v>
      </c>
      <c r="F41" s="81" t="s">
        <v>569</v>
      </c>
      <c r="G41" s="81" t="s">
        <v>628</v>
      </c>
      <c r="H41" s="81" t="s">
        <v>3</v>
      </c>
      <c r="I41" s="141" t="s">
        <v>712</v>
      </c>
      <c r="J41" s="132">
        <v>80</v>
      </c>
      <c r="K41" s="132">
        <v>8</v>
      </c>
      <c r="L41" s="54" t="s">
        <v>29</v>
      </c>
      <c r="M41" s="131">
        <v>47.5</v>
      </c>
      <c r="N41" s="111">
        <v>35857</v>
      </c>
      <c r="O41" s="111">
        <v>2140</v>
      </c>
      <c r="P41" s="111" t="s">
        <v>379</v>
      </c>
      <c r="Q41" s="111" t="s">
        <v>957</v>
      </c>
      <c r="R41" s="81" t="s">
        <v>191</v>
      </c>
      <c r="S41" s="81" t="s">
        <v>185</v>
      </c>
      <c r="T41" s="81">
        <v>2013</v>
      </c>
      <c r="U41" s="81" t="s">
        <v>199</v>
      </c>
      <c r="V41" s="100" t="s">
        <v>1123</v>
      </c>
      <c r="W41" s="100" t="s">
        <v>1124</v>
      </c>
      <c r="X41" s="140" t="s">
        <v>585</v>
      </c>
      <c r="Y41" s="81"/>
      <c r="Z41" s="81" t="s">
        <v>1493</v>
      </c>
      <c r="AA41" s="81" t="s">
        <v>1493</v>
      </c>
      <c r="AB41" s="81" t="s">
        <v>1493</v>
      </c>
      <c r="AC41" s="54" t="s">
        <v>1504</v>
      </c>
    </row>
    <row r="42" spans="1:29" ht="51" customHeight="1" x14ac:dyDescent="0.3">
      <c r="A42" s="81">
        <v>3070</v>
      </c>
      <c r="B42" s="81" t="s">
        <v>0</v>
      </c>
      <c r="C42" s="81" t="s">
        <v>379</v>
      </c>
      <c r="D42" s="146" t="s">
        <v>995</v>
      </c>
      <c r="E42" s="81" t="s">
        <v>77</v>
      </c>
      <c r="F42" s="81" t="s">
        <v>569</v>
      </c>
      <c r="G42" s="81" t="s">
        <v>628</v>
      </c>
      <c r="H42" s="81" t="s">
        <v>3</v>
      </c>
      <c r="I42" s="141" t="s">
        <v>712</v>
      </c>
      <c r="J42" s="132">
        <v>226</v>
      </c>
      <c r="K42" s="132">
        <v>29</v>
      </c>
      <c r="L42" s="54" t="s">
        <v>29</v>
      </c>
      <c r="M42" s="131">
        <v>69.099999999999994</v>
      </c>
      <c r="N42" s="111">
        <v>12507</v>
      </c>
      <c r="O42" s="111">
        <v>2140</v>
      </c>
      <c r="P42" s="111" t="s">
        <v>379</v>
      </c>
      <c r="Q42" s="111" t="s">
        <v>957</v>
      </c>
      <c r="R42" s="81" t="s">
        <v>191</v>
      </c>
      <c r="S42" s="81" t="s">
        <v>185</v>
      </c>
      <c r="T42" s="81">
        <v>2013</v>
      </c>
      <c r="U42" s="81" t="s">
        <v>199</v>
      </c>
      <c r="V42" s="100" t="s">
        <v>1125</v>
      </c>
      <c r="W42" s="100" t="s">
        <v>1126</v>
      </c>
      <c r="X42" s="140" t="s">
        <v>585</v>
      </c>
      <c r="Y42" s="81"/>
      <c r="Z42" s="81" t="s">
        <v>1493</v>
      </c>
      <c r="AA42" s="81" t="s">
        <v>1493</v>
      </c>
      <c r="AB42" s="81" t="s">
        <v>1493</v>
      </c>
      <c r="AC42" s="54" t="s">
        <v>1504</v>
      </c>
    </row>
    <row r="43" spans="1:29" ht="47.25" customHeight="1" x14ac:dyDescent="0.3">
      <c r="A43" s="81">
        <v>3069</v>
      </c>
      <c r="B43" s="81" t="s">
        <v>0</v>
      </c>
      <c r="C43" s="140" t="s">
        <v>585</v>
      </c>
      <c r="D43" s="146" t="s">
        <v>996</v>
      </c>
      <c r="E43" s="81" t="s">
        <v>78</v>
      </c>
      <c r="F43" s="81" t="s">
        <v>569</v>
      </c>
      <c r="G43" s="81" t="s">
        <v>628</v>
      </c>
      <c r="H43" s="81" t="s">
        <v>3</v>
      </c>
      <c r="I43" s="141" t="s">
        <v>712</v>
      </c>
      <c r="J43" s="132">
        <v>3</v>
      </c>
      <c r="K43" s="132">
        <v>0.2</v>
      </c>
      <c r="L43" s="54" t="s">
        <v>29</v>
      </c>
      <c r="M43" s="131">
        <v>3.8</v>
      </c>
      <c r="N43" s="111">
        <v>15000</v>
      </c>
      <c r="O43" s="111">
        <v>2140</v>
      </c>
      <c r="P43" s="142" t="s">
        <v>585</v>
      </c>
      <c r="Q43" s="142" t="s">
        <v>585</v>
      </c>
      <c r="R43" s="81" t="s">
        <v>497</v>
      </c>
      <c r="S43" s="81" t="s">
        <v>185</v>
      </c>
      <c r="T43" s="81">
        <v>2013</v>
      </c>
      <c r="U43" s="81" t="s">
        <v>199</v>
      </c>
      <c r="V43" s="100" t="s">
        <v>1083</v>
      </c>
      <c r="W43" s="100" t="s">
        <v>1084</v>
      </c>
      <c r="X43" s="140" t="s">
        <v>585</v>
      </c>
      <c r="Y43" s="81"/>
      <c r="Z43" s="81" t="s">
        <v>1493</v>
      </c>
      <c r="AA43" s="81" t="s">
        <v>1493</v>
      </c>
      <c r="AB43" s="81" t="s">
        <v>1493</v>
      </c>
      <c r="AC43" s="54" t="s">
        <v>1504</v>
      </c>
    </row>
    <row r="44" spans="1:29" ht="51" customHeight="1" x14ac:dyDescent="0.3">
      <c r="A44" s="81">
        <v>2990</v>
      </c>
      <c r="B44" s="81" t="s">
        <v>0</v>
      </c>
      <c r="C44" s="81" t="s">
        <v>379</v>
      </c>
      <c r="D44" s="146" t="s">
        <v>997</v>
      </c>
      <c r="E44" s="81" t="s">
        <v>79</v>
      </c>
      <c r="F44" s="81" t="s">
        <v>569</v>
      </c>
      <c r="G44" s="81" t="s">
        <v>628</v>
      </c>
      <c r="H44" s="81" t="s">
        <v>3</v>
      </c>
      <c r="I44" s="141" t="s">
        <v>712</v>
      </c>
      <c r="J44" s="132">
        <v>3</v>
      </c>
      <c r="K44" s="132">
        <v>0.3</v>
      </c>
      <c r="L44" s="54" t="s">
        <v>29</v>
      </c>
      <c r="M44" s="131">
        <v>2.8</v>
      </c>
      <c r="N44" s="111">
        <v>12507</v>
      </c>
      <c r="O44" s="111">
        <v>2140</v>
      </c>
      <c r="P44" s="111" t="s">
        <v>379</v>
      </c>
      <c r="Q44" s="111" t="s">
        <v>957</v>
      </c>
      <c r="R44" s="81" t="s">
        <v>191</v>
      </c>
      <c r="S44" s="81" t="s">
        <v>185</v>
      </c>
      <c r="T44" s="81">
        <v>2013</v>
      </c>
      <c r="U44" s="81" t="s">
        <v>199</v>
      </c>
      <c r="V44" s="100" t="s">
        <v>1127</v>
      </c>
      <c r="W44" s="100" t="s">
        <v>1128</v>
      </c>
      <c r="X44" s="140" t="s">
        <v>585</v>
      </c>
      <c r="Y44" s="81"/>
      <c r="Z44" s="81" t="s">
        <v>1493</v>
      </c>
      <c r="AA44" s="81" t="s">
        <v>1493</v>
      </c>
      <c r="AB44" s="81" t="s">
        <v>1493</v>
      </c>
      <c r="AC44" s="54" t="s">
        <v>1504</v>
      </c>
    </row>
    <row r="45" spans="1:29" ht="51" customHeight="1" x14ac:dyDescent="0.3">
      <c r="A45" s="81">
        <v>2997</v>
      </c>
      <c r="B45" s="81" t="s">
        <v>0</v>
      </c>
      <c r="C45" s="81" t="s">
        <v>379</v>
      </c>
      <c r="D45" s="146" t="s">
        <v>998</v>
      </c>
      <c r="E45" s="81" t="s">
        <v>80</v>
      </c>
      <c r="F45" s="81" t="s">
        <v>569</v>
      </c>
      <c r="G45" s="81" t="s">
        <v>628</v>
      </c>
      <c r="H45" s="81" t="s">
        <v>3</v>
      </c>
      <c r="I45" s="141" t="s">
        <v>712</v>
      </c>
      <c r="J45" s="132">
        <v>3</v>
      </c>
      <c r="K45" s="132">
        <v>0.3</v>
      </c>
      <c r="L45" s="54" t="s">
        <v>29</v>
      </c>
      <c r="M45" s="131">
        <v>2.7</v>
      </c>
      <c r="N45" s="111">
        <v>31751</v>
      </c>
      <c r="O45" s="111">
        <v>2140</v>
      </c>
      <c r="P45" s="111" t="s">
        <v>379</v>
      </c>
      <c r="Q45" s="111" t="s">
        <v>957</v>
      </c>
      <c r="R45" s="81" t="s">
        <v>191</v>
      </c>
      <c r="S45" s="81" t="s">
        <v>185</v>
      </c>
      <c r="T45" s="81">
        <v>2013</v>
      </c>
      <c r="U45" s="81" t="s">
        <v>199</v>
      </c>
      <c r="V45" s="100" t="s">
        <v>1129</v>
      </c>
      <c r="W45" s="100" t="s">
        <v>1130</v>
      </c>
      <c r="X45" s="140" t="s">
        <v>585</v>
      </c>
      <c r="Y45" s="81"/>
      <c r="Z45" s="81" t="s">
        <v>1493</v>
      </c>
      <c r="AA45" s="81" t="s">
        <v>1493</v>
      </c>
      <c r="AB45" s="81" t="s">
        <v>1493</v>
      </c>
      <c r="AC45" s="54" t="s">
        <v>1504</v>
      </c>
    </row>
    <row r="46" spans="1:29" ht="48" customHeight="1" x14ac:dyDescent="0.3">
      <c r="A46" s="81">
        <v>2988</v>
      </c>
      <c r="B46" s="81" t="s">
        <v>0</v>
      </c>
      <c r="C46" s="81" t="s">
        <v>379</v>
      </c>
      <c r="D46" s="146" t="s">
        <v>999</v>
      </c>
      <c r="E46" s="81" t="s">
        <v>81</v>
      </c>
      <c r="F46" s="81" t="s">
        <v>569</v>
      </c>
      <c r="G46" s="81" t="s">
        <v>628</v>
      </c>
      <c r="H46" s="81" t="s">
        <v>3</v>
      </c>
      <c r="I46" s="141" t="s">
        <v>712</v>
      </c>
      <c r="J46" s="132">
        <v>7</v>
      </c>
      <c r="K46" s="132">
        <v>0.8</v>
      </c>
      <c r="L46" s="54" t="s">
        <v>29</v>
      </c>
      <c r="M46" s="131">
        <v>7.4</v>
      </c>
      <c r="N46" s="111">
        <v>12507</v>
      </c>
      <c r="O46" s="111">
        <v>2140</v>
      </c>
      <c r="P46" s="111" t="s">
        <v>379</v>
      </c>
      <c r="Q46" s="111" t="s">
        <v>957</v>
      </c>
      <c r="R46" s="81" t="s">
        <v>191</v>
      </c>
      <c r="S46" s="81" t="s">
        <v>185</v>
      </c>
      <c r="T46" s="81">
        <v>2013</v>
      </c>
      <c r="U46" s="81" t="s">
        <v>199</v>
      </c>
      <c r="V46" s="100" t="s">
        <v>1131</v>
      </c>
      <c r="W46" s="100" t="s">
        <v>1132</v>
      </c>
      <c r="X46" s="140" t="s">
        <v>585</v>
      </c>
      <c r="Y46" s="81"/>
      <c r="Z46" s="81" t="s">
        <v>1493</v>
      </c>
      <c r="AA46" s="81" t="s">
        <v>1493</v>
      </c>
      <c r="AB46" s="81" t="s">
        <v>1493</v>
      </c>
      <c r="AC46" s="54" t="s">
        <v>1504</v>
      </c>
    </row>
    <row r="47" spans="1:29" ht="48" customHeight="1" x14ac:dyDescent="0.3">
      <c r="A47" s="81">
        <v>2987</v>
      </c>
      <c r="B47" s="81" t="s">
        <v>0</v>
      </c>
      <c r="C47" s="81" t="s">
        <v>379</v>
      </c>
      <c r="D47" s="146" t="s">
        <v>1000</v>
      </c>
      <c r="E47" s="81" t="s">
        <v>82</v>
      </c>
      <c r="F47" s="81" t="s">
        <v>569</v>
      </c>
      <c r="G47" s="81" t="s">
        <v>628</v>
      </c>
      <c r="H47" s="81" t="s">
        <v>3</v>
      </c>
      <c r="I47" s="141" t="s">
        <v>712</v>
      </c>
      <c r="J47" s="132">
        <v>6</v>
      </c>
      <c r="K47" s="132">
        <v>0.6</v>
      </c>
      <c r="L47" s="54" t="s">
        <v>29</v>
      </c>
      <c r="M47" s="131">
        <v>3.8</v>
      </c>
      <c r="N47" s="111">
        <v>12507</v>
      </c>
      <c r="O47" s="111">
        <v>2140</v>
      </c>
      <c r="P47" s="111" t="s">
        <v>379</v>
      </c>
      <c r="Q47" s="111" t="s">
        <v>957</v>
      </c>
      <c r="R47" s="81" t="s">
        <v>191</v>
      </c>
      <c r="S47" s="81" t="s">
        <v>185</v>
      </c>
      <c r="T47" s="81">
        <v>2013</v>
      </c>
      <c r="U47" s="81" t="s">
        <v>199</v>
      </c>
      <c r="V47" s="100" t="s">
        <v>1133</v>
      </c>
      <c r="W47" s="100" t="s">
        <v>1134</v>
      </c>
      <c r="X47" s="140" t="s">
        <v>585</v>
      </c>
      <c r="Y47" s="81"/>
      <c r="Z47" s="81" t="s">
        <v>1493</v>
      </c>
      <c r="AA47" s="81" t="s">
        <v>1493</v>
      </c>
      <c r="AB47" s="81" t="s">
        <v>1493</v>
      </c>
      <c r="AC47" s="54" t="s">
        <v>1504</v>
      </c>
    </row>
    <row r="48" spans="1:29" ht="47.25" customHeight="1" x14ac:dyDescent="0.3">
      <c r="A48" s="81">
        <v>2983</v>
      </c>
      <c r="B48" s="81" t="s">
        <v>0</v>
      </c>
      <c r="C48" s="81" t="s">
        <v>379</v>
      </c>
      <c r="D48" s="146" t="s">
        <v>1001</v>
      </c>
      <c r="E48" s="81" t="s">
        <v>83</v>
      </c>
      <c r="F48" s="81" t="s">
        <v>569</v>
      </c>
      <c r="G48" s="81" t="s">
        <v>628</v>
      </c>
      <c r="H48" s="81" t="s">
        <v>3</v>
      </c>
      <c r="I48" s="141" t="s">
        <v>712</v>
      </c>
      <c r="J48" s="132">
        <v>9</v>
      </c>
      <c r="K48" s="132">
        <v>0.9</v>
      </c>
      <c r="L48" s="54" t="s">
        <v>29</v>
      </c>
      <c r="M48" s="131">
        <v>5.7</v>
      </c>
      <c r="N48" s="111">
        <v>15000</v>
      </c>
      <c r="O48" s="111">
        <v>2140</v>
      </c>
      <c r="P48" s="111" t="s">
        <v>379</v>
      </c>
      <c r="Q48" s="111" t="s">
        <v>957</v>
      </c>
      <c r="R48" s="81" t="s">
        <v>191</v>
      </c>
      <c r="S48" s="81" t="s">
        <v>185</v>
      </c>
      <c r="T48" s="81">
        <v>2013</v>
      </c>
      <c r="U48" s="81" t="s">
        <v>199</v>
      </c>
      <c r="V48" s="100" t="s">
        <v>1135</v>
      </c>
      <c r="W48" s="100" t="s">
        <v>1136</v>
      </c>
      <c r="X48" s="140" t="s">
        <v>585</v>
      </c>
      <c r="Y48" s="81"/>
      <c r="Z48" s="81" t="s">
        <v>1493</v>
      </c>
      <c r="AA48" s="81" t="s">
        <v>1493</v>
      </c>
      <c r="AB48" s="81" t="s">
        <v>1493</v>
      </c>
      <c r="AC48" s="54" t="s">
        <v>1504</v>
      </c>
    </row>
    <row r="49" spans="1:29" ht="52.5" customHeight="1" x14ac:dyDescent="0.3">
      <c r="A49" s="81">
        <v>2985</v>
      </c>
      <c r="B49" s="81" t="s">
        <v>0</v>
      </c>
      <c r="C49" s="81" t="s">
        <v>379</v>
      </c>
      <c r="D49" s="146" t="s">
        <v>1002</v>
      </c>
      <c r="E49" s="81" t="s">
        <v>84</v>
      </c>
      <c r="F49" s="81" t="s">
        <v>569</v>
      </c>
      <c r="G49" s="81" t="s">
        <v>628</v>
      </c>
      <c r="H49" s="81" t="s">
        <v>3</v>
      </c>
      <c r="I49" s="141" t="s">
        <v>712</v>
      </c>
      <c r="J49" s="132">
        <v>202</v>
      </c>
      <c r="K49" s="132">
        <v>33.4</v>
      </c>
      <c r="L49" s="54" t="s">
        <v>29</v>
      </c>
      <c r="M49" s="131">
        <v>98.5</v>
      </c>
      <c r="N49" s="111">
        <v>15000</v>
      </c>
      <c r="O49" s="111">
        <v>2140</v>
      </c>
      <c r="P49" s="111" t="s">
        <v>379</v>
      </c>
      <c r="Q49" s="111" t="s">
        <v>957</v>
      </c>
      <c r="R49" s="81" t="s">
        <v>191</v>
      </c>
      <c r="S49" s="81" t="s">
        <v>185</v>
      </c>
      <c r="T49" s="81">
        <v>2013</v>
      </c>
      <c r="U49" s="81" t="s">
        <v>199</v>
      </c>
      <c r="V49" s="100" t="s">
        <v>1137</v>
      </c>
      <c r="W49" s="100" t="s">
        <v>1138</v>
      </c>
      <c r="X49" s="140" t="s">
        <v>585</v>
      </c>
      <c r="Y49" s="81"/>
      <c r="Z49" s="81" t="s">
        <v>1493</v>
      </c>
      <c r="AA49" s="81" t="s">
        <v>1493</v>
      </c>
      <c r="AB49" s="81" t="s">
        <v>1493</v>
      </c>
      <c r="AC49" s="54" t="s">
        <v>1504</v>
      </c>
    </row>
    <row r="50" spans="1:29" ht="48" customHeight="1" x14ac:dyDescent="0.3">
      <c r="A50" s="81">
        <v>2984</v>
      </c>
      <c r="B50" s="81" t="s">
        <v>0</v>
      </c>
      <c r="C50" s="81" t="s">
        <v>379</v>
      </c>
      <c r="D50" s="146" t="s">
        <v>1003</v>
      </c>
      <c r="E50" s="81" t="s">
        <v>85</v>
      </c>
      <c r="F50" s="81" t="s">
        <v>569</v>
      </c>
      <c r="G50" s="81" t="s">
        <v>628</v>
      </c>
      <c r="H50" s="81" t="s">
        <v>3</v>
      </c>
      <c r="I50" s="141" t="s">
        <v>712</v>
      </c>
      <c r="J50" s="132">
        <v>257</v>
      </c>
      <c r="K50" s="132">
        <v>38.799999999999997</v>
      </c>
      <c r="L50" s="54" t="s">
        <v>29</v>
      </c>
      <c r="M50" s="131">
        <v>126.5</v>
      </c>
      <c r="N50" s="111">
        <v>15000</v>
      </c>
      <c r="O50" s="111">
        <v>2140</v>
      </c>
      <c r="P50" s="111" t="s">
        <v>379</v>
      </c>
      <c r="Q50" s="111" t="s">
        <v>957</v>
      </c>
      <c r="R50" s="81" t="s">
        <v>191</v>
      </c>
      <c r="S50" s="81" t="s">
        <v>185</v>
      </c>
      <c r="T50" s="81">
        <v>2013</v>
      </c>
      <c r="U50" s="81" t="s">
        <v>199</v>
      </c>
      <c r="V50" s="100" t="s">
        <v>1139</v>
      </c>
      <c r="W50" s="100" t="s">
        <v>1140</v>
      </c>
      <c r="X50" s="140" t="s">
        <v>585</v>
      </c>
      <c r="Y50" s="81"/>
      <c r="Z50" s="81" t="s">
        <v>1493</v>
      </c>
      <c r="AA50" s="81" t="s">
        <v>1493</v>
      </c>
      <c r="AB50" s="81" t="s">
        <v>1493</v>
      </c>
      <c r="AC50" s="54" t="s">
        <v>1504</v>
      </c>
    </row>
    <row r="51" spans="1:29" ht="51.75" customHeight="1" x14ac:dyDescent="0.3">
      <c r="A51" s="81">
        <v>2981</v>
      </c>
      <c r="B51" s="81" t="s">
        <v>0</v>
      </c>
      <c r="C51" s="81" t="s">
        <v>533</v>
      </c>
      <c r="D51" s="81" t="s">
        <v>1004</v>
      </c>
      <c r="E51" s="81" t="s">
        <v>86</v>
      </c>
      <c r="F51" s="81" t="s">
        <v>891</v>
      </c>
      <c r="G51" s="81" t="s">
        <v>229</v>
      </c>
      <c r="H51" s="81" t="s">
        <v>388</v>
      </c>
      <c r="I51" s="109">
        <v>2022</v>
      </c>
      <c r="J51" s="132">
        <v>4059</v>
      </c>
      <c r="K51" s="132">
        <v>1589.8</v>
      </c>
      <c r="L51" s="54" t="s">
        <v>29</v>
      </c>
      <c r="M51" s="131">
        <v>1220.4000000000001</v>
      </c>
      <c r="N51" s="111">
        <v>1600000</v>
      </c>
      <c r="O51" s="111">
        <v>1000</v>
      </c>
      <c r="P51" s="111" t="s">
        <v>533</v>
      </c>
      <c r="Q51" s="142" t="s">
        <v>20</v>
      </c>
      <c r="R51" s="81" t="s">
        <v>497</v>
      </c>
      <c r="S51" s="81" t="s">
        <v>185</v>
      </c>
      <c r="T51" s="81">
        <v>2013</v>
      </c>
      <c r="U51" s="81" t="s">
        <v>199</v>
      </c>
      <c r="V51" s="100" t="s">
        <v>1141</v>
      </c>
      <c r="W51" s="100" t="s">
        <v>1142</v>
      </c>
      <c r="X51" s="140" t="s">
        <v>20</v>
      </c>
      <c r="Y51" s="81">
        <v>3</v>
      </c>
      <c r="Z51" s="81" t="s">
        <v>1493</v>
      </c>
      <c r="AA51" s="81" t="s">
        <v>1493</v>
      </c>
      <c r="AB51" s="81" t="s">
        <v>1493</v>
      </c>
      <c r="AC51" s="54" t="s">
        <v>1504</v>
      </c>
    </row>
    <row r="52" spans="1:29" ht="52.5" customHeight="1" x14ac:dyDescent="0.3">
      <c r="A52" s="81">
        <v>2982</v>
      </c>
      <c r="B52" s="81" t="s">
        <v>0</v>
      </c>
      <c r="C52" s="140" t="s">
        <v>497</v>
      </c>
      <c r="D52" s="81" t="s">
        <v>1005</v>
      </c>
      <c r="E52" s="81" t="s">
        <v>87</v>
      </c>
      <c r="F52" s="81" t="s">
        <v>892</v>
      </c>
      <c r="G52" s="81" t="s">
        <v>222</v>
      </c>
      <c r="H52" s="81" t="s">
        <v>1517</v>
      </c>
      <c r="I52" s="141" t="s">
        <v>712</v>
      </c>
      <c r="J52" s="131" t="s">
        <v>20</v>
      </c>
      <c r="K52" s="131" t="s">
        <v>20</v>
      </c>
      <c r="L52" s="54" t="s">
        <v>29</v>
      </c>
      <c r="M52" s="131" t="s">
        <v>497</v>
      </c>
      <c r="N52" s="111">
        <v>392105</v>
      </c>
      <c r="O52" s="111">
        <v>250000</v>
      </c>
      <c r="P52" s="142" t="s">
        <v>497</v>
      </c>
      <c r="Q52" s="142" t="s">
        <v>497</v>
      </c>
      <c r="R52" s="81" t="s">
        <v>497</v>
      </c>
      <c r="S52" s="81" t="s">
        <v>184</v>
      </c>
      <c r="T52" s="81">
        <v>2013</v>
      </c>
      <c r="U52" s="81" t="s">
        <v>199</v>
      </c>
      <c r="V52" s="145" t="s">
        <v>585</v>
      </c>
      <c r="W52" s="145" t="s">
        <v>585</v>
      </c>
      <c r="X52" s="81">
        <v>2013</v>
      </c>
      <c r="Y52" s="81"/>
      <c r="Z52" s="81" t="s">
        <v>1492</v>
      </c>
      <c r="AA52" s="81" t="s">
        <v>1492</v>
      </c>
      <c r="AB52" s="81" t="s">
        <v>1498</v>
      </c>
      <c r="AC52" s="54" t="s">
        <v>1499</v>
      </c>
    </row>
    <row r="53" spans="1:29" ht="25.5" customHeight="1" x14ac:dyDescent="0.3">
      <c r="A53" s="81">
        <v>2986</v>
      </c>
      <c r="B53" s="81" t="s">
        <v>0</v>
      </c>
      <c r="C53" s="81" t="s">
        <v>379</v>
      </c>
      <c r="D53" s="146" t="s">
        <v>1006</v>
      </c>
      <c r="E53" s="81" t="s">
        <v>276</v>
      </c>
      <c r="F53" s="81" t="s">
        <v>786</v>
      </c>
      <c r="G53" s="81" t="s">
        <v>630</v>
      </c>
      <c r="H53" s="81" t="s">
        <v>3</v>
      </c>
      <c r="I53" s="141" t="s">
        <v>712</v>
      </c>
      <c r="J53" s="132">
        <v>138</v>
      </c>
      <c r="K53" s="132">
        <v>27</v>
      </c>
      <c r="L53" s="54" t="s">
        <v>29</v>
      </c>
      <c r="M53" s="131">
        <v>32.1</v>
      </c>
      <c r="N53" s="111">
        <v>100362</v>
      </c>
      <c r="O53" s="111">
        <v>41817.5</v>
      </c>
      <c r="P53" s="111" t="s">
        <v>589</v>
      </c>
      <c r="Q53" s="142" t="s">
        <v>585</v>
      </c>
      <c r="R53" s="81" t="s">
        <v>254</v>
      </c>
      <c r="S53" s="81" t="s">
        <v>185</v>
      </c>
      <c r="T53" s="81">
        <v>2013</v>
      </c>
      <c r="U53" s="81" t="s">
        <v>199</v>
      </c>
      <c r="V53" s="100" t="s">
        <v>1143</v>
      </c>
      <c r="W53" s="100" t="s">
        <v>1144</v>
      </c>
      <c r="X53" s="140" t="s">
        <v>585</v>
      </c>
      <c r="Y53" s="81"/>
      <c r="Z53" s="81" t="s">
        <v>1493</v>
      </c>
      <c r="AA53" s="81" t="s">
        <v>1493</v>
      </c>
      <c r="AB53" s="81" t="s">
        <v>1493</v>
      </c>
      <c r="AC53" s="54" t="s">
        <v>1504</v>
      </c>
    </row>
    <row r="54" spans="1:29" ht="51" customHeight="1" x14ac:dyDescent="0.3">
      <c r="A54" s="81">
        <v>2989</v>
      </c>
      <c r="B54" s="81" t="s">
        <v>0</v>
      </c>
      <c r="C54" s="81" t="s">
        <v>379</v>
      </c>
      <c r="D54" s="146" t="s">
        <v>1007</v>
      </c>
      <c r="E54" s="81" t="s">
        <v>67</v>
      </c>
      <c r="F54" s="81" t="s">
        <v>590</v>
      </c>
      <c r="G54" s="81" t="s">
        <v>229</v>
      </c>
      <c r="H54" s="81" t="s">
        <v>3</v>
      </c>
      <c r="I54" s="109">
        <v>2017</v>
      </c>
      <c r="J54" s="132">
        <v>505</v>
      </c>
      <c r="K54" s="132">
        <v>51.3</v>
      </c>
      <c r="L54" s="54" t="s">
        <v>29</v>
      </c>
      <c r="M54" s="131">
        <v>719</v>
      </c>
      <c r="N54" s="111">
        <v>51200</v>
      </c>
      <c r="O54" s="142" t="s">
        <v>585</v>
      </c>
      <c r="P54" s="111" t="s">
        <v>589</v>
      </c>
      <c r="Q54" s="142" t="s">
        <v>585</v>
      </c>
      <c r="R54" s="81" t="s">
        <v>537</v>
      </c>
      <c r="S54" s="81" t="s">
        <v>185</v>
      </c>
      <c r="T54" s="81">
        <v>2013</v>
      </c>
      <c r="U54" s="81" t="s">
        <v>199</v>
      </c>
      <c r="V54" s="100" t="s">
        <v>1097</v>
      </c>
      <c r="W54" s="100" t="s">
        <v>1098</v>
      </c>
      <c r="X54" s="140" t="s">
        <v>585</v>
      </c>
      <c r="Y54" s="81"/>
      <c r="Z54" s="81" t="s">
        <v>1493</v>
      </c>
      <c r="AA54" s="81" t="s">
        <v>1493</v>
      </c>
      <c r="AB54" s="81" t="s">
        <v>1493</v>
      </c>
      <c r="AC54" s="54" t="s">
        <v>1504</v>
      </c>
    </row>
    <row r="55" spans="1:29" ht="51" customHeight="1" x14ac:dyDescent="0.3">
      <c r="A55" s="81">
        <v>3008</v>
      </c>
      <c r="B55" s="81" t="s">
        <v>0</v>
      </c>
      <c r="C55" s="140" t="s">
        <v>585</v>
      </c>
      <c r="D55" s="146" t="s">
        <v>1008</v>
      </c>
      <c r="E55" s="81" t="s">
        <v>88</v>
      </c>
      <c r="F55" s="81" t="s">
        <v>587</v>
      </c>
      <c r="G55" s="81" t="s">
        <v>228</v>
      </c>
      <c r="H55" s="81" t="s">
        <v>3</v>
      </c>
      <c r="I55" s="109">
        <v>2010</v>
      </c>
      <c r="J55" s="132">
        <v>75</v>
      </c>
      <c r="K55" s="132">
        <v>4.5999999999999996</v>
      </c>
      <c r="L55" s="54" t="s">
        <v>29</v>
      </c>
      <c r="M55" s="131" t="s">
        <v>585</v>
      </c>
      <c r="N55" s="142" t="s">
        <v>585</v>
      </c>
      <c r="O55" s="142" t="s">
        <v>585</v>
      </c>
      <c r="P55" s="142" t="s">
        <v>585</v>
      </c>
      <c r="Q55" s="142" t="s">
        <v>585</v>
      </c>
      <c r="R55" s="81" t="s">
        <v>497</v>
      </c>
      <c r="S55" s="81" t="s">
        <v>185</v>
      </c>
      <c r="T55" s="81">
        <v>2013</v>
      </c>
      <c r="U55" s="81" t="s">
        <v>199</v>
      </c>
      <c r="V55" s="100" t="s">
        <v>1145</v>
      </c>
      <c r="W55" s="100" t="s">
        <v>1146</v>
      </c>
      <c r="X55" s="140" t="s">
        <v>585</v>
      </c>
      <c r="Y55" s="81"/>
      <c r="Z55" s="81" t="s">
        <v>1493</v>
      </c>
      <c r="AA55" s="81" t="s">
        <v>1493</v>
      </c>
      <c r="AB55" s="81" t="s">
        <v>1493</v>
      </c>
      <c r="AC55" s="54" t="s">
        <v>1504</v>
      </c>
    </row>
    <row r="56" spans="1:29" ht="51" customHeight="1" x14ac:dyDescent="0.3">
      <c r="A56" s="81">
        <v>3016</v>
      </c>
      <c r="B56" s="81" t="s">
        <v>0</v>
      </c>
      <c r="C56" s="140" t="s">
        <v>585</v>
      </c>
      <c r="D56" s="146" t="s">
        <v>1009</v>
      </c>
      <c r="E56" s="81" t="s">
        <v>89</v>
      </c>
      <c r="F56" s="81" t="s">
        <v>550</v>
      </c>
      <c r="G56" s="81" t="s">
        <v>228</v>
      </c>
      <c r="H56" s="81" t="s">
        <v>3</v>
      </c>
      <c r="I56" s="109">
        <v>2005</v>
      </c>
      <c r="J56" s="132">
        <v>409</v>
      </c>
      <c r="K56" s="132">
        <v>87</v>
      </c>
      <c r="L56" s="54" t="s">
        <v>29</v>
      </c>
      <c r="M56" s="131" t="s">
        <v>585</v>
      </c>
      <c r="N56" s="142" t="s">
        <v>585</v>
      </c>
      <c r="O56" s="142" t="s">
        <v>585</v>
      </c>
      <c r="P56" s="142" t="s">
        <v>585</v>
      </c>
      <c r="Q56" s="142" t="s">
        <v>585</v>
      </c>
      <c r="R56" s="81" t="s">
        <v>497</v>
      </c>
      <c r="S56" s="81" t="s">
        <v>185</v>
      </c>
      <c r="T56" s="81">
        <v>2013</v>
      </c>
      <c r="U56" s="81" t="s">
        <v>199</v>
      </c>
      <c r="V56" s="100" t="s">
        <v>1147</v>
      </c>
      <c r="W56" s="100" t="s">
        <v>1148</v>
      </c>
      <c r="X56" s="140" t="s">
        <v>585</v>
      </c>
      <c r="Y56" s="81"/>
      <c r="Z56" s="81" t="s">
        <v>1493</v>
      </c>
      <c r="AA56" s="81" t="s">
        <v>1493</v>
      </c>
      <c r="AB56" s="81" t="s">
        <v>1493</v>
      </c>
      <c r="AC56" s="54" t="s">
        <v>1504</v>
      </c>
    </row>
    <row r="57" spans="1:29" ht="25.5" customHeight="1" x14ac:dyDescent="0.3">
      <c r="A57" s="81">
        <v>3015</v>
      </c>
      <c r="B57" s="81" t="s">
        <v>0</v>
      </c>
      <c r="C57" s="140" t="s">
        <v>585</v>
      </c>
      <c r="D57" s="146" t="s">
        <v>1010</v>
      </c>
      <c r="E57" s="81" t="s">
        <v>90</v>
      </c>
      <c r="F57" s="81" t="s">
        <v>308</v>
      </c>
      <c r="G57" s="81" t="s">
        <v>228</v>
      </c>
      <c r="H57" s="81" t="s">
        <v>3</v>
      </c>
      <c r="I57" s="109">
        <v>2009</v>
      </c>
      <c r="J57" s="133">
        <v>262</v>
      </c>
      <c r="K57" s="133">
        <v>24.1</v>
      </c>
      <c r="L57" s="54" t="s">
        <v>29</v>
      </c>
      <c r="M57" s="143" t="s">
        <v>585</v>
      </c>
      <c r="N57" s="142" t="s">
        <v>585</v>
      </c>
      <c r="O57" s="142" t="s">
        <v>585</v>
      </c>
      <c r="P57" s="142" t="s">
        <v>585</v>
      </c>
      <c r="Q57" s="142" t="s">
        <v>585</v>
      </c>
      <c r="R57" s="81" t="s">
        <v>497</v>
      </c>
      <c r="S57" s="81" t="s">
        <v>185</v>
      </c>
      <c r="T57" s="81">
        <v>2013</v>
      </c>
      <c r="U57" s="81" t="s">
        <v>199</v>
      </c>
      <c r="V57" s="100" t="s">
        <v>1149</v>
      </c>
      <c r="W57" s="100" t="s">
        <v>1150</v>
      </c>
      <c r="X57" s="140" t="s">
        <v>585</v>
      </c>
      <c r="Y57" s="81"/>
      <c r="Z57" s="140" t="s">
        <v>1492</v>
      </c>
      <c r="AA57" s="81" t="s">
        <v>1492</v>
      </c>
      <c r="AB57" s="81" t="s">
        <v>1493</v>
      </c>
      <c r="AC57" s="107" t="s">
        <v>1503</v>
      </c>
    </row>
    <row r="58" spans="1:29" ht="25.5" customHeight="1" x14ac:dyDescent="0.3">
      <c r="A58" s="81">
        <v>3014</v>
      </c>
      <c r="B58" s="81" t="s">
        <v>0</v>
      </c>
      <c r="C58" s="140" t="s">
        <v>585</v>
      </c>
      <c r="D58" s="146" t="s">
        <v>1011</v>
      </c>
      <c r="E58" s="81" t="s">
        <v>91</v>
      </c>
      <c r="F58" s="81" t="s">
        <v>550</v>
      </c>
      <c r="G58" s="81" t="s">
        <v>229</v>
      </c>
      <c r="H58" s="81" t="s">
        <v>3</v>
      </c>
      <c r="I58" s="109">
        <v>2002</v>
      </c>
      <c r="J58" s="132">
        <v>545</v>
      </c>
      <c r="K58" s="132">
        <v>185.4</v>
      </c>
      <c r="L58" s="54" t="s">
        <v>29</v>
      </c>
      <c r="M58" s="131">
        <v>88.4</v>
      </c>
      <c r="N58" s="111">
        <v>350384</v>
      </c>
      <c r="O58" s="142" t="s">
        <v>585</v>
      </c>
      <c r="P58" s="142" t="s">
        <v>585</v>
      </c>
      <c r="Q58" s="142" t="s">
        <v>585</v>
      </c>
      <c r="R58" s="81" t="s">
        <v>497</v>
      </c>
      <c r="S58" s="81" t="s">
        <v>185</v>
      </c>
      <c r="T58" s="81">
        <v>2013</v>
      </c>
      <c r="U58" s="81" t="s">
        <v>199</v>
      </c>
      <c r="V58" s="100" t="s">
        <v>1151</v>
      </c>
      <c r="W58" s="100" t="s">
        <v>1152</v>
      </c>
      <c r="X58" s="140" t="s">
        <v>585</v>
      </c>
      <c r="Y58" s="81"/>
      <c r="Z58" s="81" t="s">
        <v>1493</v>
      </c>
      <c r="AA58" s="81" t="s">
        <v>1493</v>
      </c>
      <c r="AB58" s="81" t="s">
        <v>1493</v>
      </c>
      <c r="AC58" s="54" t="s">
        <v>1504</v>
      </c>
    </row>
    <row r="59" spans="1:29" ht="58.5" customHeight="1" x14ac:dyDescent="0.3">
      <c r="A59" s="81">
        <v>3006</v>
      </c>
      <c r="B59" s="81" t="s">
        <v>0</v>
      </c>
      <c r="C59" s="81" t="s">
        <v>379</v>
      </c>
      <c r="D59" s="81" t="s">
        <v>1012</v>
      </c>
      <c r="E59" s="81" t="s">
        <v>92</v>
      </c>
      <c r="F59" s="81" t="s">
        <v>569</v>
      </c>
      <c r="G59" s="81" t="s">
        <v>628</v>
      </c>
      <c r="H59" s="81" t="s">
        <v>3</v>
      </c>
      <c r="I59" s="109">
        <v>2013</v>
      </c>
      <c r="J59" s="132">
        <v>6</v>
      </c>
      <c r="K59" s="132">
        <v>0.7</v>
      </c>
      <c r="L59" s="54" t="s">
        <v>29</v>
      </c>
      <c r="M59" s="131">
        <v>2.8</v>
      </c>
      <c r="N59" s="111">
        <v>12507</v>
      </c>
      <c r="O59" s="111">
        <v>2140</v>
      </c>
      <c r="P59" s="111" t="s">
        <v>379</v>
      </c>
      <c r="Q59" s="111" t="s">
        <v>957</v>
      </c>
      <c r="R59" s="81" t="s">
        <v>191</v>
      </c>
      <c r="S59" s="81" t="s">
        <v>185</v>
      </c>
      <c r="T59" s="81">
        <v>2014</v>
      </c>
      <c r="U59" s="81" t="s">
        <v>199</v>
      </c>
      <c r="V59" s="100" t="s">
        <v>1153</v>
      </c>
      <c r="W59" s="100" t="s">
        <v>1154</v>
      </c>
      <c r="X59" s="140" t="s">
        <v>585</v>
      </c>
      <c r="Y59" s="81"/>
      <c r="Z59" s="81" t="s">
        <v>1493</v>
      </c>
      <c r="AA59" s="81" t="s">
        <v>1493</v>
      </c>
      <c r="AB59" s="81" t="s">
        <v>1493</v>
      </c>
      <c r="AC59" s="54" t="s">
        <v>1504</v>
      </c>
    </row>
    <row r="60" spans="1:29" ht="25.5" customHeight="1" x14ac:dyDescent="0.3">
      <c r="A60" s="81">
        <v>3013</v>
      </c>
      <c r="B60" s="81" t="s">
        <v>0</v>
      </c>
      <c r="C60" s="81" t="s">
        <v>379</v>
      </c>
      <c r="D60" s="81" t="s">
        <v>1013</v>
      </c>
      <c r="E60" s="122" t="s">
        <v>93</v>
      </c>
      <c r="F60" s="81" t="s">
        <v>569</v>
      </c>
      <c r="G60" s="81" t="s">
        <v>628</v>
      </c>
      <c r="H60" s="81" t="s">
        <v>3</v>
      </c>
      <c r="I60" s="109">
        <v>2013</v>
      </c>
      <c r="J60" s="132">
        <v>15</v>
      </c>
      <c r="K60" s="132">
        <v>1.6</v>
      </c>
      <c r="L60" s="54" t="s">
        <v>29</v>
      </c>
      <c r="M60" s="131">
        <v>13.7</v>
      </c>
      <c r="N60" s="111">
        <v>12507</v>
      </c>
      <c r="O60" s="111">
        <v>2140</v>
      </c>
      <c r="P60" s="111" t="s">
        <v>379</v>
      </c>
      <c r="Q60" s="111" t="s">
        <v>957</v>
      </c>
      <c r="R60" s="81" t="s">
        <v>191</v>
      </c>
      <c r="S60" s="81" t="s">
        <v>185</v>
      </c>
      <c r="T60" s="81">
        <v>2014</v>
      </c>
      <c r="U60" s="81" t="s">
        <v>199</v>
      </c>
      <c r="V60" s="100" t="s">
        <v>1155</v>
      </c>
      <c r="W60" s="100" t="s">
        <v>1156</v>
      </c>
      <c r="X60" s="140" t="s">
        <v>585</v>
      </c>
      <c r="Y60" s="81"/>
      <c r="Z60" s="81" t="s">
        <v>1493</v>
      </c>
      <c r="AA60" s="81" t="s">
        <v>1493</v>
      </c>
      <c r="AB60" s="81" t="s">
        <v>1493</v>
      </c>
      <c r="AC60" s="54" t="s">
        <v>1504</v>
      </c>
    </row>
    <row r="61" spans="1:29" ht="56.25" customHeight="1" x14ac:dyDescent="0.3">
      <c r="A61" s="81">
        <v>2991</v>
      </c>
      <c r="B61" s="81" t="s">
        <v>0</v>
      </c>
      <c r="C61" s="140" t="s">
        <v>585</v>
      </c>
      <c r="D61" s="146" t="s">
        <v>1014</v>
      </c>
      <c r="E61" s="81" t="s">
        <v>787</v>
      </c>
      <c r="F61" s="81" t="s">
        <v>551</v>
      </c>
      <c r="G61" s="81" t="s">
        <v>223</v>
      </c>
      <c r="H61" s="81" t="s">
        <v>3</v>
      </c>
      <c r="I61" s="109">
        <v>2014</v>
      </c>
      <c r="J61" s="133">
        <v>401</v>
      </c>
      <c r="K61" s="133">
        <v>64.7</v>
      </c>
      <c r="L61" s="54" t="s">
        <v>29</v>
      </c>
      <c r="M61" s="134">
        <v>125.45797899999999</v>
      </c>
      <c r="N61" s="111">
        <v>39274</v>
      </c>
      <c r="O61" s="142" t="s">
        <v>585</v>
      </c>
      <c r="P61" s="142" t="s">
        <v>585</v>
      </c>
      <c r="Q61" s="142" t="s">
        <v>585</v>
      </c>
      <c r="R61" s="81" t="s">
        <v>497</v>
      </c>
      <c r="S61" s="81" t="s">
        <v>184</v>
      </c>
      <c r="T61" s="81">
        <v>2014</v>
      </c>
      <c r="U61" s="81" t="s">
        <v>199</v>
      </c>
      <c r="V61" s="100" t="s">
        <v>1157</v>
      </c>
      <c r="W61" s="100" t="s">
        <v>1158</v>
      </c>
      <c r="X61" s="140" t="s">
        <v>585</v>
      </c>
      <c r="Y61" s="81"/>
      <c r="Z61" s="81" t="s">
        <v>1493</v>
      </c>
      <c r="AA61" s="81" t="s">
        <v>1493</v>
      </c>
      <c r="AB61" s="81" t="s">
        <v>1493</v>
      </c>
      <c r="AC61" s="107" t="s">
        <v>1503</v>
      </c>
    </row>
    <row r="62" spans="1:29" ht="54" customHeight="1" x14ac:dyDescent="0.3">
      <c r="A62" s="81">
        <v>3012</v>
      </c>
      <c r="B62" s="81" t="s">
        <v>0</v>
      </c>
      <c r="C62" s="81" t="s">
        <v>379</v>
      </c>
      <c r="D62" s="81" t="s">
        <v>1015</v>
      </c>
      <c r="E62" s="81" t="s">
        <v>94</v>
      </c>
      <c r="F62" s="81" t="s">
        <v>569</v>
      </c>
      <c r="G62" s="81" t="s">
        <v>628</v>
      </c>
      <c r="H62" s="81" t="s">
        <v>3</v>
      </c>
      <c r="I62" s="109">
        <v>2014</v>
      </c>
      <c r="J62" s="131">
        <v>317.2</v>
      </c>
      <c r="K62" s="131">
        <v>55.7</v>
      </c>
      <c r="L62" s="54" t="s">
        <v>29</v>
      </c>
      <c r="M62" s="131">
        <v>126.2</v>
      </c>
      <c r="N62" s="111">
        <v>12507</v>
      </c>
      <c r="O62" s="111">
        <v>2140</v>
      </c>
      <c r="P62" s="111" t="s">
        <v>379</v>
      </c>
      <c r="Q62" s="111" t="s">
        <v>957</v>
      </c>
      <c r="R62" s="81" t="s">
        <v>191</v>
      </c>
      <c r="S62" s="81" t="s">
        <v>185</v>
      </c>
      <c r="T62" s="81">
        <v>2015</v>
      </c>
      <c r="U62" s="81" t="s">
        <v>199</v>
      </c>
      <c r="V62" s="100" t="s">
        <v>1159</v>
      </c>
      <c r="W62" s="100" t="s">
        <v>1160</v>
      </c>
      <c r="X62" s="140" t="s">
        <v>585</v>
      </c>
      <c r="Y62" s="81"/>
      <c r="Z62" s="81" t="s">
        <v>1493</v>
      </c>
      <c r="AA62" s="81" t="s">
        <v>1493</v>
      </c>
      <c r="AB62" s="81" t="s">
        <v>1493</v>
      </c>
      <c r="AC62" s="54" t="s">
        <v>1504</v>
      </c>
    </row>
    <row r="63" spans="1:29" ht="38.25" customHeight="1" x14ac:dyDescent="0.3">
      <c r="A63" s="81">
        <v>3000</v>
      </c>
      <c r="B63" s="81" t="s">
        <v>0</v>
      </c>
      <c r="C63" s="140" t="s">
        <v>585</v>
      </c>
      <c r="D63" s="146" t="s">
        <v>1016</v>
      </c>
      <c r="E63" s="81" t="s">
        <v>4</v>
      </c>
      <c r="F63" s="81" t="s">
        <v>424</v>
      </c>
      <c r="G63" s="81" t="s">
        <v>4</v>
      </c>
      <c r="H63" s="81" t="s">
        <v>1517</v>
      </c>
      <c r="I63" s="141" t="s">
        <v>497</v>
      </c>
      <c r="J63" s="131">
        <v>110</v>
      </c>
      <c r="K63" s="131">
        <v>71</v>
      </c>
      <c r="L63" s="54" t="s">
        <v>30</v>
      </c>
      <c r="M63" s="131" t="s">
        <v>497</v>
      </c>
      <c r="N63" s="142" t="s">
        <v>497</v>
      </c>
      <c r="O63" s="111">
        <v>21000</v>
      </c>
      <c r="P63" s="111" t="s">
        <v>547</v>
      </c>
      <c r="Q63" s="142" t="s">
        <v>497</v>
      </c>
      <c r="R63" s="81" t="s">
        <v>497</v>
      </c>
      <c r="S63" s="81" t="s">
        <v>184</v>
      </c>
      <c r="T63" s="81">
        <v>2015</v>
      </c>
      <c r="U63" s="81" t="s">
        <v>199</v>
      </c>
      <c r="V63" s="145" t="s">
        <v>497</v>
      </c>
      <c r="W63" s="145" t="s">
        <v>497</v>
      </c>
      <c r="X63" s="140" t="s">
        <v>585</v>
      </c>
      <c r="Y63" s="81"/>
      <c r="Z63" s="81" t="s">
        <v>1492</v>
      </c>
      <c r="AA63" s="81" t="s">
        <v>1492</v>
      </c>
      <c r="AB63" s="81" t="s">
        <v>1498</v>
      </c>
      <c r="AC63" s="54" t="s">
        <v>1499</v>
      </c>
    </row>
    <row r="64" spans="1:29" ht="55.5" customHeight="1" x14ac:dyDescent="0.3">
      <c r="A64" s="81">
        <v>3002</v>
      </c>
      <c r="B64" s="81" t="s">
        <v>0</v>
      </c>
      <c r="C64" s="140" t="s">
        <v>497</v>
      </c>
      <c r="D64" s="146" t="s">
        <v>1017</v>
      </c>
      <c r="E64" s="81" t="s">
        <v>426</v>
      </c>
      <c r="F64" s="81" t="s">
        <v>425</v>
      </c>
      <c r="G64" s="81" t="s">
        <v>222</v>
      </c>
      <c r="H64" s="81" t="s">
        <v>1517</v>
      </c>
      <c r="I64" s="109">
        <v>2015</v>
      </c>
      <c r="J64" s="131" t="s">
        <v>585</v>
      </c>
      <c r="K64" s="131" t="s">
        <v>585</v>
      </c>
      <c r="L64" s="54" t="s">
        <v>30</v>
      </c>
      <c r="M64" s="131" t="s">
        <v>497</v>
      </c>
      <c r="N64" s="111">
        <v>250000</v>
      </c>
      <c r="O64" s="111">
        <v>250000</v>
      </c>
      <c r="P64" s="111" t="s">
        <v>547</v>
      </c>
      <c r="Q64" s="111" t="s">
        <v>806</v>
      </c>
      <c r="R64" s="81" t="s">
        <v>497</v>
      </c>
      <c r="S64" s="81" t="s">
        <v>184</v>
      </c>
      <c r="T64" s="81">
        <v>2015</v>
      </c>
      <c r="U64" s="81" t="s">
        <v>199</v>
      </c>
      <c r="V64" s="145" t="s">
        <v>497</v>
      </c>
      <c r="W64" s="145" t="s">
        <v>497</v>
      </c>
      <c r="X64" s="81">
        <v>2010</v>
      </c>
      <c r="Y64" s="81"/>
      <c r="Z64" s="81" t="s">
        <v>1492</v>
      </c>
      <c r="AA64" s="81" t="s">
        <v>1492</v>
      </c>
      <c r="AB64" s="81" t="s">
        <v>1498</v>
      </c>
      <c r="AC64" s="54" t="s">
        <v>1499</v>
      </c>
    </row>
    <row r="65" spans="1:29" ht="25.5" customHeight="1" x14ac:dyDescent="0.3">
      <c r="A65" s="81">
        <v>3003</v>
      </c>
      <c r="B65" s="81" t="s">
        <v>0</v>
      </c>
      <c r="C65" s="81" t="s">
        <v>379</v>
      </c>
      <c r="D65" s="146" t="s">
        <v>1018</v>
      </c>
      <c r="E65" s="81" t="s">
        <v>255</v>
      </c>
      <c r="F65" s="123" t="s">
        <v>696</v>
      </c>
      <c r="G65" s="81" t="s">
        <v>630</v>
      </c>
      <c r="H65" s="81" t="s">
        <v>3</v>
      </c>
      <c r="I65" s="109">
        <v>2016</v>
      </c>
      <c r="J65" s="131">
        <v>520</v>
      </c>
      <c r="K65" s="131">
        <v>47</v>
      </c>
      <c r="L65" s="54" t="s">
        <v>30</v>
      </c>
      <c r="M65" s="131">
        <v>354.64151299999997</v>
      </c>
      <c r="N65" s="111">
        <v>45788</v>
      </c>
      <c r="O65" s="111">
        <v>9997.5</v>
      </c>
      <c r="P65" s="111" t="s">
        <v>548</v>
      </c>
      <c r="Q65" s="142" t="s">
        <v>585</v>
      </c>
      <c r="R65" s="81" t="s">
        <v>254</v>
      </c>
      <c r="S65" s="81" t="s">
        <v>185</v>
      </c>
      <c r="T65" s="81">
        <v>2016</v>
      </c>
      <c r="U65" s="81" t="s">
        <v>199</v>
      </c>
      <c r="V65" s="100" t="s">
        <v>1161</v>
      </c>
      <c r="W65" s="100" t="s">
        <v>1162</v>
      </c>
      <c r="X65" s="140" t="s">
        <v>585</v>
      </c>
      <c r="Y65" s="81"/>
      <c r="Z65" s="81" t="s">
        <v>1493</v>
      </c>
      <c r="AA65" s="81" t="s">
        <v>1493</v>
      </c>
      <c r="AB65" s="81" t="s">
        <v>1493</v>
      </c>
      <c r="AC65" s="54" t="s">
        <v>1504</v>
      </c>
    </row>
    <row r="66" spans="1:29" ht="38.25" customHeight="1" x14ac:dyDescent="0.3">
      <c r="A66" s="81">
        <v>3004</v>
      </c>
      <c r="B66" s="81" t="s">
        <v>0</v>
      </c>
      <c r="C66" s="81" t="s">
        <v>379</v>
      </c>
      <c r="D66" s="146" t="s">
        <v>1019</v>
      </c>
      <c r="E66" s="81" t="s">
        <v>256</v>
      </c>
      <c r="F66" s="123" t="s">
        <v>696</v>
      </c>
      <c r="G66" s="81" t="s">
        <v>630</v>
      </c>
      <c r="H66" s="81" t="s">
        <v>3</v>
      </c>
      <c r="I66" s="109">
        <v>2016</v>
      </c>
      <c r="J66" s="131">
        <v>62</v>
      </c>
      <c r="K66" s="131">
        <v>10.5</v>
      </c>
      <c r="L66" s="54" t="s">
        <v>29</v>
      </c>
      <c r="M66" s="131">
        <v>19.988123999999999</v>
      </c>
      <c r="N66" s="111">
        <v>14062</v>
      </c>
      <c r="O66" s="111">
        <v>3070.5</v>
      </c>
      <c r="P66" s="111" t="s">
        <v>548</v>
      </c>
      <c r="Q66" s="142" t="s">
        <v>585</v>
      </c>
      <c r="R66" s="81" t="s">
        <v>254</v>
      </c>
      <c r="S66" s="81" t="s">
        <v>185</v>
      </c>
      <c r="T66" s="81">
        <v>2016</v>
      </c>
      <c r="U66" s="81" t="s">
        <v>199</v>
      </c>
      <c r="V66" s="100" t="s">
        <v>1163</v>
      </c>
      <c r="W66" s="100" t="s">
        <v>1164</v>
      </c>
      <c r="X66" s="140" t="s">
        <v>585</v>
      </c>
      <c r="Y66" s="81"/>
      <c r="Z66" s="81" t="s">
        <v>1493</v>
      </c>
      <c r="AA66" s="81" t="s">
        <v>1493</v>
      </c>
      <c r="AB66" s="81" t="s">
        <v>1493</v>
      </c>
      <c r="AC66" s="54" t="s">
        <v>1504</v>
      </c>
    </row>
    <row r="67" spans="1:29" ht="51" customHeight="1" x14ac:dyDescent="0.3">
      <c r="A67" s="81">
        <v>3017</v>
      </c>
      <c r="B67" s="81" t="s">
        <v>0</v>
      </c>
      <c r="C67" s="81" t="s">
        <v>379</v>
      </c>
      <c r="D67" s="81" t="s">
        <v>1020</v>
      </c>
      <c r="E67" s="81" t="s">
        <v>309</v>
      </c>
      <c r="F67" s="81" t="s">
        <v>569</v>
      </c>
      <c r="G67" s="81" t="s">
        <v>628</v>
      </c>
      <c r="H67" s="81" t="s">
        <v>3</v>
      </c>
      <c r="I67" s="109">
        <v>2015</v>
      </c>
      <c r="J67" s="131" t="s">
        <v>585</v>
      </c>
      <c r="K67" s="131" t="s">
        <v>585</v>
      </c>
      <c r="L67" s="54" t="s">
        <v>29</v>
      </c>
      <c r="M67" s="131" t="s">
        <v>585</v>
      </c>
      <c r="N67" s="111">
        <v>11270</v>
      </c>
      <c r="O67" s="111">
        <v>2140</v>
      </c>
      <c r="P67" s="111" t="s">
        <v>379</v>
      </c>
      <c r="Q67" s="111" t="s">
        <v>957</v>
      </c>
      <c r="R67" s="81" t="s">
        <v>191</v>
      </c>
      <c r="S67" s="81" t="s">
        <v>185</v>
      </c>
      <c r="T67" s="81">
        <v>2016</v>
      </c>
      <c r="U67" s="81" t="s">
        <v>199</v>
      </c>
      <c r="V67" s="100" t="s">
        <v>1165</v>
      </c>
      <c r="W67" s="100" t="s">
        <v>1166</v>
      </c>
      <c r="X67" s="140" t="s">
        <v>585</v>
      </c>
      <c r="Y67" s="81"/>
      <c r="Z67" s="81" t="s">
        <v>1493</v>
      </c>
      <c r="AA67" s="81" t="s">
        <v>1493</v>
      </c>
      <c r="AB67" s="81" t="s">
        <v>1493</v>
      </c>
      <c r="AC67" s="54" t="s">
        <v>1504</v>
      </c>
    </row>
    <row r="68" spans="1:29" ht="51" customHeight="1" x14ac:dyDescent="0.3">
      <c r="A68" s="81">
        <v>3007</v>
      </c>
      <c r="B68" s="81" t="s">
        <v>0</v>
      </c>
      <c r="C68" s="81" t="s">
        <v>379</v>
      </c>
      <c r="D68" s="81" t="s">
        <v>1021</v>
      </c>
      <c r="E68" s="81" t="s">
        <v>571</v>
      </c>
      <c r="F68" s="81" t="s">
        <v>569</v>
      </c>
      <c r="G68" s="81" t="s">
        <v>628</v>
      </c>
      <c r="H68" s="81" t="s">
        <v>3</v>
      </c>
      <c r="I68" s="109">
        <v>2015</v>
      </c>
      <c r="J68" s="131" t="s">
        <v>585</v>
      </c>
      <c r="K68" s="131" t="s">
        <v>585</v>
      </c>
      <c r="L68" s="54" t="s">
        <v>29</v>
      </c>
      <c r="M68" s="131" t="s">
        <v>585</v>
      </c>
      <c r="N68" s="111">
        <v>11220</v>
      </c>
      <c r="O68" s="111">
        <v>2140</v>
      </c>
      <c r="P68" s="111" t="s">
        <v>379</v>
      </c>
      <c r="Q68" s="111" t="s">
        <v>957</v>
      </c>
      <c r="R68" s="81" t="s">
        <v>538</v>
      </c>
      <c r="S68" s="81" t="s">
        <v>185</v>
      </c>
      <c r="T68" s="81">
        <v>2016</v>
      </c>
      <c r="U68" s="81" t="s">
        <v>199</v>
      </c>
      <c r="V68" s="100" t="s">
        <v>1167</v>
      </c>
      <c r="W68" s="100" t="s">
        <v>1168</v>
      </c>
      <c r="X68" s="140" t="s">
        <v>585</v>
      </c>
      <c r="Y68" s="81"/>
      <c r="Z68" s="81" t="s">
        <v>1493</v>
      </c>
      <c r="AA68" s="81" t="s">
        <v>1493</v>
      </c>
      <c r="AB68" s="81" t="s">
        <v>1493</v>
      </c>
      <c r="AC68" s="54" t="s">
        <v>1504</v>
      </c>
    </row>
    <row r="69" spans="1:29" ht="51" customHeight="1" x14ac:dyDescent="0.3">
      <c r="A69" s="81">
        <v>2998</v>
      </c>
      <c r="B69" s="81" t="s">
        <v>0</v>
      </c>
      <c r="C69" s="81" t="s">
        <v>379</v>
      </c>
      <c r="D69" s="81" t="s">
        <v>1022</v>
      </c>
      <c r="E69" s="81" t="s">
        <v>310</v>
      </c>
      <c r="F69" s="81" t="s">
        <v>569</v>
      </c>
      <c r="G69" s="81" t="s">
        <v>628</v>
      </c>
      <c r="H69" s="81" t="s">
        <v>3</v>
      </c>
      <c r="I69" s="109">
        <v>2015</v>
      </c>
      <c r="J69" s="131" t="s">
        <v>585</v>
      </c>
      <c r="K69" s="131" t="s">
        <v>585</v>
      </c>
      <c r="L69" s="54" t="s">
        <v>29</v>
      </c>
      <c r="M69" s="131" t="s">
        <v>585</v>
      </c>
      <c r="N69" s="111">
        <v>24543.439999999999</v>
      </c>
      <c r="O69" s="111">
        <v>2140</v>
      </c>
      <c r="P69" s="111" t="s">
        <v>379</v>
      </c>
      <c r="Q69" s="111" t="s">
        <v>957</v>
      </c>
      <c r="R69" s="81" t="s">
        <v>539</v>
      </c>
      <c r="S69" s="81" t="s">
        <v>185</v>
      </c>
      <c r="T69" s="81">
        <v>2016</v>
      </c>
      <c r="U69" s="81" t="s">
        <v>199</v>
      </c>
      <c r="V69" s="100" t="s">
        <v>1169</v>
      </c>
      <c r="W69" s="100" t="s">
        <v>1170</v>
      </c>
      <c r="X69" s="140" t="s">
        <v>585</v>
      </c>
      <c r="Y69" s="81"/>
      <c r="Z69" s="81" t="s">
        <v>1493</v>
      </c>
      <c r="AA69" s="81" t="s">
        <v>1493</v>
      </c>
      <c r="AB69" s="81" t="s">
        <v>1493</v>
      </c>
      <c r="AC69" s="54" t="s">
        <v>1504</v>
      </c>
    </row>
    <row r="70" spans="1:29" ht="53.25" customHeight="1" x14ac:dyDescent="0.3">
      <c r="A70" s="81">
        <v>3009</v>
      </c>
      <c r="B70" s="81" t="s">
        <v>0</v>
      </c>
      <c r="C70" s="81" t="s">
        <v>379</v>
      </c>
      <c r="D70" s="81" t="s">
        <v>1023</v>
      </c>
      <c r="E70" s="81" t="s">
        <v>311</v>
      </c>
      <c r="F70" s="81" t="s">
        <v>569</v>
      </c>
      <c r="G70" s="81" t="s">
        <v>628</v>
      </c>
      <c r="H70" s="81" t="s">
        <v>3</v>
      </c>
      <c r="I70" s="109">
        <v>2015</v>
      </c>
      <c r="J70" s="131" t="s">
        <v>585</v>
      </c>
      <c r="K70" s="131" t="s">
        <v>585</v>
      </c>
      <c r="L70" s="54" t="s">
        <v>29</v>
      </c>
      <c r="M70" s="131" t="s">
        <v>585</v>
      </c>
      <c r="N70" s="111">
        <v>11170</v>
      </c>
      <c r="O70" s="111">
        <v>2140</v>
      </c>
      <c r="P70" s="111" t="s">
        <v>379</v>
      </c>
      <c r="Q70" s="111" t="s">
        <v>957</v>
      </c>
      <c r="R70" s="81" t="s">
        <v>540</v>
      </c>
      <c r="S70" s="81" t="s">
        <v>185</v>
      </c>
      <c r="T70" s="81">
        <v>2016</v>
      </c>
      <c r="U70" s="81" t="s">
        <v>199</v>
      </c>
      <c r="V70" s="100" t="s">
        <v>1171</v>
      </c>
      <c r="W70" s="100" t="s">
        <v>1172</v>
      </c>
      <c r="X70" s="140" t="s">
        <v>585</v>
      </c>
      <c r="Y70" s="81"/>
      <c r="Z70" s="81" t="s">
        <v>1493</v>
      </c>
      <c r="AA70" s="81" t="s">
        <v>1493</v>
      </c>
      <c r="AB70" s="81" t="s">
        <v>1493</v>
      </c>
      <c r="AC70" s="54" t="s">
        <v>1504</v>
      </c>
    </row>
    <row r="71" spans="1:29" ht="50.25" customHeight="1" x14ac:dyDescent="0.3">
      <c r="A71" s="81">
        <v>3010</v>
      </c>
      <c r="B71" s="81" t="s">
        <v>0</v>
      </c>
      <c r="C71" s="81" t="s">
        <v>379</v>
      </c>
      <c r="D71" s="81" t="s">
        <v>1024</v>
      </c>
      <c r="E71" s="81" t="s">
        <v>312</v>
      </c>
      <c r="F71" s="81" t="s">
        <v>569</v>
      </c>
      <c r="G71" s="81" t="s">
        <v>628</v>
      </c>
      <c r="H71" s="81" t="s">
        <v>3</v>
      </c>
      <c r="I71" s="109">
        <v>2015</v>
      </c>
      <c r="J71" s="131" t="s">
        <v>585</v>
      </c>
      <c r="K71" s="131" t="s">
        <v>585</v>
      </c>
      <c r="L71" s="54" t="s">
        <v>29</v>
      </c>
      <c r="M71" s="131" t="s">
        <v>585</v>
      </c>
      <c r="N71" s="111">
        <v>10895</v>
      </c>
      <c r="O71" s="111">
        <v>2140</v>
      </c>
      <c r="P71" s="111" t="s">
        <v>379</v>
      </c>
      <c r="Q71" s="111" t="s">
        <v>957</v>
      </c>
      <c r="R71" s="81" t="s">
        <v>541</v>
      </c>
      <c r="S71" s="81" t="s">
        <v>185</v>
      </c>
      <c r="T71" s="81">
        <v>2016</v>
      </c>
      <c r="U71" s="81" t="s">
        <v>199</v>
      </c>
      <c r="V71" s="100" t="s">
        <v>1173</v>
      </c>
      <c r="W71" s="100" t="s">
        <v>1174</v>
      </c>
      <c r="X71" s="140" t="s">
        <v>585</v>
      </c>
      <c r="Y71" s="81"/>
      <c r="Z71" s="81" t="s">
        <v>1493</v>
      </c>
      <c r="AA71" s="81" t="s">
        <v>1493</v>
      </c>
      <c r="AB71" s="81" t="s">
        <v>1493</v>
      </c>
      <c r="AC71" s="54" t="s">
        <v>1504</v>
      </c>
    </row>
    <row r="72" spans="1:29" ht="51" customHeight="1" x14ac:dyDescent="0.3">
      <c r="A72" s="81">
        <v>3011</v>
      </c>
      <c r="B72" s="81" t="s">
        <v>0</v>
      </c>
      <c r="C72" s="81" t="s">
        <v>379</v>
      </c>
      <c r="D72" s="81" t="s">
        <v>1025</v>
      </c>
      <c r="E72" s="81" t="s">
        <v>788</v>
      </c>
      <c r="F72" s="81" t="s">
        <v>697</v>
      </c>
      <c r="G72" s="81" t="s">
        <v>699</v>
      </c>
      <c r="H72" s="81" t="s">
        <v>28</v>
      </c>
      <c r="I72" s="109">
        <v>2020</v>
      </c>
      <c r="J72" s="131">
        <v>488</v>
      </c>
      <c r="K72" s="131" t="s">
        <v>20</v>
      </c>
      <c r="L72" s="54" t="s">
        <v>29</v>
      </c>
      <c r="M72" s="131">
        <v>234.65</v>
      </c>
      <c r="N72" s="114">
        <v>381000</v>
      </c>
      <c r="O72" s="142" t="s">
        <v>585</v>
      </c>
      <c r="P72" s="111" t="s">
        <v>379</v>
      </c>
      <c r="Q72" s="142" t="s">
        <v>585</v>
      </c>
      <c r="R72" s="81" t="s">
        <v>390</v>
      </c>
      <c r="S72" s="81" t="s">
        <v>185</v>
      </c>
      <c r="T72" s="81">
        <v>2017</v>
      </c>
      <c r="U72" s="81" t="s">
        <v>199</v>
      </c>
      <c r="V72" s="100" t="s">
        <v>1175</v>
      </c>
      <c r="W72" s="100" t="s">
        <v>1176</v>
      </c>
      <c r="X72" s="140" t="s">
        <v>585</v>
      </c>
      <c r="Y72" s="81"/>
      <c r="Z72" s="81" t="s">
        <v>1493</v>
      </c>
      <c r="AA72" s="81" t="s">
        <v>1493</v>
      </c>
      <c r="AB72" s="81" t="s">
        <v>1493</v>
      </c>
      <c r="AC72" s="54" t="s">
        <v>1504</v>
      </c>
    </row>
    <row r="73" spans="1:29" ht="55.5" customHeight="1" x14ac:dyDescent="0.3">
      <c r="A73" s="81">
        <v>3096</v>
      </c>
      <c r="B73" s="81" t="s">
        <v>0</v>
      </c>
      <c r="C73" s="81" t="s">
        <v>379</v>
      </c>
      <c r="D73" s="81" t="s">
        <v>1026</v>
      </c>
      <c r="E73" s="81" t="s">
        <v>407</v>
      </c>
      <c r="F73" s="81" t="s">
        <v>698</v>
      </c>
      <c r="G73" s="81" t="s">
        <v>679</v>
      </c>
      <c r="H73" s="81" t="s">
        <v>549</v>
      </c>
      <c r="I73" s="109">
        <v>2019</v>
      </c>
      <c r="J73" s="110" t="s">
        <v>497</v>
      </c>
      <c r="K73" s="110" t="s">
        <v>497</v>
      </c>
      <c r="L73" s="110" t="s">
        <v>497</v>
      </c>
      <c r="M73" s="110" t="s">
        <v>497</v>
      </c>
      <c r="N73" s="114">
        <v>900000</v>
      </c>
      <c r="O73" s="110" t="s">
        <v>497</v>
      </c>
      <c r="P73" s="111" t="s">
        <v>700</v>
      </c>
      <c r="Q73" s="111">
        <v>900600</v>
      </c>
      <c r="R73" s="81" t="s">
        <v>399</v>
      </c>
      <c r="S73" s="81" t="s">
        <v>185</v>
      </c>
      <c r="T73" s="81">
        <v>2017</v>
      </c>
      <c r="U73" s="81" t="s">
        <v>199</v>
      </c>
      <c r="V73" s="81" t="s">
        <v>497</v>
      </c>
      <c r="W73" s="81" t="s">
        <v>497</v>
      </c>
      <c r="X73" s="81" t="s">
        <v>497</v>
      </c>
      <c r="Y73" s="81"/>
      <c r="Z73" s="81" t="s">
        <v>1507</v>
      </c>
      <c r="AA73" s="81" t="s">
        <v>1492</v>
      </c>
      <c r="AB73" s="81" t="s">
        <v>497</v>
      </c>
      <c r="AC73" s="81" t="s">
        <v>497</v>
      </c>
    </row>
    <row r="74" spans="1:29" ht="38.25" customHeight="1" x14ac:dyDescent="0.3">
      <c r="A74" s="81">
        <v>2992</v>
      </c>
      <c r="B74" s="81" t="s">
        <v>0</v>
      </c>
      <c r="C74" s="81" t="s">
        <v>379</v>
      </c>
      <c r="D74" s="81" t="s">
        <v>1027</v>
      </c>
      <c r="E74" s="81" t="s">
        <v>407</v>
      </c>
      <c r="F74" s="81" t="s">
        <v>698</v>
      </c>
      <c r="G74" s="81" t="s">
        <v>679</v>
      </c>
      <c r="H74" s="81" t="s">
        <v>549</v>
      </c>
      <c r="I74" s="109">
        <v>2019</v>
      </c>
      <c r="J74" s="110" t="s">
        <v>497</v>
      </c>
      <c r="K74" s="110" t="s">
        <v>497</v>
      </c>
      <c r="L74" s="110" t="s">
        <v>497</v>
      </c>
      <c r="M74" s="110" t="s">
        <v>497</v>
      </c>
      <c r="N74" s="110" t="s">
        <v>497</v>
      </c>
      <c r="O74" s="110" t="s">
        <v>497</v>
      </c>
      <c r="P74" s="111" t="s">
        <v>379</v>
      </c>
      <c r="Q74" s="111" t="s">
        <v>585</v>
      </c>
      <c r="R74" s="81" t="s">
        <v>399</v>
      </c>
      <c r="S74" s="81" t="s">
        <v>185</v>
      </c>
      <c r="T74" s="81">
        <v>2017</v>
      </c>
      <c r="U74" s="81" t="s">
        <v>199</v>
      </c>
      <c r="V74" s="81" t="s">
        <v>497</v>
      </c>
      <c r="W74" s="81" t="s">
        <v>497</v>
      </c>
      <c r="X74" s="81" t="s">
        <v>497</v>
      </c>
      <c r="Y74" s="81"/>
      <c r="Z74" s="81" t="s">
        <v>1507</v>
      </c>
      <c r="AA74" s="81" t="s">
        <v>1492</v>
      </c>
      <c r="AB74" s="81" t="s">
        <v>497</v>
      </c>
      <c r="AC74" s="81" t="s">
        <v>497</v>
      </c>
    </row>
    <row r="75" spans="1:29" ht="38.25" customHeight="1" x14ac:dyDescent="0.3">
      <c r="A75" s="81">
        <v>2993</v>
      </c>
      <c r="B75" s="81" t="s">
        <v>0</v>
      </c>
      <c r="C75" s="81" t="s">
        <v>379</v>
      </c>
      <c r="D75" s="146" t="s">
        <v>1028</v>
      </c>
      <c r="E75" s="81" t="s">
        <v>847</v>
      </c>
      <c r="F75" s="81" t="s">
        <v>698</v>
      </c>
      <c r="G75" s="81" t="s">
        <v>679</v>
      </c>
      <c r="H75" s="81" t="s">
        <v>388</v>
      </c>
      <c r="I75" s="109">
        <v>2019</v>
      </c>
      <c r="J75" s="110" t="s">
        <v>20</v>
      </c>
      <c r="K75" s="110" t="s">
        <v>20</v>
      </c>
      <c r="L75" s="81" t="s">
        <v>29</v>
      </c>
      <c r="M75" s="110" t="s">
        <v>585</v>
      </c>
      <c r="N75" s="114">
        <v>2140000</v>
      </c>
      <c r="O75" s="142" t="s">
        <v>585</v>
      </c>
      <c r="P75" s="111" t="s">
        <v>379</v>
      </c>
      <c r="Q75" s="142" t="s">
        <v>585</v>
      </c>
      <c r="R75" s="81" t="s">
        <v>399</v>
      </c>
      <c r="S75" s="81" t="s">
        <v>185</v>
      </c>
      <c r="T75" s="81">
        <v>2017</v>
      </c>
      <c r="U75" s="81" t="s">
        <v>199</v>
      </c>
      <c r="V75" s="145" t="s">
        <v>585</v>
      </c>
      <c r="W75" s="145" t="s">
        <v>585</v>
      </c>
      <c r="X75" s="140" t="s">
        <v>585</v>
      </c>
      <c r="Y75" s="81"/>
      <c r="Z75" s="140" t="s">
        <v>1492</v>
      </c>
      <c r="AA75" s="81" t="s">
        <v>1493</v>
      </c>
      <c r="AB75" s="81" t="s">
        <v>1502</v>
      </c>
      <c r="AC75" s="10" t="s">
        <v>497</v>
      </c>
    </row>
    <row r="76" spans="1:29" ht="38.25" customHeight="1" x14ac:dyDescent="0.3">
      <c r="A76" s="81">
        <v>2994</v>
      </c>
      <c r="B76" s="81" t="s">
        <v>0</v>
      </c>
      <c r="C76" s="140" t="s">
        <v>585</v>
      </c>
      <c r="D76" s="146" t="s">
        <v>1029</v>
      </c>
      <c r="E76" s="81" t="s">
        <v>391</v>
      </c>
      <c r="F76" s="81" t="s">
        <v>698</v>
      </c>
      <c r="G76" s="81" t="s">
        <v>679</v>
      </c>
      <c r="H76" s="81" t="s">
        <v>388</v>
      </c>
      <c r="I76" s="109">
        <v>2019</v>
      </c>
      <c r="J76" s="131" t="s">
        <v>20</v>
      </c>
      <c r="K76" s="131" t="s">
        <v>20</v>
      </c>
      <c r="L76" s="54" t="s">
        <v>29</v>
      </c>
      <c r="M76" s="131" t="s">
        <v>585</v>
      </c>
      <c r="N76" s="114">
        <v>130000</v>
      </c>
      <c r="O76" s="142" t="s">
        <v>585</v>
      </c>
      <c r="P76" s="142" t="s">
        <v>585</v>
      </c>
      <c r="Q76" s="142" t="s">
        <v>585</v>
      </c>
      <c r="R76" s="81" t="s">
        <v>497</v>
      </c>
      <c r="S76" s="81" t="s">
        <v>185</v>
      </c>
      <c r="T76" s="81">
        <v>2017</v>
      </c>
      <c r="U76" s="81" t="s">
        <v>199</v>
      </c>
      <c r="V76" s="145" t="s">
        <v>585</v>
      </c>
      <c r="W76" s="145" t="s">
        <v>585</v>
      </c>
      <c r="X76" s="140" t="s">
        <v>585</v>
      </c>
      <c r="Y76" s="81"/>
      <c r="Z76" s="81" t="s">
        <v>1493</v>
      </c>
      <c r="AA76" s="81" t="s">
        <v>1493</v>
      </c>
      <c r="AB76" s="81" t="s">
        <v>1493</v>
      </c>
      <c r="AC76" s="54" t="s">
        <v>1504</v>
      </c>
    </row>
    <row r="77" spans="1:29" ht="38.25" customHeight="1" x14ac:dyDescent="0.3">
      <c r="A77" s="81">
        <v>2995</v>
      </c>
      <c r="B77" s="81" t="s">
        <v>0</v>
      </c>
      <c r="C77" s="81" t="s">
        <v>400</v>
      </c>
      <c r="D77" s="81" t="s">
        <v>1030</v>
      </c>
      <c r="E77" s="81" t="s">
        <v>392</v>
      </c>
      <c r="F77" s="81" t="s">
        <v>698</v>
      </c>
      <c r="G77" s="81" t="s">
        <v>679</v>
      </c>
      <c r="H77" s="81" t="s">
        <v>388</v>
      </c>
      <c r="I77" s="109">
        <v>2018</v>
      </c>
      <c r="J77" s="110" t="s">
        <v>20</v>
      </c>
      <c r="K77" s="110" t="s">
        <v>20</v>
      </c>
      <c r="L77" s="81" t="s">
        <v>29</v>
      </c>
      <c r="M77" s="110" t="s">
        <v>585</v>
      </c>
      <c r="N77" s="114">
        <v>71000</v>
      </c>
      <c r="O77" s="142" t="s">
        <v>585</v>
      </c>
      <c r="P77" s="111" t="s">
        <v>400</v>
      </c>
      <c r="Q77" s="142" t="s">
        <v>585</v>
      </c>
      <c r="R77" s="81" t="s">
        <v>497</v>
      </c>
      <c r="S77" s="81" t="s">
        <v>185</v>
      </c>
      <c r="T77" s="81">
        <v>2017</v>
      </c>
      <c r="U77" s="81" t="s">
        <v>199</v>
      </c>
      <c r="V77" s="100" t="s">
        <v>1177</v>
      </c>
      <c r="W77" s="100" t="s">
        <v>1178</v>
      </c>
      <c r="X77" s="140" t="s">
        <v>585</v>
      </c>
      <c r="Y77" s="81"/>
      <c r="Z77" s="140" t="s">
        <v>1492</v>
      </c>
      <c r="AA77" s="81" t="s">
        <v>1493</v>
      </c>
      <c r="AB77" s="81" t="s">
        <v>1502</v>
      </c>
      <c r="AC77" s="10" t="s">
        <v>497</v>
      </c>
    </row>
    <row r="78" spans="1:29" ht="25.5" customHeight="1" x14ac:dyDescent="0.3">
      <c r="A78" s="81">
        <v>2996</v>
      </c>
      <c r="B78" s="81" t="s">
        <v>0</v>
      </c>
      <c r="C78" s="81" t="s">
        <v>379</v>
      </c>
      <c r="D78" s="146" t="s">
        <v>1031</v>
      </c>
      <c r="E78" s="81" t="s">
        <v>848</v>
      </c>
      <c r="F78" s="81" t="s">
        <v>698</v>
      </c>
      <c r="G78" s="81" t="s">
        <v>679</v>
      </c>
      <c r="H78" s="81" t="s">
        <v>28</v>
      </c>
      <c r="I78" s="109">
        <v>2019</v>
      </c>
      <c r="J78" s="110" t="s">
        <v>20</v>
      </c>
      <c r="K78" s="110" t="s">
        <v>20</v>
      </c>
      <c r="L78" s="81" t="s">
        <v>29</v>
      </c>
      <c r="M78" s="110" t="s">
        <v>585</v>
      </c>
      <c r="N78" s="114">
        <v>100000</v>
      </c>
      <c r="O78" s="142" t="s">
        <v>585</v>
      </c>
      <c r="P78" s="111" t="s">
        <v>379</v>
      </c>
      <c r="Q78" s="111" t="s">
        <v>807</v>
      </c>
      <c r="R78" s="81" t="s">
        <v>399</v>
      </c>
      <c r="S78" s="81" t="s">
        <v>185</v>
      </c>
      <c r="T78" s="81">
        <v>2017</v>
      </c>
      <c r="U78" s="81" t="s">
        <v>199</v>
      </c>
      <c r="V78" s="145" t="s">
        <v>585</v>
      </c>
      <c r="W78" s="145" t="s">
        <v>585</v>
      </c>
      <c r="X78" s="140" t="s">
        <v>585</v>
      </c>
      <c r="Y78" s="81"/>
      <c r="Z78" s="140" t="s">
        <v>1492</v>
      </c>
      <c r="AA78" s="81" t="s">
        <v>1493</v>
      </c>
      <c r="AB78" s="81" t="s">
        <v>1502</v>
      </c>
      <c r="AC78" s="10" t="s">
        <v>497</v>
      </c>
    </row>
    <row r="79" spans="1:29" ht="38.25" customHeight="1" x14ac:dyDescent="0.3">
      <c r="A79" s="81">
        <v>3005</v>
      </c>
      <c r="B79" s="81" t="s">
        <v>0</v>
      </c>
      <c r="C79" s="81" t="s">
        <v>533</v>
      </c>
      <c r="D79" s="146" t="s">
        <v>1032</v>
      </c>
      <c r="E79" s="81" t="s">
        <v>393</v>
      </c>
      <c r="F79" s="140" t="s">
        <v>586</v>
      </c>
      <c r="G79" s="100" t="s">
        <v>735</v>
      </c>
      <c r="H79" s="81" t="s">
        <v>3</v>
      </c>
      <c r="I79" s="109">
        <v>2017</v>
      </c>
      <c r="J79" s="110" t="s">
        <v>20</v>
      </c>
      <c r="K79" s="110" t="s">
        <v>20</v>
      </c>
      <c r="L79" s="81" t="s">
        <v>29</v>
      </c>
      <c r="M79" s="110" t="s">
        <v>585</v>
      </c>
      <c r="N79" s="111">
        <v>26250000</v>
      </c>
      <c r="O79" s="142" t="s">
        <v>497</v>
      </c>
      <c r="P79" s="111" t="s">
        <v>533</v>
      </c>
      <c r="Q79" s="111" t="s">
        <v>808</v>
      </c>
      <c r="R79" s="81" t="s">
        <v>497</v>
      </c>
      <c r="S79" s="81" t="s">
        <v>184</v>
      </c>
      <c r="T79" s="81">
        <v>2017</v>
      </c>
      <c r="U79" s="81" t="s">
        <v>199</v>
      </c>
      <c r="V79" s="145" t="s">
        <v>585</v>
      </c>
      <c r="W79" s="145" t="s">
        <v>585</v>
      </c>
      <c r="X79" s="81">
        <v>2018</v>
      </c>
      <c r="Y79" s="81"/>
      <c r="Z79" s="81" t="s">
        <v>1492</v>
      </c>
      <c r="AA79" s="81" t="s">
        <v>1492</v>
      </c>
      <c r="AB79" s="81" t="s">
        <v>1502</v>
      </c>
      <c r="AC79" s="81" t="s">
        <v>497</v>
      </c>
    </row>
    <row r="80" spans="1:29" ht="38.25" customHeight="1" x14ac:dyDescent="0.3">
      <c r="A80" s="81">
        <v>3060</v>
      </c>
      <c r="B80" s="81" t="s">
        <v>0</v>
      </c>
      <c r="C80" s="81" t="s">
        <v>533</v>
      </c>
      <c r="D80" s="81" t="s">
        <v>1033</v>
      </c>
      <c r="E80" s="81" t="s">
        <v>394</v>
      </c>
      <c r="F80" s="81" t="s">
        <v>701</v>
      </c>
      <c r="G80" s="81" t="s">
        <v>679</v>
      </c>
      <c r="H80" s="81" t="s">
        <v>388</v>
      </c>
      <c r="I80" s="141" t="s">
        <v>20</v>
      </c>
      <c r="J80" s="131">
        <v>856</v>
      </c>
      <c r="K80" s="131" t="s">
        <v>497</v>
      </c>
      <c r="L80" s="54" t="s">
        <v>30</v>
      </c>
      <c r="M80" s="131">
        <v>320</v>
      </c>
      <c r="N80" s="111">
        <v>157500</v>
      </c>
      <c r="O80" s="111">
        <v>12307.5</v>
      </c>
      <c r="P80" s="142" t="s">
        <v>585</v>
      </c>
      <c r="Q80" s="142" t="s">
        <v>585</v>
      </c>
      <c r="R80" s="81" t="s">
        <v>497</v>
      </c>
      <c r="S80" s="81" t="s">
        <v>185</v>
      </c>
      <c r="T80" s="81">
        <v>2017</v>
      </c>
      <c r="U80" s="81" t="s">
        <v>199</v>
      </c>
      <c r="V80" s="100" t="s">
        <v>1179</v>
      </c>
      <c r="W80" s="100" t="s">
        <v>1180</v>
      </c>
      <c r="X80" s="140" t="s">
        <v>20</v>
      </c>
      <c r="Y80" s="81">
        <v>4</v>
      </c>
      <c r="Z80" s="81" t="s">
        <v>1493</v>
      </c>
      <c r="AA80" s="81" t="s">
        <v>1493</v>
      </c>
      <c r="AB80" s="81" t="s">
        <v>1493</v>
      </c>
      <c r="AC80" s="54" t="s">
        <v>1504</v>
      </c>
    </row>
    <row r="81" spans="1:29" ht="38.25" customHeight="1" x14ac:dyDescent="0.3">
      <c r="A81" s="81">
        <v>3047</v>
      </c>
      <c r="B81" s="81" t="s">
        <v>0</v>
      </c>
      <c r="C81" s="140" t="s">
        <v>585</v>
      </c>
      <c r="D81" s="146" t="s">
        <v>1034</v>
      </c>
      <c r="E81" s="81" t="s">
        <v>395</v>
      </c>
      <c r="F81" s="140" t="s">
        <v>586</v>
      </c>
      <c r="G81" s="81" t="s">
        <v>679</v>
      </c>
      <c r="H81" s="81" t="s">
        <v>388</v>
      </c>
      <c r="I81" s="141" t="s">
        <v>20</v>
      </c>
      <c r="J81" s="131" t="s">
        <v>20</v>
      </c>
      <c r="K81" s="131" t="s">
        <v>20</v>
      </c>
      <c r="L81" s="54" t="s">
        <v>30</v>
      </c>
      <c r="M81" s="131">
        <v>355</v>
      </c>
      <c r="N81" s="111">
        <v>180000</v>
      </c>
      <c r="O81" s="111">
        <v>16662.5</v>
      </c>
      <c r="P81" s="142" t="s">
        <v>585</v>
      </c>
      <c r="Q81" s="142" t="s">
        <v>585</v>
      </c>
      <c r="R81" s="81" t="s">
        <v>497</v>
      </c>
      <c r="S81" s="81" t="s">
        <v>185</v>
      </c>
      <c r="T81" s="81">
        <v>2017</v>
      </c>
      <c r="U81" s="81" t="s">
        <v>199</v>
      </c>
      <c r="V81" s="142" t="s">
        <v>585</v>
      </c>
      <c r="W81" s="142" t="s">
        <v>585</v>
      </c>
      <c r="X81" s="140" t="s">
        <v>20</v>
      </c>
      <c r="Y81" s="81"/>
      <c r="Z81" s="81" t="s">
        <v>1493</v>
      </c>
      <c r="AA81" s="81" t="s">
        <v>1493</v>
      </c>
      <c r="AB81" s="81" t="s">
        <v>1493</v>
      </c>
      <c r="AC81" s="54" t="s">
        <v>1504</v>
      </c>
    </row>
    <row r="82" spans="1:29" ht="51" customHeight="1" x14ac:dyDescent="0.3">
      <c r="A82" s="81">
        <v>3048</v>
      </c>
      <c r="B82" s="81" t="s">
        <v>0</v>
      </c>
      <c r="C82" s="140" t="s">
        <v>585</v>
      </c>
      <c r="D82" s="146" t="s">
        <v>1035</v>
      </c>
      <c r="E82" s="81" t="s">
        <v>397</v>
      </c>
      <c r="F82" s="140" t="s">
        <v>586</v>
      </c>
      <c r="G82" s="81" t="s">
        <v>683</v>
      </c>
      <c r="H82" s="81" t="s">
        <v>3</v>
      </c>
      <c r="I82" s="109">
        <v>2016</v>
      </c>
      <c r="J82" s="131" t="s">
        <v>585</v>
      </c>
      <c r="K82" s="131" t="s">
        <v>585</v>
      </c>
      <c r="L82" s="54" t="s">
        <v>29</v>
      </c>
      <c r="M82" s="131">
        <v>2</v>
      </c>
      <c r="N82" s="111">
        <v>45000</v>
      </c>
      <c r="O82" s="142" t="s">
        <v>585</v>
      </c>
      <c r="P82" s="142" t="s">
        <v>585</v>
      </c>
      <c r="Q82" s="142" t="s">
        <v>585</v>
      </c>
      <c r="R82" s="81" t="s">
        <v>497</v>
      </c>
      <c r="S82" s="81" t="s">
        <v>185</v>
      </c>
      <c r="T82" s="81">
        <v>2017</v>
      </c>
      <c r="U82" s="81" t="s">
        <v>199</v>
      </c>
      <c r="V82" s="100" t="s">
        <v>1181</v>
      </c>
      <c r="W82" s="100" t="s">
        <v>1182</v>
      </c>
      <c r="X82" s="140" t="s">
        <v>585</v>
      </c>
      <c r="Y82" s="81"/>
      <c r="Z82" s="81" t="s">
        <v>1493</v>
      </c>
      <c r="AA82" s="81" t="s">
        <v>1493</v>
      </c>
      <c r="AB82" s="81" t="s">
        <v>1493</v>
      </c>
      <c r="AC82" s="54" t="s">
        <v>1504</v>
      </c>
    </row>
    <row r="83" spans="1:29" ht="51" customHeight="1" x14ac:dyDescent="0.3">
      <c r="A83" s="81">
        <v>3049</v>
      </c>
      <c r="B83" s="81" t="s">
        <v>0</v>
      </c>
      <c r="C83" s="140" t="s">
        <v>585</v>
      </c>
      <c r="D83" s="81" t="s">
        <v>1036</v>
      </c>
      <c r="E83" s="81" t="s">
        <v>398</v>
      </c>
      <c r="F83" s="81" t="s">
        <v>702</v>
      </c>
      <c r="G83" s="81" t="s">
        <v>229</v>
      </c>
      <c r="H83" s="81" t="s">
        <v>388</v>
      </c>
      <c r="I83" s="141" t="s">
        <v>20</v>
      </c>
      <c r="J83" s="131" t="s">
        <v>20</v>
      </c>
      <c r="K83" s="131" t="s">
        <v>20</v>
      </c>
      <c r="L83" s="54" t="s">
        <v>29</v>
      </c>
      <c r="M83" s="131" t="s">
        <v>585</v>
      </c>
      <c r="N83" s="111">
        <v>720000</v>
      </c>
      <c r="O83" s="142" t="s">
        <v>585</v>
      </c>
      <c r="P83" s="142" t="s">
        <v>585</v>
      </c>
      <c r="Q83" s="142" t="s">
        <v>585</v>
      </c>
      <c r="R83" s="81" t="s">
        <v>497</v>
      </c>
      <c r="S83" s="81" t="s">
        <v>185</v>
      </c>
      <c r="T83" s="81">
        <v>2017</v>
      </c>
      <c r="U83" s="81" t="s">
        <v>199</v>
      </c>
      <c r="V83" s="100" t="s">
        <v>1183</v>
      </c>
      <c r="W83" s="100" t="s">
        <v>1184</v>
      </c>
      <c r="X83" s="140" t="s">
        <v>20</v>
      </c>
      <c r="Y83" s="81"/>
      <c r="Z83" s="81" t="s">
        <v>1493</v>
      </c>
      <c r="AA83" s="81" t="s">
        <v>1493</v>
      </c>
      <c r="AB83" s="81" t="s">
        <v>1493</v>
      </c>
      <c r="AC83" s="54" t="s">
        <v>1504</v>
      </c>
    </row>
    <row r="84" spans="1:29" ht="38.25" customHeight="1" x14ac:dyDescent="0.3">
      <c r="A84" s="81">
        <v>3051</v>
      </c>
      <c r="B84" s="81" t="s">
        <v>0</v>
      </c>
      <c r="C84" s="140" t="s">
        <v>497</v>
      </c>
      <c r="D84" s="81" t="s">
        <v>1037</v>
      </c>
      <c r="E84" s="81" t="s">
        <v>518</v>
      </c>
      <c r="F84" s="81" t="s">
        <v>704</v>
      </c>
      <c r="G84" s="81" t="s">
        <v>491</v>
      </c>
      <c r="H84" s="81" t="s">
        <v>388</v>
      </c>
      <c r="I84" s="141" t="s">
        <v>20</v>
      </c>
      <c r="J84" s="110" t="s">
        <v>20</v>
      </c>
      <c r="K84" s="110" t="s">
        <v>20</v>
      </c>
      <c r="L84" s="81" t="s">
        <v>29</v>
      </c>
      <c r="M84" s="110" t="s">
        <v>20</v>
      </c>
      <c r="N84" s="142" t="s">
        <v>20</v>
      </c>
      <c r="O84" s="142" t="s">
        <v>20</v>
      </c>
      <c r="P84" s="142" t="s">
        <v>20</v>
      </c>
      <c r="Q84" s="142" t="s">
        <v>20</v>
      </c>
      <c r="R84" s="81" t="s">
        <v>497</v>
      </c>
      <c r="S84" s="81" t="s">
        <v>185</v>
      </c>
      <c r="T84" s="81">
        <v>2017</v>
      </c>
      <c r="U84" s="81" t="s">
        <v>199</v>
      </c>
      <c r="V84" s="100" t="s">
        <v>1185</v>
      </c>
      <c r="W84" s="100" t="s">
        <v>1186</v>
      </c>
      <c r="X84" s="140" t="s">
        <v>20</v>
      </c>
      <c r="Y84" s="81"/>
      <c r="Z84" s="140" t="s">
        <v>1492</v>
      </c>
      <c r="AA84" s="81" t="s">
        <v>1493</v>
      </c>
      <c r="AB84" s="81" t="s">
        <v>1502</v>
      </c>
      <c r="AC84" s="10" t="s">
        <v>497</v>
      </c>
    </row>
    <row r="85" spans="1:29" ht="38.25" customHeight="1" x14ac:dyDescent="0.3">
      <c r="A85" s="81">
        <v>3052</v>
      </c>
      <c r="B85" s="81" t="s">
        <v>0</v>
      </c>
      <c r="C85" s="81" t="s">
        <v>563</v>
      </c>
      <c r="D85" s="146" t="s">
        <v>1038</v>
      </c>
      <c r="E85" s="81" t="s">
        <v>1</v>
      </c>
      <c r="F85" s="81" t="s">
        <v>789</v>
      </c>
      <c r="G85" s="81" t="s">
        <v>1</v>
      </c>
      <c r="H85" s="81" t="s">
        <v>1517</v>
      </c>
      <c r="I85" s="141" t="s">
        <v>497</v>
      </c>
      <c r="J85" s="131" t="s">
        <v>497</v>
      </c>
      <c r="K85" s="131" t="s">
        <v>497</v>
      </c>
      <c r="L85" s="54" t="s">
        <v>30</v>
      </c>
      <c r="M85" s="131" t="s">
        <v>497</v>
      </c>
      <c r="N85" s="111">
        <v>50000</v>
      </c>
      <c r="O85" s="142" t="s">
        <v>20</v>
      </c>
      <c r="P85" s="111" t="s">
        <v>533</v>
      </c>
      <c r="Q85" s="111" t="s">
        <v>809</v>
      </c>
      <c r="R85" s="81" t="s">
        <v>497</v>
      </c>
      <c r="S85" s="81" t="s">
        <v>184</v>
      </c>
      <c r="T85" s="81">
        <v>2017</v>
      </c>
      <c r="U85" s="81" t="s">
        <v>199</v>
      </c>
      <c r="V85" s="145" t="s">
        <v>585</v>
      </c>
      <c r="W85" s="145" t="s">
        <v>585</v>
      </c>
      <c r="X85" s="122" t="s">
        <v>564</v>
      </c>
      <c r="Y85" s="81"/>
      <c r="Z85" s="81" t="s">
        <v>1492</v>
      </c>
      <c r="AA85" s="81" t="s">
        <v>1492</v>
      </c>
      <c r="AB85" s="81" t="s">
        <v>1500</v>
      </c>
      <c r="AC85" s="54" t="s">
        <v>1501</v>
      </c>
    </row>
    <row r="86" spans="1:29" customFormat="1" ht="39.6" x14ac:dyDescent="0.3">
      <c r="A86" s="81">
        <v>3019</v>
      </c>
      <c r="B86" s="81" t="s">
        <v>0</v>
      </c>
      <c r="C86" s="81" t="s">
        <v>563</v>
      </c>
      <c r="D86" s="146" t="s">
        <v>1039</v>
      </c>
      <c r="E86" s="81" t="s">
        <v>1</v>
      </c>
      <c r="F86" s="81" t="s">
        <v>789</v>
      </c>
      <c r="G86" s="81" t="s">
        <v>1</v>
      </c>
      <c r="H86" s="81" t="s">
        <v>1517</v>
      </c>
      <c r="I86" s="141" t="s">
        <v>497</v>
      </c>
      <c r="J86" s="131" t="s">
        <v>497</v>
      </c>
      <c r="K86" s="131" t="s">
        <v>497</v>
      </c>
      <c r="L86" s="54" t="s">
        <v>29</v>
      </c>
      <c r="M86" s="131" t="s">
        <v>497</v>
      </c>
      <c r="N86" s="142" t="s">
        <v>585</v>
      </c>
      <c r="O86" s="142" t="s">
        <v>20</v>
      </c>
      <c r="P86" s="111" t="s">
        <v>533</v>
      </c>
      <c r="Q86" s="142" t="s">
        <v>585</v>
      </c>
      <c r="R86" s="81" t="s">
        <v>497</v>
      </c>
      <c r="S86" s="81" t="s">
        <v>184</v>
      </c>
      <c r="T86" s="81">
        <v>2017</v>
      </c>
      <c r="U86" s="81" t="s">
        <v>199</v>
      </c>
      <c r="V86" s="145" t="s">
        <v>585</v>
      </c>
      <c r="W86" s="145" t="s">
        <v>585</v>
      </c>
      <c r="X86" s="122" t="s">
        <v>564</v>
      </c>
      <c r="Y86" s="81"/>
      <c r="Z86" s="81" t="s">
        <v>1492</v>
      </c>
      <c r="AA86" s="81" t="s">
        <v>1492</v>
      </c>
      <c r="AB86" s="81" t="s">
        <v>1500</v>
      </c>
      <c r="AC86" s="54" t="s">
        <v>1501</v>
      </c>
    </row>
    <row r="87" spans="1:29" customFormat="1" ht="39.6" x14ac:dyDescent="0.3">
      <c r="A87" s="81">
        <v>3059</v>
      </c>
      <c r="B87" s="81" t="s">
        <v>0</v>
      </c>
      <c r="C87" s="140" t="s">
        <v>497</v>
      </c>
      <c r="D87" s="81" t="s">
        <v>1040</v>
      </c>
      <c r="E87" s="81" t="s">
        <v>532</v>
      </c>
      <c r="F87" s="100" t="s">
        <v>745</v>
      </c>
      <c r="G87" s="81" t="s">
        <v>681</v>
      </c>
      <c r="H87" s="81" t="s">
        <v>28</v>
      </c>
      <c r="I87" s="109">
        <v>2020</v>
      </c>
      <c r="J87" s="110" t="s">
        <v>20</v>
      </c>
      <c r="K87" s="110" t="s">
        <v>497</v>
      </c>
      <c r="L87" s="81" t="s">
        <v>29</v>
      </c>
      <c r="M87" s="110" t="s">
        <v>585</v>
      </c>
      <c r="N87" s="111">
        <v>2130852</v>
      </c>
      <c r="O87" s="142" t="s">
        <v>585</v>
      </c>
      <c r="P87" s="111" t="s">
        <v>533</v>
      </c>
      <c r="Q87" s="114" t="s">
        <v>814</v>
      </c>
      <c r="R87" s="81" t="s">
        <v>497</v>
      </c>
      <c r="S87" s="81" t="s">
        <v>185</v>
      </c>
      <c r="T87" s="81">
        <v>2017</v>
      </c>
      <c r="U87" s="81" t="s">
        <v>199</v>
      </c>
      <c r="V87" s="100" t="s">
        <v>1187</v>
      </c>
      <c r="W87" s="100" t="s">
        <v>1188</v>
      </c>
      <c r="X87" s="140" t="s">
        <v>585</v>
      </c>
      <c r="Y87" s="81"/>
      <c r="Z87" s="140" t="s">
        <v>1492</v>
      </c>
      <c r="AA87" s="81" t="s">
        <v>1493</v>
      </c>
      <c r="AB87" s="81" t="s">
        <v>1502</v>
      </c>
      <c r="AC87" s="10" t="s">
        <v>497</v>
      </c>
    </row>
    <row r="88" spans="1:29" customFormat="1" ht="26.4" x14ac:dyDescent="0.3">
      <c r="A88" s="81">
        <v>3062</v>
      </c>
      <c r="B88" s="81" t="s">
        <v>0</v>
      </c>
      <c r="C88" s="81" t="s">
        <v>533</v>
      </c>
      <c r="D88" s="81" t="s">
        <v>1041</v>
      </c>
      <c r="E88" s="81" t="s">
        <v>396</v>
      </c>
      <c r="F88" s="124" t="s">
        <v>593</v>
      </c>
      <c r="G88" s="81" t="s">
        <v>229</v>
      </c>
      <c r="H88" s="81" t="s">
        <v>28</v>
      </c>
      <c r="I88" s="109">
        <v>2019</v>
      </c>
      <c r="J88" s="132">
        <v>6264</v>
      </c>
      <c r="K88" s="132">
        <v>814</v>
      </c>
      <c r="L88" s="54" t="s">
        <v>30</v>
      </c>
      <c r="M88" s="132">
        <v>1212.8</v>
      </c>
      <c r="N88" s="111">
        <v>990000</v>
      </c>
      <c r="O88" s="142" t="s">
        <v>497</v>
      </c>
      <c r="P88" s="111" t="s">
        <v>748</v>
      </c>
      <c r="Q88" s="142" t="s">
        <v>585</v>
      </c>
      <c r="R88" s="124" t="s">
        <v>497</v>
      </c>
      <c r="S88" s="81" t="s">
        <v>185</v>
      </c>
      <c r="T88" s="81">
        <v>2017</v>
      </c>
      <c r="U88" s="81" t="s">
        <v>199</v>
      </c>
      <c r="V88" s="100" t="s">
        <v>1189</v>
      </c>
      <c r="W88" s="100" t="s">
        <v>1190</v>
      </c>
      <c r="X88" s="81">
        <v>2017</v>
      </c>
      <c r="Y88" s="81"/>
      <c r="Z88" s="81" t="s">
        <v>1493</v>
      </c>
      <c r="AA88" s="81" t="s">
        <v>1493</v>
      </c>
      <c r="AB88" s="81" t="s">
        <v>1493</v>
      </c>
      <c r="AC88" s="54" t="s">
        <v>1504</v>
      </c>
    </row>
    <row r="89" spans="1:29" customFormat="1" ht="39.6" x14ac:dyDescent="0.3">
      <c r="A89" s="81">
        <v>3063</v>
      </c>
      <c r="B89" s="81" t="s">
        <v>0</v>
      </c>
      <c r="C89" s="140" t="s">
        <v>497</v>
      </c>
      <c r="D89" s="146" t="s">
        <v>1042</v>
      </c>
      <c r="E89" s="81" t="s">
        <v>426</v>
      </c>
      <c r="F89" s="124" t="s">
        <v>516</v>
      </c>
      <c r="G89" s="81" t="s">
        <v>222</v>
      </c>
      <c r="H89" s="81" t="s">
        <v>1517</v>
      </c>
      <c r="I89" s="141" t="s">
        <v>497</v>
      </c>
      <c r="J89" s="131">
        <v>1</v>
      </c>
      <c r="K89" s="131">
        <v>1</v>
      </c>
      <c r="L89" s="54" t="s">
        <v>30</v>
      </c>
      <c r="M89" s="132" t="s">
        <v>497</v>
      </c>
      <c r="N89" s="142" t="s">
        <v>585</v>
      </c>
      <c r="O89" s="111">
        <v>276303.28000000003</v>
      </c>
      <c r="P89" s="111" t="s">
        <v>547</v>
      </c>
      <c r="Q89" s="142" t="s">
        <v>585</v>
      </c>
      <c r="R89" s="124" t="s">
        <v>497</v>
      </c>
      <c r="S89" s="81" t="s">
        <v>184</v>
      </c>
      <c r="T89" s="81">
        <v>2015</v>
      </c>
      <c r="U89" s="81" t="s">
        <v>199</v>
      </c>
      <c r="V89" s="145" t="s">
        <v>585</v>
      </c>
      <c r="W89" s="145" t="s">
        <v>585</v>
      </c>
      <c r="X89" s="81">
        <v>2008</v>
      </c>
      <c r="Y89" s="81"/>
      <c r="Z89" s="81" t="s">
        <v>1492</v>
      </c>
      <c r="AA89" s="81" t="s">
        <v>1492</v>
      </c>
      <c r="AB89" s="81" t="s">
        <v>1498</v>
      </c>
      <c r="AC89" s="54" t="s">
        <v>1499</v>
      </c>
    </row>
    <row r="90" spans="1:29" customFormat="1" ht="67.5" customHeight="1" x14ac:dyDescent="0.3">
      <c r="A90" s="122">
        <v>4451</v>
      </c>
      <c r="B90" s="81" t="s">
        <v>0</v>
      </c>
      <c r="C90" s="140" t="s">
        <v>497</v>
      </c>
      <c r="D90" s="81" t="s">
        <v>1043</v>
      </c>
      <c r="E90" s="81" t="s">
        <v>706</v>
      </c>
      <c r="F90" s="124" t="s">
        <v>707</v>
      </c>
      <c r="G90" s="81" t="s">
        <v>679</v>
      </c>
      <c r="H90" s="81" t="s">
        <v>28</v>
      </c>
      <c r="I90" s="109">
        <v>2019</v>
      </c>
      <c r="J90" s="131">
        <v>917</v>
      </c>
      <c r="K90" s="131">
        <v>116</v>
      </c>
      <c r="L90" s="54" t="s">
        <v>29</v>
      </c>
      <c r="M90" s="132">
        <v>170</v>
      </c>
      <c r="N90" s="111">
        <v>125000</v>
      </c>
      <c r="O90" s="111">
        <v>2500</v>
      </c>
      <c r="P90" s="111" t="s">
        <v>708</v>
      </c>
      <c r="Q90" s="111" t="s">
        <v>815</v>
      </c>
      <c r="R90" s="124" t="s">
        <v>399</v>
      </c>
      <c r="S90" s="81" t="s">
        <v>185</v>
      </c>
      <c r="T90" s="81">
        <v>2018</v>
      </c>
      <c r="U90" s="81" t="s">
        <v>199</v>
      </c>
      <c r="V90" s="100" t="s">
        <v>1191</v>
      </c>
      <c r="W90" s="100" t="s">
        <v>1192</v>
      </c>
      <c r="X90" s="140" t="s">
        <v>585</v>
      </c>
      <c r="Y90" s="81"/>
      <c r="Z90" s="81" t="s">
        <v>1493</v>
      </c>
      <c r="AA90" s="81" t="s">
        <v>1493</v>
      </c>
      <c r="AB90" s="81" t="s">
        <v>1493</v>
      </c>
      <c r="AC90" s="54" t="s">
        <v>1504</v>
      </c>
    </row>
    <row r="91" spans="1:29" customFormat="1" ht="66" x14ac:dyDescent="0.3">
      <c r="A91" s="122">
        <v>4452</v>
      </c>
      <c r="B91" s="81" t="s">
        <v>0</v>
      </c>
      <c r="C91" s="81" t="s">
        <v>533</v>
      </c>
      <c r="D91" s="81" t="s">
        <v>1044</v>
      </c>
      <c r="E91" s="81" t="s">
        <v>878</v>
      </c>
      <c r="F91" s="124" t="s">
        <v>893</v>
      </c>
      <c r="G91" s="81" t="s">
        <v>679</v>
      </c>
      <c r="H91" s="81" t="s">
        <v>28</v>
      </c>
      <c r="I91" s="109">
        <v>2020</v>
      </c>
      <c r="J91" s="131">
        <v>245</v>
      </c>
      <c r="K91" s="131">
        <v>37</v>
      </c>
      <c r="L91" s="54" t="s">
        <v>30</v>
      </c>
      <c r="M91" s="132" t="s">
        <v>585</v>
      </c>
      <c r="N91" s="111">
        <v>172000</v>
      </c>
      <c r="O91" s="142" t="s">
        <v>585</v>
      </c>
      <c r="P91" s="111" t="s">
        <v>853</v>
      </c>
      <c r="Q91" s="111">
        <v>58030</v>
      </c>
      <c r="R91" s="124" t="s">
        <v>497</v>
      </c>
      <c r="S91" s="81" t="s">
        <v>185</v>
      </c>
      <c r="T91" s="81">
        <v>2018</v>
      </c>
      <c r="U91" s="81" t="s">
        <v>199</v>
      </c>
      <c r="V91" s="100" t="s">
        <v>1193</v>
      </c>
      <c r="W91" s="100" t="s">
        <v>1194</v>
      </c>
      <c r="X91" s="140" t="s">
        <v>585</v>
      </c>
      <c r="Y91" s="81"/>
      <c r="Z91" s="81" t="s">
        <v>1493</v>
      </c>
      <c r="AA91" s="81" t="s">
        <v>1493</v>
      </c>
      <c r="AB91" s="81" t="s">
        <v>1493</v>
      </c>
      <c r="AC91" s="54" t="s">
        <v>1504</v>
      </c>
    </row>
    <row r="92" spans="1:29" customFormat="1" ht="66" x14ac:dyDescent="0.3">
      <c r="A92" s="122">
        <v>4453</v>
      </c>
      <c r="B92" s="81" t="s">
        <v>0</v>
      </c>
      <c r="C92" s="81" t="s">
        <v>533</v>
      </c>
      <c r="D92" s="81" t="s">
        <v>1045</v>
      </c>
      <c r="E92" s="81" t="s">
        <v>849</v>
      </c>
      <c r="F92" s="124" t="s">
        <v>893</v>
      </c>
      <c r="G92" s="81" t="s">
        <v>679</v>
      </c>
      <c r="H92" s="81" t="s">
        <v>28</v>
      </c>
      <c r="I92" s="109">
        <v>2020</v>
      </c>
      <c r="J92" s="131">
        <v>685</v>
      </c>
      <c r="K92" s="131">
        <v>104</v>
      </c>
      <c r="L92" s="54" t="s">
        <v>30</v>
      </c>
      <c r="M92" s="132" t="s">
        <v>585</v>
      </c>
      <c r="N92" s="111">
        <v>161000</v>
      </c>
      <c r="O92" s="142" t="s">
        <v>585</v>
      </c>
      <c r="P92" s="111" t="s">
        <v>853</v>
      </c>
      <c r="Q92" s="111">
        <v>99390</v>
      </c>
      <c r="R92" s="124" t="s">
        <v>497</v>
      </c>
      <c r="S92" s="81" t="s">
        <v>185</v>
      </c>
      <c r="T92" s="81">
        <v>2018</v>
      </c>
      <c r="U92" s="81" t="s">
        <v>199</v>
      </c>
      <c r="V92" s="100" t="s">
        <v>1187</v>
      </c>
      <c r="W92" s="100" t="s">
        <v>1188</v>
      </c>
      <c r="X92" s="140" t="s">
        <v>585</v>
      </c>
      <c r="Y92" s="81"/>
      <c r="Z92" s="81" t="s">
        <v>1493</v>
      </c>
      <c r="AA92" s="81" t="s">
        <v>1493</v>
      </c>
      <c r="AB92" s="81" t="s">
        <v>1493</v>
      </c>
      <c r="AC92" s="54" t="s">
        <v>1504</v>
      </c>
    </row>
    <row r="93" spans="1:29" customFormat="1" ht="66" x14ac:dyDescent="0.3">
      <c r="A93" s="122">
        <v>4454</v>
      </c>
      <c r="B93" s="81" t="s">
        <v>0</v>
      </c>
      <c r="C93" s="81" t="s">
        <v>533</v>
      </c>
      <c r="D93" s="81" t="s">
        <v>1046</v>
      </c>
      <c r="E93" s="81" t="s">
        <v>850</v>
      </c>
      <c r="F93" s="124" t="s">
        <v>893</v>
      </c>
      <c r="G93" s="81" t="s">
        <v>679</v>
      </c>
      <c r="H93" s="81" t="s">
        <v>28</v>
      </c>
      <c r="I93" s="109">
        <v>2020</v>
      </c>
      <c r="J93" s="131">
        <v>665</v>
      </c>
      <c r="K93" s="131">
        <v>101</v>
      </c>
      <c r="L93" s="54" t="s">
        <v>30</v>
      </c>
      <c r="M93" s="132" t="s">
        <v>585</v>
      </c>
      <c r="N93" s="111">
        <v>176000</v>
      </c>
      <c r="O93" s="142" t="s">
        <v>585</v>
      </c>
      <c r="P93" s="111" t="s">
        <v>853</v>
      </c>
      <c r="Q93" s="111">
        <v>97510</v>
      </c>
      <c r="R93" s="124" t="s">
        <v>497</v>
      </c>
      <c r="S93" s="81" t="s">
        <v>185</v>
      </c>
      <c r="T93" s="81">
        <v>2018</v>
      </c>
      <c r="U93" s="81" t="s">
        <v>199</v>
      </c>
      <c r="V93" s="100" t="s">
        <v>1195</v>
      </c>
      <c r="W93" s="100" t="s">
        <v>1196</v>
      </c>
      <c r="X93" s="140" t="s">
        <v>585</v>
      </c>
      <c r="Y93" s="81"/>
      <c r="Z93" s="81" t="s">
        <v>1493</v>
      </c>
      <c r="AA93" s="81" t="s">
        <v>1493</v>
      </c>
      <c r="AB93" s="81" t="s">
        <v>1493</v>
      </c>
      <c r="AC93" s="54" t="s">
        <v>1504</v>
      </c>
    </row>
    <row r="94" spans="1:29" customFormat="1" ht="66" x14ac:dyDescent="0.3">
      <c r="A94" s="122">
        <v>4455</v>
      </c>
      <c r="B94" s="81" t="s">
        <v>0</v>
      </c>
      <c r="C94" s="81" t="s">
        <v>533</v>
      </c>
      <c r="D94" s="81" t="s">
        <v>1047</v>
      </c>
      <c r="E94" s="81" t="s">
        <v>851</v>
      </c>
      <c r="F94" s="124" t="s">
        <v>893</v>
      </c>
      <c r="G94" s="81" t="s">
        <v>679</v>
      </c>
      <c r="H94" s="81" t="s">
        <v>28</v>
      </c>
      <c r="I94" s="109">
        <v>2020</v>
      </c>
      <c r="J94" s="131">
        <v>954</v>
      </c>
      <c r="K94" s="131">
        <v>144</v>
      </c>
      <c r="L94" s="54" t="s">
        <v>30</v>
      </c>
      <c r="M94" s="132" t="s">
        <v>585</v>
      </c>
      <c r="N94" s="111">
        <v>179000</v>
      </c>
      <c r="O94" s="142" t="s">
        <v>585</v>
      </c>
      <c r="P94" s="111" t="s">
        <v>853</v>
      </c>
      <c r="Q94" s="111">
        <v>117735</v>
      </c>
      <c r="R94" s="124" t="s">
        <v>497</v>
      </c>
      <c r="S94" s="81" t="s">
        <v>185</v>
      </c>
      <c r="T94" s="81">
        <v>2018</v>
      </c>
      <c r="U94" s="81" t="s">
        <v>199</v>
      </c>
      <c r="V94" s="100" t="s">
        <v>1197</v>
      </c>
      <c r="W94" s="100" t="s">
        <v>1198</v>
      </c>
      <c r="X94" s="140" t="s">
        <v>585</v>
      </c>
      <c r="Y94" s="81"/>
      <c r="Z94" s="81" t="s">
        <v>1493</v>
      </c>
      <c r="AA94" s="81" t="s">
        <v>1493</v>
      </c>
      <c r="AB94" s="81" t="s">
        <v>1493</v>
      </c>
      <c r="AC94" s="54" t="s">
        <v>1504</v>
      </c>
    </row>
    <row r="95" spans="1:29" customFormat="1" ht="66" x14ac:dyDescent="0.3">
      <c r="A95" s="122">
        <v>4456</v>
      </c>
      <c r="B95" s="81" t="s">
        <v>0</v>
      </c>
      <c r="C95" s="81" t="s">
        <v>533</v>
      </c>
      <c r="D95" s="81" t="s">
        <v>1048</v>
      </c>
      <c r="E95" s="81" t="s">
        <v>852</v>
      </c>
      <c r="F95" s="124" t="s">
        <v>893</v>
      </c>
      <c r="G95" s="81" t="s">
        <v>679</v>
      </c>
      <c r="H95" s="81" t="s">
        <v>28</v>
      </c>
      <c r="I95" s="109">
        <v>2020</v>
      </c>
      <c r="J95" s="131">
        <v>456</v>
      </c>
      <c r="K95" s="131">
        <v>69</v>
      </c>
      <c r="L95" s="54" t="s">
        <v>30</v>
      </c>
      <c r="M95" s="132" t="s">
        <v>585</v>
      </c>
      <c r="N95" s="111">
        <v>290000</v>
      </c>
      <c r="O95" s="142" t="s">
        <v>585</v>
      </c>
      <c r="P95" s="111" t="s">
        <v>853</v>
      </c>
      <c r="Q95" s="111">
        <v>77864</v>
      </c>
      <c r="R95" s="124" t="s">
        <v>497</v>
      </c>
      <c r="S95" s="81" t="s">
        <v>185</v>
      </c>
      <c r="T95" s="81">
        <v>2018</v>
      </c>
      <c r="U95" s="81" t="s">
        <v>199</v>
      </c>
      <c r="V95" s="100" t="s">
        <v>1199</v>
      </c>
      <c r="W95" s="100" t="s">
        <v>1200</v>
      </c>
      <c r="X95" s="140" t="s">
        <v>585</v>
      </c>
      <c r="Y95" s="81"/>
      <c r="Z95" s="81" t="s">
        <v>1493</v>
      </c>
      <c r="AA95" s="81" t="s">
        <v>1493</v>
      </c>
      <c r="AB95" s="81" t="s">
        <v>1493</v>
      </c>
      <c r="AC95" s="54" t="s">
        <v>1504</v>
      </c>
    </row>
    <row r="96" spans="1:29" customFormat="1" ht="43.5" customHeight="1" x14ac:dyDescent="0.3">
      <c r="A96" s="81">
        <v>5347</v>
      </c>
      <c r="B96" s="81" t="s">
        <v>0</v>
      </c>
      <c r="C96" s="81" t="s">
        <v>879</v>
      </c>
      <c r="D96" s="146" t="s">
        <v>857</v>
      </c>
      <c r="E96" s="81" t="s">
        <v>858</v>
      </c>
      <c r="F96" s="81" t="s">
        <v>899</v>
      </c>
      <c r="G96" s="81" t="s">
        <v>733</v>
      </c>
      <c r="H96" s="81" t="s">
        <v>3</v>
      </c>
      <c r="I96" s="109">
        <v>2018</v>
      </c>
      <c r="J96" s="110" t="s">
        <v>497</v>
      </c>
      <c r="K96" s="110" t="s">
        <v>497</v>
      </c>
      <c r="L96" s="81" t="s">
        <v>29</v>
      </c>
      <c r="M96" s="110" t="s">
        <v>585</v>
      </c>
      <c r="N96" s="111">
        <v>8900</v>
      </c>
      <c r="O96" s="142" t="s">
        <v>585</v>
      </c>
      <c r="P96" s="111" t="s">
        <v>533</v>
      </c>
      <c r="Q96" s="111" t="s">
        <v>959</v>
      </c>
      <c r="R96" s="81" t="s">
        <v>497</v>
      </c>
      <c r="S96" s="81" t="s">
        <v>185</v>
      </c>
      <c r="T96" s="81">
        <v>2019</v>
      </c>
      <c r="U96" s="81" t="s">
        <v>199</v>
      </c>
      <c r="V96" s="100" t="s">
        <v>1201</v>
      </c>
      <c r="W96" s="100" t="s">
        <v>1202</v>
      </c>
      <c r="X96" s="140" t="s">
        <v>585</v>
      </c>
      <c r="Y96" s="81"/>
      <c r="Z96" s="81" t="s">
        <v>1492</v>
      </c>
      <c r="AA96" s="81" t="s">
        <v>1492</v>
      </c>
      <c r="AB96" s="81" t="s">
        <v>1492</v>
      </c>
      <c r="AC96" s="81" t="s">
        <v>497</v>
      </c>
    </row>
    <row r="97" spans="1:29" customFormat="1" ht="26.4" x14ac:dyDescent="0.3">
      <c r="A97" s="81">
        <v>5348</v>
      </c>
      <c r="B97" s="81" t="s">
        <v>0</v>
      </c>
      <c r="C97" s="81" t="s">
        <v>880</v>
      </c>
      <c r="D97" s="146" t="s">
        <v>859</v>
      </c>
      <c r="E97" s="81" t="s">
        <v>860</v>
      </c>
      <c r="F97" s="140" t="s">
        <v>586</v>
      </c>
      <c r="G97" s="81" t="s">
        <v>1</v>
      </c>
      <c r="H97" s="81" t="s">
        <v>1517</v>
      </c>
      <c r="I97" s="109">
        <v>2019</v>
      </c>
      <c r="J97" s="131" t="s">
        <v>20</v>
      </c>
      <c r="K97" s="131" t="s">
        <v>20</v>
      </c>
      <c r="L97" s="54" t="s">
        <v>30</v>
      </c>
      <c r="M97" s="131" t="s">
        <v>497</v>
      </c>
      <c r="N97" s="111">
        <v>6667</v>
      </c>
      <c r="O97" s="142" t="s">
        <v>497</v>
      </c>
      <c r="P97" s="111" t="s">
        <v>533</v>
      </c>
      <c r="Q97" s="111" t="s">
        <v>960</v>
      </c>
      <c r="R97" s="81" t="s">
        <v>497</v>
      </c>
      <c r="S97" s="81" t="s">
        <v>184</v>
      </c>
      <c r="T97" s="81">
        <v>2019</v>
      </c>
      <c r="U97" s="81" t="s">
        <v>199</v>
      </c>
      <c r="V97" s="145" t="s">
        <v>585</v>
      </c>
      <c r="W97" s="145" t="s">
        <v>585</v>
      </c>
      <c r="X97" s="140" t="s">
        <v>585</v>
      </c>
      <c r="Y97" s="81"/>
      <c r="Z97" s="81" t="s">
        <v>1492</v>
      </c>
      <c r="AA97" s="81" t="s">
        <v>1492</v>
      </c>
      <c r="AB97" s="81" t="s">
        <v>1500</v>
      </c>
      <c r="AC97" s="54" t="s">
        <v>1501</v>
      </c>
    </row>
    <row r="98" spans="1:29" customFormat="1" ht="56.25" customHeight="1" x14ac:dyDescent="0.3">
      <c r="A98" s="81">
        <v>5349</v>
      </c>
      <c r="B98" s="81" t="s">
        <v>0</v>
      </c>
      <c r="C98" s="81" t="s">
        <v>880</v>
      </c>
      <c r="D98" s="146" t="s">
        <v>967</v>
      </c>
      <c r="E98" s="81" t="s">
        <v>860</v>
      </c>
      <c r="F98" s="140" t="s">
        <v>586</v>
      </c>
      <c r="G98" s="81" t="s">
        <v>1</v>
      </c>
      <c r="H98" s="81" t="s">
        <v>1517</v>
      </c>
      <c r="I98" s="109">
        <v>2019</v>
      </c>
      <c r="J98" s="131" t="s">
        <v>20</v>
      </c>
      <c r="K98" s="131" t="s">
        <v>20</v>
      </c>
      <c r="L98" s="54" t="s">
        <v>29</v>
      </c>
      <c r="M98" s="131" t="s">
        <v>497</v>
      </c>
      <c r="N98" s="142" t="s">
        <v>497</v>
      </c>
      <c r="O98" s="142" t="s">
        <v>497</v>
      </c>
      <c r="P98" s="142" t="s">
        <v>497</v>
      </c>
      <c r="Q98" s="142" t="s">
        <v>497</v>
      </c>
      <c r="R98" s="111" t="s">
        <v>497</v>
      </c>
      <c r="S98" s="81" t="s">
        <v>184</v>
      </c>
      <c r="T98" s="81">
        <v>2019</v>
      </c>
      <c r="U98" s="81" t="s">
        <v>199</v>
      </c>
      <c r="V98" s="145" t="s">
        <v>585</v>
      </c>
      <c r="W98" s="145" t="s">
        <v>585</v>
      </c>
      <c r="X98" s="140" t="s">
        <v>585</v>
      </c>
      <c r="Y98" s="81"/>
      <c r="Z98" s="81" t="s">
        <v>1492</v>
      </c>
      <c r="AA98" s="81" t="s">
        <v>1492</v>
      </c>
      <c r="AB98" s="81" t="s">
        <v>1500</v>
      </c>
      <c r="AC98" s="54" t="s">
        <v>1501</v>
      </c>
    </row>
    <row r="99" spans="1:29" s="22" customFormat="1" ht="45" customHeight="1" x14ac:dyDescent="0.3">
      <c r="A99" s="81">
        <v>5350</v>
      </c>
      <c r="B99" s="81" t="s">
        <v>0</v>
      </c>
      <c r="C99" s="81" t="s">
        <v>533</v>
      </c>
      <c r="D99" s="146" t="s">
        <v>861</v>
      </c>
      <c r="E99" s="81" t="s">
        <v>1</v>
      </c>
      <c r="F99" s="81" t="s">
        <v>900</v>
      </c>
      <c r="G99" s="81" t="s">
        <v>1</v>
      </c>
      <c r="H99" s="81" t="s">
        <v>1517</v>
      </c>
      <c r="I99" s="109">
        <v>2027</v>
      </c>
      <c r="J99" s="131" t="s">
        <v>20</v>
      </c>
      <c r="K99" s="131" t="s">
        <v>20</v>
      </c>
      <c r="L99" s="54" t="s">
        <v>30</v>
      </c>
      <c r="M99" s="131" t="s">
        <v>585</v>
      </c>
      <c r="N99" s="111">
        <v>375000</v>
      </c>
      <c r="O99" s="142" t="s">
        <v>585</v>
      </c>
      <c r="P99" s="111" t="s">
        <v>533</v>
      </c>
      <c r="Q99" s="111" t="s">
        <v>961</v>
      </c>
      <c r="R99" s="81" t="s">
        <v>497</v>
      </c>
      <c r="S99" s="81" t="s">
        <v>184</v>
      </c>
      <c r="T99" s="81">
        <v>2019</v>
      </c>
      <c r="U99" s="81" t="s">
        <v>199</v>
      </c>
      <c r="V99" s="145" t="s">
        <v>585</v>
      </c>
      <c r="W99" s="145" t="s">
        <v>585</v>
      </c>
      <c r="X99" s="140" t="s">
        <v>585</v>
      </c>
      <c r="Y99" s="81"/>
      <c r="Z99" s="81" t="s">
        <v>1492</v>
      </c>
      <c r="AA99" s="81" t="s">
        <v>1492</v>
      </c>
      <c r="AB99" s="81" t="s">
        <v>1500</v>
      </c>
      <c r="AC99" s="54" t="s">
        <v>1501</v>
      </c>
    </row>
    <row r="100" spans="1:29" s="22" customFormat="1" ht="26.4" x14ac:dyDescent="0.3">
      <c r="A100" s="81">
        <v>5351</v>
      </c>
      <c r="B100" s="81" t="s">
        <v>0</v>
      </c>
      <c r="C100" s="81" t="s">
        <v>533</v>
      </c>
      <c r="D100" s="146" t="s">
        <v>968</v>
      </c>
      <c r="E100" s="81" t="s">
        <v>1</v>
      </c>
      <c r="F100" s="81" t="s">
        <v>900</v>
      </c>
      <c r="G100" s="81" t="s">
        <v>1</v>
      </c>
      <c r="H100" s="81" t="s">
        <v>1517</v>
      </c>
      <c r="I100" s="109">
        <v>2027</v>
      </c>
      <c r="J100" s="131" t="s">
        <v>20</v>
      </c>
      <c r="K100" s="131" t="s">
        <v>20</v>
      </c>
      <c r="L100" s="54" t="s">
        <v>29</v>
      </c>
      <c r="M100" s="131" t="s">
        <v>585</v>
      </c>
      <c r="N100" s="142" t="s">
        <v>497</v>
      </c>
      <c r="O100" s="142" t="s">
        <v>497</v>
      </c>
      <c r="P100" s="142" t="s">
        <v>497</v>
      </c>
      <c r="Q100" s="142" t="s">
        <v>497</v>
      </c>
      <c r="R100" s="111" t="s">
        <v>497</v>
      </c>
      <c r="S100" s="81" t="s">
        <v>184</v>
      </c>
      <c r="T100" s="81">
        <v>2019</v>
      </c>
      <c r="U100" s="81" t="s">
        <v>199</v>
      </c>
      <c r="V100" s="145" t="s">
        <v>585</v>
      </c>
      <c r="W100" s="145" t="s">
        <v>585</v>
      </c>
      <c r="X100" s="140" t="s">
        <v>585</v>
      </c>
      <c r="Y100" s="81"/>
      <c r="Z100" s="81" t="s">
        <v>1492</v>
      </c>
      <c r="AA100" s="81" t="s">
        <v>1492</v>
      </c>
      <c r="AB100" s="81" t="s">
        <v>1500</v>
      </c>
      <c r="AC100" s="54" t="s">
        <v>1501</v>
      </c>
    </row>
    <row r="101" spans="1:29" s="22" customFormat="1" ht="39.6" x14ac:dyDescent="0.3">
      <c r="A101" s="81">
        <v>5352</v>
      </c>
      <c r="B101" s="81" t="s">
        <v>0</v>
      </c>
      <c r="C101" s="81" t="s">
        <v>533</v>
      </c>
      <c r="D101" s="146" t="s">
        <v>862</v>
      </c>
      <c r="E101" s="81" t="s">
        <v>863</v>
      </c>
      <c r="F101" s="140" t="s">
        <v>586</v>
      </c>
      <c r="G101" s="81" t="s">
        <v>735</v>
      </c>
      <c r="H101" s="81" t="s">
        <v>3</v>
      </c>
      <c r="I101" s="141" t="s">
        <v>497</v>
      </c>
      <c r="J101" s="110" t="s">
        <v>20</v>
      </c>
      <c r="K101" s="110" t="s">
        <v>20</v>
      </c>
      <c r="L101" s="81" t="s">
        <v>30</v>
      </c>
      <c r="M101" s="110" t="s">
        <v>585</v>
      </c>
      <c r="N101" s="142" t="s">
        <v>585</v>
      </c>
      <c r="O101" s="142" t="s">
        <v>585</v>
      </c>
      <c r="P101" s="142" t="s">
        <v>585</v>
      </c>
      <c r="Q101" s="142" t="s">
        <v>585</v>
      </c>
      <c r="R101" s="81" t="s">
        <v>497</v>
      </c>
      <c r="S101" s="81" t="s">
        <v>184</v>
      </c>
      <c r="T101" s="81">
        <v>2019</v>
      </c>
      <c r="U101" s="81" t="s">
        <v>199</v>
      </c>
      <c r="V101" s="145" t="s">
        <v>585</v>
      </c>
      <c r="W101" s="145" t="s">
        <v>585</v>
      </c>
      <c r="X101" s="140" t="s">
        <v>585</v>
      </c>
      <c r="Y101" s="81"/>
      <c r="Z101" s="81" t="s">
        <v>1492</v>
      </c>
      <c r="AA101" s="81" t="s">
        <v>1492</v>
      </c>
      <c r="AB101" s="81" t="s">
        <v>1502</v>
      </c>
      <c r="AC101" s="81" t="s">
        <v>497</v>
      </c>
    </row>
    <row r="102" spans="1:29" s="22" customFormat="1" ht="66" x14ac:dyDescent="0.3">
      <c r="A102" s="81">
        <v>5353</v>
      </c>
      <c r="B102" s="81" t="s">
        <v>0</v>
      </c>
      <c r="C102" s="81" t="s">
        <v>877</v>
      </c>
      <c r="D102" s="81" t="s">
        <v>864</v>
      </c>
      <c r="E102" s="81" t="s">
        <v>865</v>
      </c>
      <c r="F102" s="81" t="s">
        <v>901</v>
      </c>
      <c r="G102" s="81" t="s">
        <v>679</v>
      </c>
      <c r="H102" s="81" t="s">
        <v>28</v>
      </c>
      <c r="I102" s="109">
        <v>2020</v>
      </c>
      <c r="J102" s="131" t="s">
        <v>20</v>
      </c>
      <c r="K102" s="131" t="s">
        <v>20</v>
      </c>
      <c r="L102" s="54" t="s">
        <v>30</v>
      </c>
      <c r="M102" s="131" t="s">
        <v>585</v>
      </c>
      <c r="N102" s="111">
        <v>200000</v>
      </c>
      <c r="O102" s="142" t="s">
        <v>585</v>
      </c>
      <c r="P102" s="111" t="s">
        <v>853</v>
      </c>
      <c r="Q102" s="111">
        <v>107773</v>
      </c>
      <c r="R102" s="81" t="s">
        <v>497</v>
      </c>
      <c r="S102" s="81" t="s">
        <v>185</v>
      </c>
      <c r="T102" s="81">
        <v>2019</v>
      </c>
      <c r="U102" s="81" t="s">
        <v>199</v>
      </c>
      <c r="V102" s="100" t="s">
        <v>1203</v>
      </c>
      <c r="W102" s="100" t="s">
        <v>1204</v>
      </c>
      <c r="X102" s="140" t="s">
        <v>585</v>
      </c>
      <c r="Y102" s="81"/>
      <c r="Z102" s="81" t="s">
        <v>1493</v>
      </c>
      <c r="AA102" s="81" t="s">
        <v>1493</v>
      </c>
      <c r="AB102" s="81" t="s">
        <v>1493</v>
      </c>
      <c r="AC102" s="54" t="s">
        <v>1504</v>
      </c>
    </row>
    <row r="103" spans="1:29" s="22" customFormat="1" ht="66" x14ac:dyDescent="0.3">
      <c r="A103" s="81">
        <v>5354</v>
      </c>
      <c r="B103" s="81" t="s">
        <v>0</v>
      </c>
      <c r="C103" s="81" t="s">
        <v>877</v>
      </c>
      <c r="D103" s="81" t="s">
        <v>866</v>
      </c>
      <c r="E103" s="81" t="s">
        <v>867</v>
      </c>
      <c r="F103" s="81" t="s">
        <v>901</v>
      </c>
      <c r="G103" s="81" t="s">
        <v>679</v>
      </c>
      <c r="H103" s="81" t="s">
        <v>28</v>
      </c>
      <c r="I103" s="109">
        <v>2020</v>
      </c>
      <c r="J103" s="131" t="s">
        <v>20</v>
      </c>
      <c r="K103" s="131" t="s">
        <v>20</v>
      </c>
      <c r="L103" s="54" t="s">
        <v>30</v>
      </c>
      <c r="M103" s="131" t="s">
        <v>585</v>
      </c>
      <c r="N103" s="111">
        <v>164000</v>
      </c>
      <c r="O103" s="142" t="s">
        <v>585</v>
      </c>
      <c r="P103" s="111" t="s">
        <v>853</v>
      </c>
      <c r="Q103" s="111">
        <v>104174</v>
      </c>
      <c r="R103" s="81" t="s">
        <v>497</v>
      </c>
      <c r="S103" s="81" t="s">
        <v>185</v>
      </c>
      <c r="T103" s="81">
        <v>2019</v>
      </c>
      <c r="U103" s="81" t="s">
        <v>199</v>
      </c>
      <c r="V103" s="100" t="s">
        <v>1205</v>
      </c>
      <c r="W103" s="100" t="s">
        <v>1206</v>
      </c>
      <c r="X103" s="140" t="s">
        <v>585</v>
      </c>
      <c r="Y103" s="81"/>
      <c r="Z103" s="81" t="s">
        <v>1493</v>
      </c>
      <c r="AA103" s="81" t="s">
        <v>1493</v>
      </c>
      <c r="AB103" s="81" t="s">
        <v>1493</v>
      </c>
      <c r="AC103" s="54" t="s">
        <v>1504</v>
      </c>
    </row>
    <row r="104" spans="1:29" s="22" customFormat="1" ht="66" x14ac:dyDescent="0.3">
      <c r="A104" s="81">
        <v>5355</v>
      </c>
      <c r="B104" s="81" t="s">
        <v>0</v>
      </c>
      <c r="C104" s="81" t="s">
        <v>868</v>
      </c>
      <c r="D104" s="81" t="s">
        <v>869</v>
      </c>
      <c r="E104" s="81" t="s">
        <v>870</v>
      </c>
      <c r="F104" s="81" t="s">
        <v>901</v>
      </c>
      <c r="G104" s="81" t="s">
        <v>679</v>
      </c>
      <c r="H104" s="81" t="s">
        <v>28</v>
      </c>
      <c r="I104" s="109">
        <v>2020</v>
      </c>
      <c r="J104" s="131" t="s">
        <v>20</v>
      </c>
      <c r="K104" s="131" t="s">
        <v>20</v>
      </c>
      <c r="L104" s="54" t="s">
        <v>30</v>
      </c>
      <c r="M104" s="131" t="s">
        <v>585</v>
      </c>
      <c r="N104" s="142" t="s">
        <v>20</v>
      </c>
      <c r="O104" s="142" t="s">
        <v>585</v>
      </c>
      <c r="P104" s="111" t="s">
        <v>853</v>
      </c>
      <c r="Q104" s="111">
        <v>35000</v>
      </c>
      <c r="R104" s="81" t="s">
        <v>497</v>
      </c>
      <c r="S104" s="81" t="s">
        <v>185</v>
      </c>
      <c r="T104" s="81">
        <v>2019</v>
      </c>
      <c r="U104" s="81" t="s">
        <v>199</v>
      </c>
      <c r="V104" s="100" t="s">
        <v>1207</v>
      </c>
      <c r="W104" s="100" t="s">
        <v>1198</v>
      </c>
      <c r="X104" s="140" t="s">
        <v>585</v>
      </c>
      <c r="Y104" s="81"/>
      <c r="Z104" s="81" t="s">
        <v>1493</v>
      </c>
      <c r="AA104" s="81" t="s">
        <v>1493</v>
      </c>
      <c r="AB104" s="81" t="s">
        <v>1493</v>
      </c>
      <c r="AC104" s="54" t="s">
        <v>1504</v>
      </c>
    </row>
    <row r="105" spans="1:29" s="22" customFormat="1" ht="66" x14ac:dyDescent="0.3">
      <c r="A105" s="81">
        <v>5356</v>
      </c>
      <c r="B105" s="81" t="s">
        <v>0</v>
      </c>
      <c r="C105" s="140" t="s">
        <v>585</v>
      </c>
      <c r="D105" s="81" t="s">
        <v>871</v>
      </c>
      <c r="E105" s="81" t="s">
        <v>872</v>
      </c>
      <c r="F105" s="81" t="s">
        <v>901</v>
      </c>
      <c r="G105" s="81" t="s">
        <v>679</v>
      </c>
      <c r="H105" s="81" t="s">
        <v>28</v>
      </c>
      <c r="I105" s="109">
        <v>2021</v>
      </c>
      <c r="J105" s="131" t="s">
        <v>20</v>
      </c>
      <c r="K105" s="131" t="s">
        <v>20</v>
      </c>
      <c r="L105" s="54" t="s">
        <v>30</v>
      </c>
      <c r="M105" s="131" t="s">
        <v>585</v>
      </c>
      <c r="N105" s="142" t="s">
        <v>20</v>
      </c>
      <c r="O105" s="142" t="s">
        <v>585</v>
      </c>
      <c r="P105" s="142" t="s">
        <v>585</v>
      </c>
      <c r="Q105" s="142" t="s">
        <v>585</v>
      </c>
      <c r="R105" s="81" t="s">
        <v>497</v>
      </c>
      <c r="S105" s="81" t="s">
        <v>185</v>
      </c>
      <c r="T105" s="81">
        <v>2019</v>
      </c>
      <c r="U105" s="81" t="s">
        <v>199</v>
      </c>
      <c r="V105" s="100" t="s">
        <v>1208</v>
      </c>
      <c r="W105" s="100" t="s">
        <v>1209</v>
      </c>
      <c r="X105" s="140" t="s">
        <v>585</v>
      </c>
      <c r="Y105" s="81"/>
      <c r="Z105" s="81" t="s">
        <v>1493</v>
      </c>
      <c r="AA105" s="81" t="s">
        <v>1493</v>
      </c>
      <c r="AB105" s="81" t="s">
        <v>1493</v>
      </c>
      <c r="AC105" s="54" t="s">
        <v>1504</v>
      </c>
    </row>
    <row r="106" spans="1:29" s="22" customFormat="1" ht="39.6" x14ac:dyDescent="0.3">
      <c r="A106" s="81">
        <v>5357</v>
      </c>
      <c r="B106" s="81" t="s">
        <v>0</v>
      </c>
      <c r="C106" s="81" t="s">
        <v>881</v>
      </c>
      <c r="D106" s="146" t="s">
        <v>873</v>
      </c>
      <c r="E106" s="81" t="s">
        <v>874</v>
      </c>
      <c r="F106" s="81" t="s">
        <v>902</v>
      </c>
      <c r="G106" s="81" t="s">
        <v>681</v>
      </c>
      <c r="H106" s="81" t="s">
        <v>3</v>
      </c>
      <c r="I106" s="109">
        <v>2017</v>
      </c>
      <c r="J106" s="110" t="s">
        <v>20</v>
      </c>
      <c r="K106" s="110" t="s">
        <v>497</v>
      </c>
      <c r="L106" s="81" t="s">
        <v>29</v>
      </c>
      <c r="M106" s="110" t="s">
        <v>497</v>
      </c>
      <c r="N106" s="111">
        <v>320000</v>
      </c>
      <c r="O106" s="142" t="s">
        <v>585</v>
      </c>
      <c r="P106" s="111" t="s">
        <v>956</v>
      </c>
      <c r="Q106" s="142" t="s">
        <v>585</v>
      </c>
      <c r="R106" s="81" t="s">
        <v>497</v>
      </c>
      <c r="S106" s="81" t="s">
        <v>185</v>
      </c>
      <c r="T106" s="81">
        <v>2019</v>
      </c>
      <c r="U106" s="81" t="s">
        <v>199</v>
      </c>
      <c r="V106" s="145" t="s">
        <v>585</v>
      </c>
      <c r="W106" s="145" t="s">
        <v>585</v>
      </c>
      <c r="X106" s="140" t="s">
        <v>585</v>
      </c>
      <c r="Y106" s="81"/>
      <c r="Z106" s="81" t="s">
        <v>1493</v>
      </c>
      <c r="AA106" s="81" t="s">
        <v>1493</v>
      </c>
      <c r="AB106" s="81" t="s">
        <v>1502</v>
      </c>
      <c r="AC106" s="81" t="s">
        <v>497</v>
      </c>
    </row>
    <row r="107" spans="1:29" ht="38.25" customHeight="1" x14ac:dyDescent="0.3">
      <c r="A107" s="81">
        <v>5358</v>
      </c>
      <c r="B107" s="81" t="s">
        <v>0</v>
      </c>
      <c r="C107" s="140" t="s">
        <v>497</v>
      </c>
      <c r="D107" s="81" t="s">
        <v>875</v>
      </c>
      <c r="E107" s="81" t="s">
        <v>876</v>
      </c>
      <c r="F107" s="81" t="s">
        <v>903</v>
      </c>
      <c r="G107" s="81" t="s">
        <v>679</v>
      </c>
      <c r="H107" s="81" t="s">
        <v>28</v>
      </c>
      <c r="I107" s="109">
        <v>2020</v>
      </c>
      <c r="J107" s="131" t="s">
        <v>20</v>
      </c>
      <c r="K107" s="131" t="s">
        <v>20</v>
      </c>
      <c r="L107" s="54" t="s">
        <v>29</v>
      </c>
      <c r="M107" s="131" t="s">
        <v>585</v>
      </c>
      <c r="N107" s="111">
        <v>155113</v>
      </c>
      <c r="O107" s="142" t="s">
        <v>585</v>
      </c>
      <c r="P107" s="111" t="s">
        <v>877</v>
      </c>
      <c r="Q107" s="111">
        <v>70000</v>
      </c>
      <c r="R107" s="81" t="s">
        <v>399</v>
      </c>
      <c r="S107" s="81" t="s">
        <v>185</v>
      </c>
      <c r="T107" s="81">
        <v>2019</v>
      </c>
      <c r="U107" s="81" t="s">
        <v>199</v>
      </c>
      <c r="V107" s="100" t="s">
        <v>1210</v>
      </c>
      <c r="W107" s="100" t="s">
        <v>1211</v>
      </c>
      <c r="X107" s="140" t="s">
        <v>585</v>
      </c>
      <c r="Y107" s="81"/>
      <c r="Z107" s="81" t="s">
        <v>1493</v>
      </c>
      <c r="AA107" s="81" t="s">
        <v>1493</v>
      </c>
      <c r="AB107" s="81" t="s">
        <v>1493</v>
      </c>
      <c r="AC107" s="54" t="s">
        <v>1504</v>
      </c>
    </row>
    <row r="108" spans="1:29" ht="49.5" customHeight="1" x14ac:dyDescent="0.3">
      <c r="A108" s="81">
        <v>3050</v>
      </c>
      <c r="B108" s="81" t="s">
        <v>140</v>
      </c>
      <c r="C108" s="81" t="s">
        <v>533</v>
      </c>
      <c r="D108" s="146" t="s">
        <v>515</v>
      </c>
      <c r="E108" s="81" t="s">
        <v>517</v>
      </c>
      <c r="F108" s="81" t="s">
        <v>703</v>
      </c>
      <c r="G108" s="81" t="s">
        <v>492</v>
      </c>
      <c r="H108" s="81" t="s">
        <v>3</v>
      </c>
      <c r="I108" s="109">
        <v>2017</v>
      </c>
      <c r="J108" s="120" t="s">
        <v>20</v>
      </c>
      <c r="K108" s="120" t="s">
        <v>20</v>
      </c>
      <c r="L108" s="81" t="s">
        <v>29</v>
      </c>
      <c r="M108" s="110" t="s">
        <v>585</v>
      </c>
      <c r="N108" s="111">
        <v>3400000</v>
      </c>
      <c r="O108" s="142" t="s">
        <v>585</v>
      </c>
      <c r="P108" s="111" t="s">
        <v>591</v>
      </c>
      <c r="Q108" s="111">
        <v>880530</v>
      </c>
      <c r="R108" s="81" t="s">
        <v>497</v>
      </c>
      <c r="S108" s="81" t="s">
        <v>185</v>
      </c>
      <c r="T108" s="81">
        <v>2017</v>
      </c>
      <c r="U108" s="81" t="s">
        <v>199</v>
      </c>
      <c r="V108" s="100" t="s">
        <v>1212</v>
      </c>
      <c r="W108" s="100" t="s">
        <v>1213</v>
      </c>
      <c r="X108" s="140" t="s">
        <v>585</v>
      </c>
      <c r="Y108" s="81"/>
      <c r="Z108" s="81" t="s">
        <v>1492</v>
      </c>
      <c r="AA108" s="81" t="s">
        <v>1492</v>
      </c>
      <c r="AB108" s="81" t="s">
        <v>1502</v>
      </c>
      <c r="AC108" s="81" t="s">
        <v>497</v>
      </c>
    </row>
    <row r="109" spans="1:29" ht="66.75" customHeight="1" x14ac:dyDescent="0.3">
      <c r="A109" s="81">
        <v>3053</v>
      </c>
      <c r="B109" s="81" t="s">
        <v>97</v>
      </c>
      <c r="C109" s="81" t="s">
        <v>533</v>
      </c>
      <c r="D109" s="146" t="s">
        <v>519</v>
      </c>
      <c r="E109" s="81" t="s">
        <v>520</v>
      </c>
      <c r="F109" s="100" t="s">
        <v>739</v>
      </c>
      <c r="G109" s="81" t="s">
        <v>628</v>
      </c>
      <c r="H109" s="81" t="s">
        <v>3</v>
      </c>
      <c r="I109" s="109">
        <v>2018</v>
      </c>
      <c r="J109" s="131" t="s">
        <v>20</v>
      </c>
      <c r="K109" s="131" t="s">
        <v>20</v>
      </c>
      <c r="L109" s="54" t="s">
        <v>29</v>
      </c>
      <c r="M109" s="131">
        <v>75.203298000000018</v>
      </c>
      <c r="N109" s="114">
        <v>233455</v>
      </c>
      <c r="O109" s="142" t="s">
        <v>585</v>
      </c>
      <c r="P109" s="111" t="s">
        <v>705</v>
      </c>
      <c r="Q109" s="114" t="s">
        <v>810</v>
      </c>
      <c r="R109" s="81" t="s">
        <v>521</v>
      </c>
      <c r="S109" s="81" t="s">
        <v>185</v>
      </c>
      <c r="T109" s="81">
        <v>2017</v>
      </c>
      <c r="U109" s="81" t="s">
        <v>199</v>
      </c>
      <c r="V109" s="100" t="s">
        <v>1214</v>
      </c>
      <c r="W109" s="100" t="s">
        <v>1215</v>
      </c>
      <c r="X109" s="140" t="s">
        <v>20</v>
      </c>
      <c r="Y109" s="81"/>
      <c r="Z109" s="81" t="s">
        <v>1493</v>
      </c>
      <c r="AA109" s="81" t="s">
        <v>1493</v>
      </c>
      <c r="AB109" s="81" t="s">
        <v>1493</v>
      </c>
      <c r="AC109" s="54" t="s">
        <v>1504</v>
      </c>
    </row>
    <row r="110" spans="1:29" ht="46.5" customHeight="1" x14ac:dyDescent="0.3">
      <c r="A110" s="81">
        <v>3054</v>
      </c>
      <c r="B110" s="81" t="s">
        <v>51</v>
      </c>
      <c r="C110" s="81" t="s">
        <v>533</v>
      </c>
      <c r="D110" s="146" t="s">
        <v>522</v>
      </c>
      <c r="E110" s="81" t="s">
        <v>523</v>
      </c>
      <c r="F110" s="100" t="s">
        <v>740</v>
      </c>
      <c r="G110" s="81" t="s">
        <v>628</v>
      </c>
      <c r="H110" s="81" t="s">
        <v>3</v>
      </c>
      <c r="I110" s="109">
        <v>2019</v>
      </c>
      <c r="J110" s="131" t="s">
        <v>20</v>
      </c>
      <c r="K110" s="131" t="s">
        <v>20</v>
      </c>
      <c r="L110" s="54" t="s">
        <v>30</v>
      </c>
      <c r="M110" s="131">
        <v>758.06047899999999</v>
      </c>
      <c r="N110" s="114">
        <v>375250</v>
      </c>
      <c r="O110" s="142" t="s">
        <v>585</v>
      </c>
      <c r="P110" s="111" t="s">
        <v>705</v>
      </c>
      <c r="Q110" s="114" t="s">
        <v>811</v>
      </c>
      <c r="R110" s="140" t="s">
        <v>497</v>
      </c>
      <c r="S110" s="81" t="s">
        <v>185</v>
      </c>
      <c r="T110" s="81">
        <v>2017</v>
      </c>
      <c r="U110" s="81" t="s">
        <v>199</v>
      </c>
      <c r="V110" s="100" t="s">
        <v>1216</v>
      </c>
      <c r="W110" s="100" t="s">
        <v>1217</v>
      </c>
      <c r="X110" s="140" t="s">
        <v>20</v>
      </c>
      <c r="Y110" s="81"/>
      <c r="Z110" s="81" t="s">
        <v>1493</v>
      </c>
      <c r="AA110" s="81" t="s">
        <v>1493</v>
      </c>
      <c r="AB110" s="81" t="s">
        <v>1493</v>
      </c>
      <c r="AC110" s="54" t="s">
        <v>1504</v>
      </c>
    </row>
    <row r="111" spans="1:29" ht="54" customHeight="1" x14ac:dyDescent="0.3">
      <c r="A111" s="81">
        <v>3055</v>
      </c>
      <c r="B111" s="81" t="s">
        <v>51</v>
      </c>
      <c r="C111" s="81" t="s">
        <v>533</v>
      </c>
      <c r="D111" s="146" t="s">
        <v>524</v>
      </c>
      <c r="E111" s="81" t="s">
        <v>525</v>
      </c>
      <c r="F111" s="100" t="s">
        <v>741</v>
      </c>
      <c r="G111" s="81" t="s">
        <v>628</v>
      </c>
      <c r="H111" s="81" t="s">
        <v>3</v>
      </c>
      <c r="I111" s="109">
        <v>2019</v>
      </c>
      <c r="J111" s="131" t="s">
        <v>20</v>
      </c>
      <c r="K111" s="131" t="s">
        <v>20</v>
      </c>
      <c r="L111" s="54" t="s">
        <v>30</v>
      </c>
      <c r="M111" s="131">
        <v>202.25</v>
      </c>
      <c r="N111" s="114">
        <v>475125</v>
      </c>
      <c r="O111" s="142" t="s">
        <v>585</v>
      </c>
      <c r="P111" s="111" t="s">
        <v>705</v>
      </c>
      <c r="Q111" s="114" t="s">
        <v>812</v>
      </c>
      <c r="R111" s="81" t="s">
        <v>521</v>
      </c>
      <c r="S111" s="81" t="s">
        <v>185</v>
      </c>
      <c r="T111" s="81">
        <v>2017</v>
      </c>
      <c r="U111" s="81" t="s">
        <v>199</v>
      </c>
      <c r="V111" s="100" t="s">
        <v>1218</v>
      </c>
      <c r="W111" s="100" t="s">
        <v>1219</v>
      </c>
      <c r="X111" s="140" t="s">
        <v>20</v>
      </c>
      <c r="Y111" s="81"/>
      <c r="Z111" s="81" t="s">
        <v>1493</v>
      </c>
      <c r="AA111" s="81" t="s">
        <v>1493</v>
      </c>
      <c r="AB111" s="81" t="s">
        <v>1493</v>
      </c>
      <c r="AC111" s="54" t="s">
        <v>1504</v>
      </c>
    </row>
    <row r="112" spans="1:29" ht="52.8" x14ac:dyDescent="0.3">
      <c r="A112" s="81">
        <v>3056</v>
      </c>
      <c r="B112" s="81" t="s">
        <v>51</v>
      </c>
      <c r="C112" s="81" t="s">
        <v>533</v>
      </c>
      <c r="D112" s="146" t="s">
        <v>526</v>
      </c>
      <c r="E112" s="81" t="s">
        <v>527</v>
      </c>
      <c r="F112" s="100" t="s">
        <v>742</v>
      </c>
      <c r="G112" s="81" t="s">
        <v>628</v>
      </c>
      <c r="H112" s="81" t="s">
        <v>3</v>
      </c>
      <c r="I112" s="109">
        <v>2019</v>
      </c>
      <c r="J112" s="131" t="s">
        <v>20</v>
      </c>
      <c r="K112" s="131" t="s">
        <v>20</v>
      </c>
      <c r="L112" s="54" t="s">
        <v>30</v>
      </c>
      <c r="M112" s="131">
        <v>554.79999999999995</v>
      </c>
      <c r="N112" s="114">
        <v>375250</v>
      </c>
      <c r="O112" s="142" t="s">
        <v>585</v>
      </c>
      <c r="P112" s="111" t="s">
        <v>705</v>
      </c>
      <c r="Q112" s="114" t="s">
        <v>813</v>
      </c>
      <c r="R112" s="140" t="s">
        <v>497</v>
      </c>
      <c r="S112" s="81" t="s">
        <v>185</v>
      </c>
      <c r="T112" s="81">
        <v>2017</v>
      </c>
      <c r="U112" s="81" t="s">
        <v>199</v>
      </c>
      <c r="V112" s="100" t="s">
        <v>1220</v>
      </c>
      <c r="W112" s="100" t="s">
        <v>1221</v>
      </c>
      <c r="X112" s="140" t="s">
        <v>20</v>
      </c>
      <c r="Y112" s="81"/>
      <c r="Z112" s="81" t="s">
        <v>1493</v>
      </c>
      <c r="AA112" s="81" t="s">
        <v>1493</v>
      </c>
      <c r="AB112" s="81" t="s">
        <v>1493</v>
      </c>
      <c r="AC112" s="54" t="s">
        <v>1504</v>
      </c>
    </row>
    <row r="113" spans="1:29" ht="25.5" customHeight="1" x14ac:dyDescent="0.3">
      <c r="A113" s="81">
        <v>3057</v>
      </c>
      <c r="B113" s="81" t="s">
        <v>119</v>
      </c>
      <c r="C113" s="81" t="s">
        <v>533</v>
      </c>
      <c r="D113" s="81" t="s">
        <v>528</v>
      </c>
      <c r="E113" s="81" t="s">
        <v>529</v>
      </c>
      <c r="F113" s="100" t="s">
        <v>743</v>
      </c>
      <c r="G113" s="81" t="s">
        <v>628</v>
      </c>
      <c r="H113" s="81" t="s">
        <v>28</v>
      </c>
      <c r="I113" s="109">
        <v>2019</v>
      </c>
      <c r="J113" s="131">
        <v>726.4</v>
      </c>
      <c r="K113" s="131">
        <v>146.5</v>
      </c>
      <c r="L113" s="54" t="s">
        <v>29</v>
      </c>
      <c r="M113" s="131">
        <v>515.41</v>
      </c>
      <c r="N113" s="114">
        <v>347781</v>
      </c>
      <c r="O113" s="142" t="s">
        <v>585</v>
      </c>
      <c r="P113" s="111" t="s">
        <v>592</v>
      </c>
      <c r="Q113" s="114">
        <v>347781</v>
      </c>
      <c r="R113" s="81" t="s">
        <v>497</v>
      </c>
      <c r="S113" s="81" t="s">
        <v>185</v>
      </c>
      <c r="T113" s="81">
        <v>2017</v>
      </c>
      <c r="U113" s="81" t="s">
        <v>199</v>
      </c>
      <c r="V113" s="100" t="s">
        <v>1222</v>
      </c>
      <c r="W113" s="100" t="s">
        <v>1223</v>
      </c>
      <c r="X113" s="140" t="s">
        <v>20</v>
      </c>
      <c r="Y113" s="81"/>
      <c r="Z113" s="81" t="s">
        <v>1493</v>
      </c>
      <c r="AA113" s="81" t="s">
        <v>1493</v>
      </c>
      <c r="AB113" s="81" t="s">
        <v>1493</v>
      </c>
      <c r="AC113" s="54" t="s">
        <v>1504</v>
      </c>
    </row>
    <row r="114" spans="1:29" ht="25.5" customHeight="1" x14ac:dyDescent="0.3">
      <c r="A114" s="81">
        <v>3073</v>
      </c>
      <c r="B114" s="81" t="s">
        <v>119</v>
      </c>
      <c r="C114" s="81" t="s">
        <v>533</v>
      </c>
      <c r="D114" s="146" t="s">
        <v>530</v>
      </c>
      <c r="E114" s="81" t="s">
        <v>531</v>
      </c>
      <c r="F114" s="100" t="s">
        <v>744</v>
      </c>
      <c r="G114" s="81" t="s">
        <v>628</v>
      </c>
      <c r="H114" s="81" t="s">
        <v>388</v>
      </c>
      <c r="I114" s="109">
        <v>2019</v>
      </c>
      <c r="J114" s="131">
        <v>623.4</v>
      </c>
      <c r="K114" s="131">
        <v>131.6</v>
      </c>
      <c r="L114" s="54" t="s">
        <v>29</v>
      </c>
      <c r="M114" s="131">
        <v>422.95180000000005</v>
      </c>
      <c r="N114" s="111">
        <v>322200</v>
      </c>
      <c r="O114" s="142" t="s">
        <v>585</v>
      </c>
      <c r="P114" s="111" t="s">
        <v>592</v>
      </c>
      <c r="Q114" s="114">
        <v>322200</v>
      </c>
      <c r="R114" s="81" t="s">
        <v>497</v>
      </c>
      <c r="S114" s="81" t="s">
        <v>185</v>
      </c>
      <c r="T114" s="81">
        <v>2017</v>
      </c>
      <c r="U114" s="81" t="s">
        <v>199</v>
      </c>
      <c r="V114" s="145" t="s">
        <v>585</v>
      </c>
      <c r="W114" s="145" t="s">
        <v>585</v>
      </c>
      <c r="X114" s="140" t="s">
        <v>20</v>
      </c>
      <c r="Y114" s="81"/>
      <c r="Z114" s="81" t="s">
        <v>1493</v>
      </c>
      <c r="AA114" s="81" t="s">
        <v>1493</v>
      </c>
      <c r="AB114" s="81" t="s">
        <v>1493</v>
      </c>
      <c r="AC114" s="54" t="s">
        <v>1504</v>
      </c>
    </row>
    <row r="115" spans="1:29" ht="38.25" customHeight="1" x14ac:dyDescent="0.3">
      <c r="A115" s="81">
        <v>3046</v>
      </c>
      <c r="B115" s="81" t="s">
        <v>51</v>
      </c>
      <c r="C115" s="81" t="s">
        <v>533</v>
      </c>
      <c r="D115" s="81" t="s">
        <v>534</v>
      </c>
      <c r="E115" s="81" t="s">
        <v>535</v>
      </c>
      <c r="F115" s="100" t="s">
        <v>746</v>
      </c>
      <c r="G115" s="81" t="s">
        <v>565</v>
      </c>
      <c r="H115" s="81" t="s">
        <v>388</v>
      </c>
      <c r="I115" s="109">
        <v>2022</v>
      </c>
      <c r="J115" s="110" t="s">
        <v>20</v>
      </c>
      <c r="K115" s="110" t="s">
        <v>497</v>
      </c>
      <c r="L115" s="81" t="s">
        <v>30</v>
      </c>
      <c r="M115" s="110" t="s">
        <v>585</v>
      </c>
      <c r="N115" s="111">
        <v>8000000</v>
      </c>
      <c r="O115" s="142" t="s">
        <v>585</v>
      </c>
      <c r="P115" s="111" t="s">
        <v>592</v>
      </c>
      <c r="Q115" s="114">
        <v>8000000</v>
      </c>
      <c r="R115" s="81" t="s">
        <v>497</v>
      </c>
      <c r="S115" s="81" t="s">
        <v>185</v>
      </c>
      <c r="T115" s="81">
        <v>2017</v>
      </c>
      <c r="U115" s="81" t="s">
        <v>199</v>
      </c>
      <c r="V115" s="100" t="s">
        <v>1224</v>
      </c>
      <c r="W115" s="100" t="s">
        <v>1225</v>
      </c>
      <c r="X115" s="140" t="s">
        <v>20</v>
      </c>
      <c r="Y115" s="81"/>
      <c r="Z115" s="81" t="s">
        <v>1492</v>
      </c>
      <c r="AA115" s="81" t="s">
        <v>1492</v>
      </c>
      <c r="AB115" s="81" t="s">
        <v>1502</v>
      </c>
      <c r="AC115" s="10" t="s">
        <v>497</v>
      </c>
    </row>
    <row r="116" spans="1:29" ht="38.25" customHeight="1" x14ac:dyDescent="0.3">
      <c r="A116" s="81">
        <v>3061</v>
      </c>
      <c r="B116" s="81" t="s">
        <v>119</v>
      </c>
      <c r="C116" s="81" t="s">
        <v>533</v>
      </c>
      <c r="D116" s="81" t="s">
        <v>536</v>
      </c>
      <c r="E116" s="81" t="s">
        <v>790</v>
      </c>
      <c r="F116" s="100" t="s">
        <v>747</v>
      </c>
      <c r="G116" s="81" t="s">
        <v>225</v>
      </c>
      <c r="H116" s="81" t="s">
        <v>388</v>
      </c>
      <c r="I116" s="109">
        <v>2020</v>
      </c>
      <c r="J116" s="131">
        <v>2.1</v>
      </c>
      <c r="K116" s="131">
        <v>0.5</v>
      </c>
      <c r="L116" s="54" t="s">
        <v>29</v>
      </c>
      <c r="M116" s="131" t="s">
        <v>585</v>
      </c>
      <c r="N116" s="111">
        <v>18344</v>
      </c>
      <c r="O116" s="142" t="s">
        <v>585</v>
      </c>
      <c r="P116" s="111" t="s">
        <v>592</v>
      </c>
      <c r="Q116" s="114">
        <v>18344</v>
      </c>
      <c r="R116" s="81" t="s">
        <v>497</v>
      </c>
      <c r="S116" s="81" t="s">
        <v>185</v>
      </c>
      <c r="T116" s="81">
        <v>2017</v>
      </c>
      <c r="U116" s="81" t="s">
        <v>199</v>
      </c>
      <c r="V116" s="100" t="s">
        <v>1226</v>
      </c>
      <c r="W116" s="100" t="s">
        <v>1190</v>
      </c>
      <c r="X116" s="140" t="s">
        <v>20</v>
      </c>
      <c r="Y116" s="81"/>
      <c r="Z116" s="81" t="s">
        <v>1493</v>
      </c>
      <c r="AA116" s="81" t="s">
        <v>1493</v>
      </c>
      <c r="AB116" s="81" t="s">
        <v>1493</v>
      </c>
      <c r="AC116" s="54" t="s">
        <v>1504</v>
      </c>
    </row>
    <row r="117" spans="1:29" ht="25.5" customHeight="1" x14ac:dyDescent="0.3">
      <c r="A117" s="81">
        <v>5370</v>
      </c>
      <c r="B117" s="81" t="s">
        <v>51</v>
      </c>
      <c r="C117" s="81" t="s">
        <v>533</v>
      </c>
      <c r="D117" s="146" t="s">
        <v>854</v>
      </c>
      <c r="E117" s="81" t="s">
        <v>855</v>
      </c>
      <c r="F117" s="81" t="s">
        <v>856</v>
      </c>
      <c r="G117" s="81" t="s">
        <v>630</v>
      </c>
      <c r="H117" s="81" t="s">
        <v>3</v>
      </c>
      <c r="I117" s="109">
        <v>2019</v>
      </c>
      <c r="J117" s="131" t="s">
        <v>20</v>
      </c>
      <c r="K117" s="131" t="s">
        <v>20</v>
      </c>
      <c r="L117" s="54" t="s">
        <v>30</v>
      </c>
      <c r="M117" s="131">
        <v>750</v>
      </c>
      <c r="N117" s="111">
        <v>35000</v>
      </c>
      <c r="O117" s="142" t="s">
        <v>585</v>
      </c>
      <c r="P117" s="111" t="s">
        <v>533</v>
      </c>
      <c r="Q117" s="111" t="s">
        <v>958</v>
      </c>
      <c r="R117" s="81" t="s">
        <v>497</v>
      </c>
      <c r="S117" s="81" t="s">
        <v>185</v>
      </c>
      <c r="T117" s="81">
        <v>2019</v>
      </c>
      <c r="U117" s="81" t="s">
        <v>199</v>
      </c>
      <c r="V117" s="100" t="s">
        <v>1227</v>
      </c>
      <c r="W117" s="100" t="s">
        <v>1228</v>
      </c>
      <c r="X117" s="140"/>
      <c r="Y117" s="81"/>
      <c r="Z117" s="81" t="s">
        <v>1493</v>
      </c>
      <c r="AA117" s="81" t="s">
        <v>1493</v>
      </c>
      <c r="AB117" s="81" t="s">
        <v>1493</v>
      </c>
      <c r="AC117" s="54" t="s">
        <v>1504</v>
      </c>
    </row>
    <row r="118" spans="1:29" ht="38.25" customHeight="1" x14ac:dyDescent="0.3">
      <c r="A118" s="81">
        <v>3072</v>
      </c>
      <c r="B118" s="81" t="s">
        <v>97</v>
      </c>
      <c r="C118" s="81" t="s">
        <v>400</v>
      </c>
      <c r="D118" s="81" t="s">
        <v>313</v>
      </c>
      <c r="E118" s="81" t="s">
        <v>98</v>
      </c>
      <c r="F118" s="100" t="s">
        <v>749</v>
      </c>
      <c r="G118" s="81" t="s">
        <v>229</v>
      </c>
      <c r="H118" s="81" t="s">
        <v>3</v>
      </c>
      <c r="I118" s="109">
        <v>2014</v>
      </c>
      <c r="J118" s="132">
        <v>2328</v>
      </c>
      <c r="K118" s="132">
        <v>1049.5999999999999</v>
      </c>
      <c r="L118" s="54" t="s">
        <v>29</v>
      </c>
      <c r="M118" s="131">
        <v>591.79999999999995</v>
      </c>
      <c r="N118" s="111">
        <v>35000</v>
      </c>
      <c r="O118" s="111">
        <v>12000</v>
      </c>
      <c r="P118" s="111" t="s">
        <v>594</v>
      </c>
      <c r="Q118" s="111" t="s">
        <v>644</v>
      </c>
      <c r="R118" s="81" t="s">
        <v>497</v>
      </c>
      <c r="S118" s="81" t="s">
        <v>185</v>
      </c>
      <c r="T118" s="81">
        <v>2013</v>
      </c>
      <c r="U118" s="81" t="s">
        <v>199</v>
      </c>
      <c r="V118" s="125" t="s">
        <v>1229</v>
      </c>
      <c r="W118" s="125" t="s">
        <v>1230</v>
      </c>
      <c r="X118" s="140" t="s">
        <v>585</v>
      </c>
      <c r="Y118" s="81"/>
      <c r="Z118" s="81" t="s">
        <v>1493</v>
      </c>
      <c r="AA118" s="81" t="s">
        <v>1493</v>
      </c>
      <c r="AB118" s="81" t="s">
        <v>1493</v>
      </c>
      <c r="AC118" s="54" t="s">
        <v>1504</v>
      </c>
    </row>
    <row r="119" spans="1:29" ht="52.8" x14ac:dyDescent="0.3">
      <c r="A119" s="81">
        <v>2999</v>
      </c>
      <c r="B119" s="81" t="s">
        <v>97</v>
      </c>
      <c r="C119" s="81" t="s">
        <v>400</v>
      </c>
      <c r="D119" s="81" t="s">
        <v>314</v>
      </c>
      <c r="E119" s="81" t="s">
        <v>100</v>
      </c>
      <c r="F119" s="81" t="s">
        <v>427</v>
      </c>
      <c r="G119" s="81" t="s">
        <v>229</v>
      </c>
      <c r="H119" s="81" t="s">
        <v>3</v>
      </c>
      <c r="I119" s="109">
        <v>2014</v>
      </c>
      <c r="J119" s="132">
        <v>156</v>
      </c>
      <c r="K119" s="132">
        <v>41.8</v>
      </c>
      <c r="L119" s="54" t="s">
        <v>29</v>
      </c>
      <c r="M119" s="131">
        <v>775.2</v>
      </c>
      <c r="N119" s="111">
        <v>570762</v>
      </c>
      <c r="O119" s="111">
        <v>5000</v>
      </c>
      <c r="P119" s="111" t="s">
        <v>594</v>
      </c>
      <c r="Q119" s="111" t="s">
        <v>645</v>
      </c>
      <c r="R119" s="81" t="s">
        <v>497</v>
      </c>
      <c r="S119" s="81" t="s">
        <v>185</v>
      </c>
      <c r="T119" s="81">
        <v>2013</v>
      </c>
      <c r="U119" s="81" t="s">
        <v>199</v>
      </c>
      <c r="V119" s="125" t="s">
        <v>1231</v>
      </c>
      <c r="W119" s="125" t="s">
        <v>1232</v>
      </c>
      <c r="X119" s="140" t="s">
        <v>585</v>
      </c>
      <c r="Y119" s="81"/>
      <c r="Z119" s="81" t="s">
        <v>1493</v>
      </c>
      <c r="AA119" s="81" t="s">
        <v>1493</v>
      </c>
      <c r="AB119" s="81" t="s">
        <v>1493</v>
      </c>
      <c r="AC119" s="54" t="s">
        <v>1504</v>
      </c>
    </row>
    <row r="120" spans="1:29" ht="25.5" customHeight="1" x14ac:dyDescent="0.3">
      <c r="A120" s="81">
        <v>3204</v>
      </c>
      <c r="B120" s="81" t="s">
        <v>97</v>
      </c>
      <c r="C120" s="81" t="s">
        <v>648</v>
      </c>
      <c r="D120" s="81" t="s">
        <v>315</v>
      </c>
      <c r="E120" s="81" t="s">
        <v>101</v>
      </c>
      <c r="F120" s="81" t="s">
        <v>647</v>
      </c>
      <c r="G120" s="81" t="s">
        <v>225</v>
      </c>
      <c r="H120" s="81" t="s">
        <v>3</v>
      </c>
      <c r="I120" s="109">
        <v>2018</v>
      </c>
      <c r="J120" s="132">
        <v>37</v>
      </c>
      <c r="K120" s="132">
        <v>6.9</v>
      </c>
      <c r="L120" s="54" t="s">
        <v>29</v>
      </c>
      <c r="M120" s="131">
        <v>13.5</v>
      </c>
      <c r="N120" s="111">
        <v>330000</v>
      </c>
      <c r="O120" s="111">
        <v>35000</v>
      </c>
      <c r="P120" s="111" t="s">
        <v>594</v>
      </c>
      <c r="Q120" s="111" t="s">
        <v>646</v>
      </c>
      <c r="R120" s="81" t="s">
        <v>305</v>
      </c>
      <c r="S120" s="81" t="s">
        <v>185</v>
      </c>
      <c r="T120" s="81">
        <v>2013</v>
      </c>
      <c r="U120" s="81" t="s">
        <v>199</v>
      </c>
      <c r="V120" s="125" t="s">
        <v>1233</v>
      </c>
      <c r="W120" s="125" t="s">
        <v>1234</v>
      </c>
      <c r="X120" s="81">
        <v>2014</v>
      </c>
      <c r="Y120" s="81"/>
      <c r="Z120" s="81" t="s">
        <v>1493</v>
      </c>
      <c r="AA120" s="81" t="s">
        <v>1493</v>
      </c>
      <c r="AB120" s="81" t="s">
        <v>1493</v>
      </c>
      <c r="AC120" s="54" t="s">
        <v>1504</v>
      </c>
    </row>
    <row r="121" spans="1:29" ht="38.25" customHeight="1" x14ac:dyDescent="0.3">
      <c r="A121" s="81">
        <v>3162</v>
      </c>
      <c r="B121" s="81" t="s">
        <v>97</v>
      </c>
      <c r="C121" s="81" t="s">
        <v>553</v>
      </c>
      <c r="D121" s="146" t="s">
        <v>316</v>
      </c>
      <c r="E121" s="81" t="s">
        <v>102</v>
      </c>
      <c r="F121" s="81" t="s">
        <v>428</v>
      </c>
      <c r="G121" s="81" t="s">
        <v>229</v>
      </c>
      <c r="H121" s="81" t="s">
        <v>3</v>
      </c>
      <c r="I121" s="109">
        <v>2014</v>
      </c>
      <c r="J121" s="132">
        <v>128</v>
      </c>
      <c r="K121" s="132">
        <v>46.7</v>
      </c>
      <c r="L121" s="54" t="s">
        <v>29</v>
      </c>
      <c r="M121" s="131">
        <v>16.2</v>
      </c>
      <c r="N121" s="111">
        <v>247480</v>
      </c>
      <c r="O121" s="142" t="s">
        <v>497</v>
      </c>
      <c r="P121" s="111" t="s">
        <v>140</v>
      </c>
      <c r="Q121" s="142" t="s">
        <v>497</v>
      </c>
      <c r="R121" s="81" t="s">
        <v>497</v>
      </c>
      <c r="S121" s="81" t="s">
        <v>185</v>
      </c>
      <c r="T121" s="81">
        <v>2013</v>
      </c>
      <c r="U121" s="81" t="s">
        <v>199</v>
      </c>
      <c r="V121" s="100" t="s">
        <v>1235</v>
      </c>
      <c r="W121" s="100" t="s">
        <v>1236</v>
      </c>
      <c r="X121" s="140" t="s">
        <v>585</v>
      </c>
      <c r="Y121" s="81"/>
      <c r="Z121" s="81" t="s">
        <v>1493</v>
      </c>
      <c r="AA121" s="81" t="s">
        <v>1493</v>
      </c>
      <c r="AB121" s="81" t="s">
        <v>1493</v>
      </c>
      <c r="AC121" s="54" t="s">
        <v>1504</v>
      </c>
    </row>
    <row r="122" spans="1:29" s="17" customFormat="1" ht="39.6" x14ac:dyDescent="0.3">
      <c r="A122" s="81">
        <v>2778</v>
      </c>
      <c r="B122" s="81" t="s">
        <v>97</v>
      </c>
      <c r="C122" s="140" t="s">
        <v>497</v>
      </c>
      <c r="D122" s="146" t="s">
        <v>317</v>
      </c>
      <c r="E122" s="81" t="s">
        <v>103</v>
      </c>
      <c r="F122" s="81" t="s">
        <v>655</v>
      </c>
      <c r="G122" s="100" t="s">
        <v>734</v>
      </c>
      <c r="H122" s="81" t="s">
        <v>3</v>
      </c>
      <c r="I122" s="109">
        <v>2014</v>
      </c>
      <c r="J122" s="132">
        <v>0</v>
      </c>
      <c r="K122" s="132">
        <v>4.8</v>
      </c>
      <c r="L122" s="54" t="s">
        <v>29</v>
      </c>
      <c r="M122" s="131">
        <v>11.3</v>
      </c>
      <c r="N122" s="142" t="s">
        <v>497</v>
      </c>
      <c r="O122" s="142" t="s">
        <v>497</v>
      </c>
      <c r="P122" s="111" t="s">
        <v>51</v>
      </c>
      <c r="Q122" s="142" t="s">
        <v>497</v>
      </c>
      <c r="R122" s="81" t="s">
        <v>497</v>
      </c>
      <c r="S122" s="81" t="s">
        <v>185</v>
      </c>
      <c r="T122" s="81">
        <v>2013</v>
      </c>
      <c r="U122" s="81" t="s">
        <v>199</v>
      </c>
      <c r="V122" s="100" t="s">
        <v>1237</v>
      </c>
      <c r="W122" s="100" t="s">
        <v>1238</v>
      </c>
      <c r="X122" s="140" t="s">
        <v>585</v>
      </c>
      <c r="Y122" s="81"/>
      <c r="Z122" s="81" t="s">
        <v>1493</v>
      </c>
      <c r="AA122" s="81" t="s">
        <v>1493</v>
      </c>
      <c r="AB122" s="81" t="s">
        <v>1493</v>
      </c>
      <c r="AC122" s="54" t="s">
        <v>1504</v>
      </c>
    </row>
    <row r="123" spans="1:29" s="17" customFormat="1" ht="57.75" customHeight="1" x14ac:dyDescent="0.3">
      <c r="A123" s="81">
        <v>2766</v>
      </c>
      <c r="B123" s="81" t="s">
        <v>97</v>
      </c>
      <c r="C123" s="81" t="s">
        <v>400</v>
      </c>
      <c r="D123" s="81" t="s">
        <v>318</v>
      </c>
      <c r="E123" s="81" t="s">
        <v>104</v>
      </c>
      <c r="F123" s="81" t="s">
        <v>656</v>
      </c>
      <c r="G123" s="122" t="s">
        <v>224</v>
      </c>
      <c r="H123" s="81" t="s">
        <v>3</v>
      </c>
      <c r="I123" s="109">
        <v>2014</v>
      </c>
      <c r="J123" s="132">
        <v>42</v>
      </c>
      <c r="K123" s="132">
        <v>2.4</v>
      </c>
      <c r="L123" s="54" t="s">
        <v>29</v>
      </c>
      <c r="M123" s="131">
        <v>33.9</v>
      </c>
      <c r="N123" s="111">
        <v>330000</v>
      </c>
      <c r="O123" s="111">
        <v>5000</v>
      </c>
      <c r="P123" s="111" t="s">
        <v>552</v>
      </c>
      <c r="Q123" s="111" t="s">
        <v>644</v>
      </c>
      <c r="R123" s="81" t="s">
        <v>497</v>
      </c>
      <c r="S123" s="81" t="s">
        <v>185</v>
      </c>
      <c r="T123" s="81">
        <v>2013</v>
      </c>
      <c r="U123" s="81" t="s">
        <v>199</v>
      </c>
      <c r="V123" s="125" t="s">
        <v>1239</v>
      </c>
      <c r="W123" s="125" t="s">
        <v>1240</v>
      </c>
      <c r="X123" s="140" t="s">
        <v>585</v>
      </c>
      <c r="Y123" s="81"/>
      <c r="Z123" s="81" t="s">
        <v>1493</v>
      </c>
      <c r="AA123" s="81" t="s">
        <v>1493</v>
      </c>
      <c r="AB123" s="81" t="s">
        <v>1493</v>
      </c>
      <c r="AC123" s="54" t="s">
        <v>1504</v>
      </c>
    </row>
    <row r="124" spans="1:29" ht="38.25" customHeight="1" x14ac:dyDescent="0.3">
      <c r="A124" s="81">
        <v>2765</v>
      </c>
      <c r="B124" s="81" t="s">
        <v>97</v>
      </c>
      <c r="C124" s="140" t="s">
        <v>497</v>
      </c>
      <c r="D124" s="146" t="s">
        <v>319</v>
      </c>
      <c r="E124" s="81" t="s">
        <v>657</v>
      </c>
      <c r="F124" s="81" t="s">
        <v>429</v>
      </c>
      <c r="G124" s="81" t="s">
        <v>628</v>
      </c>
      <c r="H124" s="81" t="s">
        <v>3</v>
      </c>
      <c r="I124" s="109">
        <v>2014</v>
      </c>
      <c r="J124" s="132">
        <v>7</v>
      </c>
      <c r="K124" s="132">
        <v>0.7</v>
      </c>
      <c r="L124" s="54" t="s">
        <v>29</v>
      </c>
      <c r="M124" s="131">
        <v>5.9</v>
      </c>
      <c r="N124" s="111">
        <v>80000</v>
      </c>
      <c r="O124" s="111">
        <v>3500</v>
      </c>
      <c r="P124" s="111" t="s">
        <v>552</v>
      </c>
      <c r="Q124" s="111" t="s">
        <v>816</v>
      </c>
      <c r="R124" s="81" t="s">
        <v>497</v>
      </c>
      <c r="S124" s="81" t="s">
        <v>185</v>
      </c>
      <c r="T124" s="81">
        <v>2013</v>
      </c>
      <c r="U124" s="81" t="s">
        <v>199</v>
      </c>
      <c r="V124" s="100" t="s">
        <v>1241</v>
      </c>
      <c r="W124" s="100" t="s">
        <v>1242</v>
      </c>
      <c r="X124" s="140" t="s">
        <v>585</v>
      </c>
      <c r="Y124" s="81"/>
      <c r="Z124" s="81" t="s">
        <v>1493</v>
      </c>
      <c r="AA124" s="81" t="s">
        <v>1493</v>
      </c>
      <c r="AB124" s="81" t="s">
        <v>1493</v>
      </c>
      <c r="AC124" s="54" t="s">
        <v>1504</v>
      </c>
    </row>
    <row r="125" spans="1:29" ht="38.25" customHeight="1" x14ac:dyDescent="0.3">
      <c r="A125" s="81">
        <v>2764</v>
      </c>
      <c r="B125" s="81" t="s">
        <v>97</v>
      </c>
      <c r="C125" s="140" t="s">
        <v>497</v>
      </c>
      <c r="D125" s="146" t="s">
        <v>320</v>
      </c>
      <c r="E125" s="81" t="s">
        <v>4</v>
      </c>
      <c r="F125" s="81" t="s">
        <v>658</v>
      </c>
      <c r="G125" s="81" t="s">
        <v>4</v>
      </c>
      <c r="H125" s="81" t="s">
        <v>1517</v>
      </c>
      <c r="I125" s="141" t="s">
        <v>497</v>
      </c>
      <c r="J125" s="132">
        <v>405</v>
      </c>
      <c r="K125" s="132">
        <v>260</v>
      </c>
      <c r="L125" s="54" t="s">
        <v>29</v>
      </c>
      <c r="M125" s="131" t="s">
        <v>497</v>
      </c>
      <c r="N125" s="111">
        <v>80000</v>
      </c>
      <c r="O125" s="111">
        <v>100000</v>
      </c>
      <c r="P125" s="111" t="s">
        <v>552</v>
      </c>
      <c r="Q125" s="142" t="s">
        <v>497</v>
      </c>
      <c r="R125" s="81" t="s">
        <v>497</v>
      </c>
      <c r="S125" s="81" t="s">
        <v>184</v>
      </c>
      <c r="T125" s="81">
        <v>2013</v>
      </c>
      <c r="U125" s="81" t="s">
        <v>199</v>
      </c>
      <c r="V125" s="145" t="s">
        <v>497</v>
      </c>
      <c r="W125" s="145" t="s">
        <v>497</v>
      </c>
      <c r="X125" s="140" t="s">
        <v>585</v>
      </c>
      <c r="Y125" s="81"/>
      <c r="Z125" s="81" t="s">
        <v>1492</v>
      </c>
      <c r="AA125" s="81" t="s">
        <v>1492</v>
      </c>
      <c r="AB125" s="81" t="s">
        <v>1498</v>
      </c>
      <c r="AC125" s="54" t="s">
        <v>1499</v>
      </c>
    </row>
    <row r="126" spans="1:29" ht="38.25" customHeight="1" x14ac:dyDescent="0.3">
      <c r="A126" s="81">
        <v>2763</v>
      </c>
      <c r="B126" s="81" t="s">
        <v>97</v>
      </c>
      <c r="C126" s="140" t="s">
        <v>497</v>
      </c>
      <c r="D126" s="146" t="s">
        <v>321</v>
      </c>
      <c r="E126" s="81" t="s">
        <v>105</v>
      </c>
      <c r="F126" s="81" t="s">
        <v>430</v>
      </c>
      <c r="G126" s="81" t="s">
        <v>431</v>
      </c>
      <c r="H126" s="81" t="s">
        <v>3</v>
      </c>
      <c r="I126" s="109">
        <v>2014</v>
      </c>
      <c r="J126" s="133">
        <v>1102</v>
      </c>
      <c r="K126" s="133">
        <v>107.6</v>
      </c>
      <c r="L126" s="54" t="s">
        <v>29</v>
      </c>
      <c r="M126" s="143" t="s">
        <v>497</v>
      </c>
      <c r="N126" s="111">
        <v>1200000</v>
      </c>
      <c r="O126" s="142" t="s">
        <v>497</v>
      </c>
      <c r="P126" s="111" t="s">
        <v>552</v>
      </c>
      <c r="Q126" s="111" t="s">
        <v>817</v>
      </c>
      <c r="R126" s="81" t="s">
        <v>497</v>
      </c>
      <c r="S126" s="81" t="s">
        <v>185</v>
      </c>
      <c r="T126" s="81">
        <v>2013</v>
      </c>
      <c r="U126" s="81" t="s">
        <v>199</v>
      </c>
      <c r="V126" s="125" t="s">
        <v>1243</v>
      </c>
      <c r="W126" s="125" t="s">
        <v>1244</v>
      </c>
      <c r="X126" s="140" t="s">
        <v>585</v>
      </c>
      <c r="Y126" s="81"/>
      <c r="Z126" s="140" t="s">
        <v>1492</v>
      </c>
      <c r="AA126" s="81" t="s">
        <v>1492</v>
      </c>
      <c r="AB126" s="81" t="s">
        <v>1493</v>
      </c>
      <c r="AC126" s="107" t="s">
        <v>1503</v>
      </c>
    </row>
    <row r="127" spans="1:29" ht="38.25" customHeight="1" x14ac:dyDescent="0.3">
      <c r="A127" s="81">
        <v>2762</v>
      </c>
      <c r="B127" s="81" t="s">
        <v>97</v>
      </c>
      <c r="C127" s="81" t="s">
        <v>649</v>
      </c>
      <c r="D127" s="81" t="s">
        <v>18</v>
      </c>
      <c r="E127" s="81" t="s">
        <v>99</v>
      </c>
      <c r="F127" s="81" t="s">
        <v>659</v>
      </c>
      <c r="G127" s="81" t="s">
        <v>229</v>
      </c>
      <c r="H127" s="81" t="s">
        <v>3</v>
      </c>
      <c r="I127" s="109">
        <v>2011</v>
      </c>
      <c r="J127" s="132">
        <v>108</v>
      </c>
      <c r="K127" s="132">
        <v>0</v>
      </c>
      <c r="L127" s="54" t="s">
        <v>29</v>
      </c>
      <c r="M127" s="131">
        <v>95.4</v>
      </c>
      <c r="N127" s="111">
        <v>210000</v>
      </c>
      <c r="O127" s="111">
        <v>2500</v>
      </c>
      <c r="P127" s="111" t="s">
        <v>552</v>
      </c>
      <c r="Q127" s="111" t="s">
        <v>818</v>
      </c>
      <c r="R127" s="81" t="s">
        <v>497</v>
      </c>
      <c r="S127" s="81" t="s">
        <v>185</v>
      </c>
      <c r="T127" s="81">
        <v>2013</v>
      </c>
      <c r="U127" s="81" t="s">
        <v>199</v>
      </c>
      <c r="V127" s="100" t="s">
        <v>1245</v>
      </c>
      <c r="W127" s="100" t="s">
        <v>1246</v>
      </c>
      <c r="X127" s="140" t="s">
        <v>585</v>
      </c>
      <c r="Y127" s="81"/>
      <c r="Z127" s="81" t="s">
        <v>1493</v>
      </c>
      <c r="AA127" s="81" t="s">
        <v>1493</v>
      </c>
      <c r="AB127" s="81" t="s">
        <v>1493</v>
      </c>
      <c r="AC127" s="54" t="s">
        <v>1504</v>
      </c>
    </row>
    <row r="128" spans="1:29" ht="38.25" customHeight="1" x14ac:dyDescent="0.3">
      <c r="A128" s="81">
        <v>2761</v>
      </c>
      <c r="B128" s="81" t="s">
        <v>97</v>
      </c>
      <c r="C128" s="140" t="s">
        <v>497</v>
      </c>
      <c r="D128" s="146" t="s">
        <v>19</v>
      </c>
      <c r="E128" s="81" t="s">
        <v>1</v>
      </c>
      <c r="F128" s="81" t="s">
        <v>432</v>
      </c>
      <c r="G128" s="81" t="s">
        <v>1</v>
      </c>
      <c r="H128" s="81" t="s">
        <v>1517</v>
      </c>
      <c r="I128" s="141" t="s">
        <v>497</v>
      </c>
      <c r="J128" s="132">
        <v>128</v>
      </c>
      <c r="K128" s="132">
        <v>25.8</v>
      </c>
      <c r="L128" s="54" t="s">
        <v>29</v>
      </c>
      <c r="M128" s="131" t="s">
        <v>497</v>
      </c>
      <c r="N128" s="142" t="s">
        <v>497</v>
      </c>
      <c r="O128" s="142" t="s">
        <v>497</v>
      </c>
      <c r="P128" s="111" t="s">
        <v>552</v>
      </c>
      <c r="Q128" s="142" t="s">
        <v>497</v>
      </c>
      <c r="R128" s="81" t="s">
        <v>497</v>
      </c>
      <c r="S128" s="81" t="s">
        <v>184</v>
      </c>
      <c r="T128" s="81">
        <v>2014</v>
      </c>
      <c r="U128" s="81" t="s">
        <v>199</v>
      </c>
      <c r="V128" s="145" t="s">
        <v>497</v>
      </c>
      <c r="W128" s="145" t="s">
        <v>497</v>
      </c>
      <c r="X128" s="140" t="s">
        <v>585</v>
      </c>
      <c r="Y128" s="81"/>
      <c r="Z128" s="81" t="s">
        <v>1492</v>
      </c>
      <c r="AA128" s="81" t="s">
        <v>1492</v>
      </c>
      <c r="AB128" s="81" t="s">
        <v>1500</v>
      </c>
      <c r="AC128" s="54" t="s">
        <v>1501</v>
      </c>
    </row>
    <row r="129" spans="1:29" ht="63.75" customHeight="1" x14ac:dyDescent="0.3">
      <c r="A129" s="81">
        <v>2787</v>
      </c>
      <c r="B129" s="81" t="s">
        <v>97</v>
      </c>
      <c r="C129" s="81" t="s">
        <v>651</v>
      </c>
      <c r="D129" s="146" t="s">
        <v>200</v>
      </c>
      <c r="E129" s="81" t="s">
        <v>596</v>
      </c>
      <c r="F129" s="81" t="s">
        <v>433</v>
      </c>
      <c r="G129" s="81" t="s">
        <v>660</v>
      </c>
      <c r="H129" s="81" t="s">
        <v>3</v>
      </c>
      <c r="I129" s="109">
        <v>2016</v>
      </c>
      <c r="J129" s="110" t="s">
        <v>497</v>
      </c>
      <c r="K129" s="110" t="s">
        <v>497</v>
      </c>
      <c r="L129" s="81" t="s">
        <v>29</v>
      </c>
      <c r="M129" s="110">
        <v>3</v>
      </c>
      <c r="N129" s="111">
        <v>1700000</v>
      </c>
      <c r="O129" s="142" t="s">
        <v>497</v>
      </c>
      <c r="P129" s="111" t="s">
        <v>595</v>
      </c>
      <c r="Q129" s="111" t="s">
        <v>661</v>
      </c>
      <c r="R129" s="81" t="s">
        <v>497</v>
      </c>
      <c r="S129" s="81" t="s">
        <v>185</v>
      </c>
      <c r="T129" s="81">
        <v>2016</v>
      </c>
      <c r="U129" s="81" t="s">
        <v>199</v>
      </c>
      <c r="V129" s="125" t="s">
        <v>1247</v>
      </c>
      <c r="W129" s="125" t="s">
        <v>1248</v>
      </c>
      <c r="X129" s="140" t="s">
        <v>585</v>
      </c>
      <c r="Y129" s="81"/>
      <c r="Z129" s="81" t="s">
        <v>1492</v>
      </c>
      <c r="AA129" s="81" t="s">
        <v>1492</v>
      </c>
      <c r="AB129" s="81" t="s">
        <v>1492</v>
      </c>
      <c r="AC129" s="81" t="s">
        <v>497</v>
      </c>
    </row>
    <row r="130" spans="1:29" ht="51" customHeight="1" x14ac:dyDescent="0.3">
      <c r="A130" s="81">
        <v>2767</v>
      </c>
      <c r="B130" s="81" t="s">
        <v>97</v>
      </c>
      <c r="C130" s="140" t="s">
        <v>497</v>
      </c>
      <c r="D130" s="146" t="s">
        <v>201</v>
      </c>
      <c r="E130" s="81" t="s">
        <v>202</v>
      </c>
      <c r="F130" s="81" t="s">
        <v>662</v>
      </c>
      <c r="G130" s="81" t="s">
        <v>660</v>
      </c>
      <c r="H130" s="81" t="s">
        <v>3</v>
      </c>
      <c r="I130" s="109">
        <v>2016</v>
      </c>
      <c r="J130" s="110" t="s">
        <v>497</v>
      </c>
      <c r="K130" s="110" t="s">
        <v>497</v>
      </c>
      <c r="L130" s="81" t="s">
        <v>29</v>
      </c>
      <c r="M130" s="110">
        <v>12</v>
      </c>
      <c r="N130" s="111">
        <v>162000</v>
      </c>
      <c r="O130" s="142" t="s">
        <v>497</v>
      </c>
      <c r="P130" s="111" t="s">
        <v>552</v>
      </c>
      <c r="Q130" s="142" t="s">
        <v>497</v>
      </c>
      <c r="R130" s="81" t="s">
        <v>497</v>
      </c>
      <c r="S130" s="81" t="s">
        <v>185</v>
      </c>
      <c r="T130" s="81">
        <v>2016</v>
      </c>
      <c r="U130" s="81" t="s">
        <v>199</v>
      </c>
      <c r="V130" s="125" t="s">
        <v>1249</v>
      </c>
      <c r="W130" s="125" t="s">
        <v>1250</v>
      </c>
      <c r="X130" s="140" t="s">
        <v>585</v>
      </c>
      <c r="Y130" s="81"/>
      <c r="Z130" s="81" t="s">
        <v>1492</v>
      </c>
      <c r="AA130" s="81" t="s">
        <v>1492</v>
      </c>
      <c r="AB130" s="81" t="s">
        <v>1492</v>
      </c>
      <c r="AC130" s="81" t="s">
        <v>497</v>
      </c>
    </row>
    <row r="131" spans="1:29" ht="51" customHeight="1" x14ac:dyDescent="0.3">
      <c r="A131" s="81">
        <v>3163</v>
      </c>
      <c r="B131" s="81" t="s">
        <v>97</v>
      </c>
      <c r="C131" s="140" t="s">
        <v>497</v>
      </c>
      <c r="D131" s="146" t="s">
        <v>203</v>
      </c>
      <c r="E131" s="81" t="s">
        <v>206</v>
      </c>
      <c r="F131" s="81" t="s">
        <v>434</v>
      </c>
      <c r="G131" s="81" t="s">
        <v>273</v>
      </c>
      <c r="H131" s="81" t="s">
        <v>3</v>
      </c>
      <c r="I131" s="109">
        <v>2016</v>
      </c>
      <c r="J131" s="110" t="s">
        <v>20</v>
      </c>
      <c r="K131" s="110" t="s">
        <v>20</v>
      </c>
      <c r="L131" s="81" t="s">
        <v>29</v>
      </c>
      <c r="M131" s="110" t="s">
        <v>497</v>
      </c>
      <c r="N131" s="142" t="s">
        <v>585</v>
      </c>
      <c r="O131" s="142" t="s">
        <v>497</v>
      </c>
      <c r="P131" s="111" t="s">
        <v>552</v>
      </c>
      <c r="Q131" s="111" t="s">
        <v>819</v>
      </c>
      <c r="R131" s="81" t="s">
        <v>497</v>
      </c>
      <c r="S131" s="81" t="s">
        <v>185</v>
      </c>
      <c r="T131" s="81">
        <v>2016</v>
      </c>
      <c r="U131" s="81" t="s">
        <v>199</v>
      </c>
      <c r="V131" s="125" t="s">
        <v>1251</v>
      </c>
      <c r="W131" s="125" t="s">
        <v>1252</v>
      </c>
      <c r="X131" s="140" t="s">
        <v>585</v>
      </c>
      <c r="Y131" s="81"/>
      <c r="Z131" s="140" t="s">
        <v>1492</v>
      </c>
      <c r="AA131" s="81" t="s">
        <v>1493</v>
      </c>
      <c r="AB131" s="81" t="s">
        <v>1502</v>
      </c>
      <c r="AC131" s="81" t="s">
        <v>497</v>
      </c>
    </row>
    <row r="132" spans="1:29" ht="69" customHeight="1" x14ac:dyDescent="0.3">
      <c r="A132" s="81">
        <v>3164</v>
      </c>
      <c r="B132" s="81" t="s">
        <v>97</v>
      </c>
      <c r="C132" s="81" t="s">
        <v>650</v>
      </c>
      <c r="D132" s="146" t="s">
        <v>204</v>
      </c>
      <c r="E132" s="81" t="s">
        <v>408</v>
      </c>
      <c r="F132" s="81" t="s">
        <v>435</v>
      </c>
      <c r="G132" s="81" t="s">
        <v>491</v>
      </c>
      <c r="H132" s="81" t="s">
        <v>3</v>
      </c>
      <c r="I132" s="109">
        <v>2017</v>
      </c>
      <c r="J132" s="110" t="s">
        <v>20</v>
      </c>
      <c r="K132" s="110" t="s">
        <v>20</v>
      </c>
      <c r="L132" s="81" t="s">
        <v>29</v>
      </c>
      <c r="M132" s="110">
        <v>6.9</v>
      </c>
      <c r="N132" s="126">
        <v>3344222</v>
      </c>
      <c r="O132" s="111">
        <v>1500</v>
      </c>
      <c r="P132" s="111" t="s">
        <v>595</v>
      </c>
      <c r="Q132" s="111" t="s">
        <v>663</v>
      </c>
      <c r="R132" s="81" t="s">
        <v>497</v>
      </c>
      <c r="S132" s="81" t="s">
        <v>185</v>
      </c>
      <c r="T132" s="81">
        <v>2016</v>
      </c>
      <c r="U132" s="81" t="s">
        <v>199</v>
      </c>
      <c r="V132" s="100" t="s">
        <v>1253</v>
      </c>
      <c r="W132" s="100" t="s">
        <v>1254</v>
      </c>
      <c r="X132" s="127" t="s">
        <v>566</v>
      </c>
      <c r="Y132" s="81">
        <v>1</v>
      </c>
      <c r="Z132" s="140" t="s">
        <v>1492</v>
      </c>
      <c r="AA132" s="81" t="s">
        <v>1493</v>
      </c>
      <c r="AB132" s="81" t="s">
        <v>1502</v>
      </c>
      <c r="AC132" s="81" t="s">
        <v>497</v>
      </c>
    </row>
    <row r="133" spans="1:29" ht="51" customHeight="1" x14ac:dyDescent="0.3">
      <c r="A133" s="81">
        <v>3165</v>
      </c>
      <c r="B133" s="81" t="s">
        <v>97</v>
      </c>
      <c r="C133" s="81" t="s">
        <v>400</v>
      </c>
      <c r="D133" s="81" t="s">
        <v>205</v>
      </c>
      <c r="E133" s="81" t="s">
        <v>409</v>
      </c>
      <c r="F133" s="81" t="s">
        <v>436</v>
      </c>
      <c r="G133" s="81" t="s">
        <v>491</v>
      </c>
      <c r="H133" s="81" t="s">
        <v>3</v>
      </c>
      <c r="I133" s="109">
        <v>2017</v>
      </c>
      <c r="J133" s="131">
        <v>12.78</v>
      </c>
      <c r="K133" s="131">
        <v>2.58</v>
      </c>
      <c r="L133" s="54" t="s">
        <v>29</v>
      </c>
      <c r="M133" s="131">
        <v>14.5</v>
      </c>
      <c r="N133" s="126">
        <v>297877</v>
      </c>
      <c r="O133" s="111">
        <v>1500</v>
      </c>
      <c r="P133" s="111" t="s">
        <v>594</v>
      </c>
      <c r="Q133" s="111" t="s">
        <v>664</v>
      </c>
      <c r="R133" s="81" t="s">
        <v>497</v>
      </c>
      <c r="S133" s="81" t="s">
        <v>185</v>
      </c>
      <c r="T133" s="81">
        <v>2016</v>
      </c>
      <c r="U133" s="81" t="s">
        <v>199</v>
      </c>
      <c r="V133" s="100" t="s">
        <v>1255</v>
      </c>
      <c r="W133" s="100" t="s">
        <v>1256</v>
      </c>
      <c r="X133" s="81">
        <v>2016</v>
      </c>
      <c r="Y133" s="81"/>
      <c r="Z133" s="81" t="s">
        <v>1493</v>
      </c>
      <c r="AA133" s="81" t="s">
        <v>1493</v>
      </c>
      <c r="AB133" s="81" t="s">
        <v>1493</v>
      </c>
      <c r="AC133" s="54" t="s">
        <v>1504</v>
      </c>
    </row>
    <row r="134" spans="1:29" ht="38.25" customHeight="1" x14ac:dyDescent="0.3">
      <c r="A134" s="81">
        <v>3166</v>
      </c>
      <c r="B134" s="81" t="s">
        <v>97</v>
      </c>
      <c r="C134" s="81" t="s">
        <v>652</v>
      </c>
      <c r="D134" s="81" t="s">
        <v>300</v>
      </c>
      <c r="E134" s="81" t="s">
        <v>303</v>
      </c>
      <c r="F134" s="81" t="s">
        <v>791</v>
      </c>
      <c r="G134" s="100" t="s">
        <v>732</v>
      </c>
      <c r="H134" s="81" t="s">
        <v>3</v>
      </c>
      <c r="I134" s="109">
        <v>2018</v>
      </c>
      <c r="J134" s="131">
        <v>341.44</v>
      </c>
      <c r="K134" s="131">
        <v>54.6</v>
      </c>
      <c r="L134" s="54" t="s">
        <v>29</v>
      </c>
      <c r="M134" s="131">
        <v>75</v>
      </c>
      <c r="N134" s="126">
        <v>173620</v>
      </c>
      <c r="O134" s="111">
        <v>1500</v>
      </c>
      <c r="P134" s="111" t="s">
        <v>665</v>
      </c>
      <c r="Q134" s="111" t="s">
        <v>666</v>
      </c>
      <c r="R134" s="81" t="s">
        <v>497</v>
      </c>
      <c r="S134" s="81" t="s">
        <v>185</v>
      </c>
      <c r="T134" s="81">
        <v>2016</v>
      </c>
      <c r="U134" s="81" t="s">
        <v>199</v>
      </c>
      <c r="V134" s="125" t="s">
        <v>1257</v>
      </c>
      <c r="W134" s="125" t="s">
        <v>1258</v>
      </c>
      <c r="X134" s="140" t="s">
        <v>20</v>
      </c>
      <c r="Y134" s="81"/>
      <c r="Z134" s="81" t="s">
        <v>1493</v>
      </c>
      <c r="AA134" s="81" t="s">
        <v>1493</v>
      </c>
      <c r="AB134" s="81" t="s">
        <v>1493</v>
      </c>
      <c r="AC134" s="54" t="s">
        <v>1504</v>
      </c>
    </row>
    <row r="135" spans="1:29" ht="38.25" customHeight="1" x14ac:dyDescent="0.3">
      <c r="A135" s="81">
        <v>3177</v>
      </c>
      <c r="B135" s="81" t="s">
        <v>97</v>
      </c>
      <c r="C135" s="109" t="s">
        <v>497</v>
      </c>
      <c r="D135" s="81" t="s">
        <v>301</v>
      </c>
      <c r="E135" s="81" t="s">
        <v>304</v>
      </c>
      <c r="F135" s="81" t="s">
        <v>433</v>
      </c>
      <c r="G135" s="81" t="s">
        <v>491</v>
      </c>
      <c r="H135" s="81" t="s">
        <v>549</v>
      </c>
      <c r="I135" s="109" t="s">
        <v>497</v>
      </c>
      <c r="J135" s="110" t="s">
        <v>497</v>
      </c>
      <c r="K135" s="110" t="s">
        <v>497</v>
      </c>
      <c r="L135" s="81" t="s">
        <v>29</v>
      </c>
      <c r="M135" s="110" t="s">
        <v>497</v>
      </c>
      <c r="N135" s="111" t="s">
        <v>497</v>
      </c>
      <c r="O135" s="111" t="s">
        <v>497</v>
      </c>
      <c r="P135" s="111" t="s">
        <v>497</v>
      </c>
      <c r="Q135" s="111" t="s">
        <v>497</v>
      </c>
      <c r="R135" s="81" t="s">
        <v>497</v>
      </c>
      <c r="S135" s="81" t="s">
        <v>185</v>
      </c>
      <c r="T135" s="81">
        <v>2016</v>
      </c>
      <c r="U135" s="81" t="s">
        <v>199</v>
      </c>
      <c r="V135" s="81" t="s">
        <v>497</v>
      </c>
      <c r="W135" s="81" t="s">
        <v>497</v>
      </c>
      <c r="X135" s="81" t="s">
        <v>497</v>
      </c>
      <c r="Y135" s="81"/>
      <c r="Z135" s="81" t="s">
        <v>1507</v>
      </c>
      <c r="AA135" s="81" t="s">
        <v>1492</v>
      </c>
      <c r="AB135" s="81" t="s">
        <v>497</v>
      </c>
      <c r="AC135" s="81" t="s">
        <v>497</v>
      </c>
    </row>
    <row r="136" spans="1:29" ht="38.25" customHeight="1" x14ac:dyDescent="0.3">
      <c r="A136" s="81">
        <v>3168</v>
      </c>
      <c r="B136" s="81" t="s">
        <v>97</v>
      </c>
      <c r="C136" s="109" t="s">
        <v>497</v>
      </c>
      <c r="D136" s="81" t="s">
        <v>302</v>
      </c>
      <c r="E136" s="81" t="s">
        <v>410</v>
      </c>
      <c r="F136" s="81" t="s">
        <v>433</v>
      </c>
      <c r="G136" s="81" t="s">
        <v>491</v>
      </c>
      <c r="H136" s="81" t="s">
        <v>549</v>
      </c>
      <c r="I136" s="109" t="s">
        <v>497</v>
      </c>
      <c r="J136" s="110" t="s">
        <v>497</v>
      </c>
      <c r="K136" s="110" t="s">
        <v>497</v>
      </c>
      <c r="L136" s="81" t="s">
        <v>29</v>
      </c>
      <c r="M136" s="110" t="s">
        <v>497</v>
      </c>
      <c r="N136" s="111" t="s">
        <v>497</v>
      </c>
      <c r="O136" s="111" t="s">
        <v>497</v>
      </c>
      <c r="P136" s="111" t="s">
        <v>497</v>
      </c>
      <c r="Q136" s="111" t="s">
        <v>497</v>
      </c>
      <c r="R136" s="81" t="s">
        <v>497</v>
      </c>
      <c r="S136" s="81" t="s">
        <v>185</v>
      </c>
      <c r="T136" s="81">
        <v>2016</v>
      </c>
      <c r="U136" s="81" t="s">
        <v>199</v>
      </c>
      <c r="V136" s="81" t="s">
        <v>497</v>
      </c>
      <c r="W136" s="81" t="s">
        <v>497</v>
      </c>
      <c r="X136" s="81" t="s">
        <v>497</v>
      </c>
      <c r="Y136" s="81"/>
      <c r="Z136" s="81" t="s">
        <v>1507</v>
      </c>
      <c r="AA136" s="81" t="s">
        <v>1492</v>
      </c>
      <c r="AB136" s="81" t="s">
        <v>497</v>
      </c>
      <c r="AC136" s="81" t="s">
        <v>497</v>
      </c>
    </row>
    <row r="137" spans="1:29" ht="70.5" customHeight="1" x14ac:dyDescent="0.3">
      <c r="A137" s="81">
        <v>3160</v>
      </c>
      <c r="B137" s="81" t="s">
        <v>97</v>
      </c>
      <c r="C137" s="140" t="s">
        <v>20</v>
      </c>
      <c r="D137" s="81" t="s">
        <v>376</v>
      </c>
      <c r="E137" s="81" t="s">
        <v>411</v>
      </c>
      <c r="F137" s="81" t="s">
        <v>437</v>
      </c>
      <c r="G137" s="81" t="s">
        <v>225</v>
      </c>
      <c r="H137" s="81" t="s">
        <v>28</v>
      </c>
      <c r="I137" s="109">
        <v>2021</v>
      </c>
      <c r="J137" s="110" t="s">
        <v>20</v>
      </c>
      <c r="K137" s="110" t="s">
        <v>20</v>
      </c>
      <c r="L137" s="81" t="s">
        <v>29</v>
      </c>
      <c r="M137" s="110">
        <v>16.39</v>
      </c>
      <c r="N137" s="142" t="s">
        <v>20</v>
      </c>
      <c r="O137" s="142" t="s">
        <v>20</v>
      </c>
      <c r="P137" s="111" t="s">
        <v>552</v>
      </c>
      <c r="Q137" s="142" t="s">
        <v>20</v>
      </c>
      <c r="R137" s="81" t="s">
        <v>497</v>
      </c>
      <c r="S137" s="81" t="s">
        <v>185</v>
      </c>
      <c r="T137" s="81">
        <v>2017</v>
      </c>
      <c r="U137" s="81" t="s">
        <v>199</v>
      </c>
      <c r="V137" s="125" t="s">
        <v>1259</v>
      </c>
      <c r="W137" s="125" t="s">
        <v>1260</v>
      </c>
      <c r="X137" s="81">
        <v>2018</v>
      </c>
      <c r="Y137" s="81"/>
      <c r="Z137" s="140" t="s">
        <v>1492</v>
      </c>
      <c r="AA137" s="81" t="s">
        <v>1493</v>
      </c>
      <c r="AB137" s="81" t="s">
        <v>1502</v>
      </c>
      <c r="AC137" s="10" t="s">
        <v>497</v>
      </c>
    </row>
    <row r="138" spans="1:29" ht="38.25" customHeight="1" x14ac:dyDescent="0.3">
      <c r="A138" s="122">
        <v>4457</v>
      </c>
      <c r="B138" s="81" t="s">
        <v>97</v>
      </c>
      <c r="C138" s="81" t="s">
        <v>400</v>
      </c>
      <c r="D138" s="81" t="s">
        <v>653</v>
      </c>
      <c r="E138" s="81" t="s">
        <v>667</v>
      </c>
      <c r="F138" s="81" t="s">
        <v>433</v>
      </c>
      <c r="G138" s="81" t="s">
        <v>660</v>
      </c>
      <c r="H138" s="81" t="s">
        <v>388</v>
      </c>
      <c r="I138" s="109">
        <v>2020</v>
      </c>
      <c r="J138" s="110" t="s">
        <v>497</v>
      </c>
      <c r="K138" s="110" t="s">
        <v>497</v>
      </c>
      <c r="L138" s="81" t="s">
        <v>29</v>
      </c>
      <c r="M138" s="110">
        <v>7</v>
      </c>
      <c r="N138" s="142" t="s">
        <v>20</v>
      </c>
      <c r="O138" s="142" t="s">
        <v>20</v>
      </c>
      <c r="P138" s="111" t="s">
        <v>594</v>
      </c>
      <c r="Q138" s="142" t="s">
        <v>20</v>
      </c>
      <c r="R138" s="81" t="s">
        <v>20</v>
      </c>
      <c r="S138" s="81" t="s">
        <v>185</v>
      </c>
      <c r="T138" s="81">
        <v>2018</v>
      </c>
      <c r="U138" s="81" t="s">
        <v>199</v>
      </c>
      <c r="V138" s="125" t="s">
        <v>1261</v>
      </c>
      <c r="W138" s="125" t="s">
        <v>1262</v>
      </c>
      <c r="X138" s="140" t="s">
        <v>585</v>
      </c>
      <c r="Y138" s="81"/>
      <c r="Z138" s="81" t="s">
        <v>1492</v>
      </c>
      <c r="AA138" s="81" t="s">
        <v>1492</v>
      </c>
      <c r="AB138" s="81" t="s">
        <v>1492</v>
      </c>
      <c r="AC138" s="81" t="s">
        <v>497</v>
      </c>
    </row>
    <row r="139" spans="1:29" ht="38.25" customHeight="1" x14ac:dyDescent="0.3">
      <c r="A139" s="122">
        <v>4458</v>
      </c>
      <c r="B139" s="81" t="s">
        <v>97</v>
      </c>
      <c r="C139" s="140" t="s">
        <v>20</v>
      </c>
      <c r="D139" s="146" t="s">
        <v>654</v>
      </c>
      <c r="E139" s="81" t="s">
        <v>668</v>
      </c>
      <c r="F139" s="81" t="s">
        <v>669</v>
      </c>
      <c r="G139" s="81" t="s">
        <v>670</v>
      </c>
      <c r="H139" s="81" t="s">
        <v>3</v>
      </c>
      <c r="I139" s="109">
        <v>2019</v>
      </c>
      <c r="J139" s="110" t="s">
        <v>497</v>
      </c>
      <c r="K139" s="110" t="s">
        <v>497</v>
      </c>
      <c r="L139" s="81" t="s">
        <v>29</v>
      </c>
      <c r="M139" s="110" t="s">
        <v>497</v>
      </c>
      <c r="N139" s="142" t="s">
        <v>20</v>
      </c>
      <c r="O139" s="142" t="s">
        <v>497</v>
      </c>
      <c r="P139" s="111" t="s">
        <v>552</v>
      </c>
      <c r="Q139" s="142" t="s">
        <v>497</v>
      </c>
      <c r="R139" s="81" t="s">
        <v>497</v>
      </c>
      <c r="S139" s="81" t="s">
        <v>184</v>
      </c>
      <c r="T139" s="81">
        <v>2018</v>
      </c>
      <c r="U139" s="81" t="s">
        <v>199</v>
      </c>
      <c r="V139" s="145" t="s">
        <v>497</v>
      </c>
      <c r="W139" s="145" t="s">
        <v>497</v>
      </c>
      <c r="X139" s="81">
        <v>2018</v>
      </c>
      <c r="Y139" s="81"/>
      <c r="Z139" s="81" t="s">
        <v>1492</v>
      </c>
      <c r="AA139" s="81" t="s">
        <v>1492</v>
      </c>
      <c r="AB139" s="81" t="s">
        <v>1492</v>
      </c>
      <c r="AC139" s="81" t="s">
        <v>497</v>
      </c>
    </row>
    <row r="140" spans="1:29" ht="38.25" customHeight="1" x14ac:dyDescent="0.3">
      <c r="A140" s="81">
        <v>5359</v>
      </c>
      <c r="B140" s="81" t="s">
        <v>97</v>
      </c>
      <c r="C140" s="81" t="s">
        <v>0</v>
      </c>
      <c r="D140" s="146" t="s">
        <v>827</v>
      </c>
      <c r="E140" s="81" t="s">
        <v>828</v>
      </c>
      <c r="F140" s="81" t="s">
        <v>894</v>
      </c>
      <c r="G140" s="81" t="s">
        <v>681</v>
      </c>
      <c r="H140" s="81" t="s">
        <v>28</v>
      </c>
      <c r="I140" s="109">
        <v>2021</v>
      </c>
      <c r="J140" s="110" t="s">
        <v>20</v>
      </c>
      <c r="K140" s="110" t="s">
        <v>20</v>
      </c>
      <c r="L140" s="81" t="s">
        <v>29</v>
      </c>
      <c r="M140" s="110" t="s">
        <v>497</v>
      </c>
      <c r="N140" s="111">
        <v>3000000</v>
      </c>
      <c r="O140" s="142" t="s">
        <v>497</v>
      </c>
      <c r="P140" s="111" t="s">
        <v>829</v>
      </c>
      <c r="Q140" s="142" t="s">
        <v>497</v>
      </c>
      <c r="R140" s="81" t="s">
        <v>497</v>
      </c>
      <c r="S140" s="81" t="s">
        <v>185</v>
      </c>
      <c r="T140" s="81">
        <v>2019</v>
      </c>
      <c r="U140" s="81" t="s">
        <v>199</v>
      </c>
      <c r="V140" s="145" t="s">
        <v>585</v>
      </c>
      <c r="W140" s="145" t="s">
        <v>585</v>
      </c>
      <c r="X140" s="140" t="s">
        <v>585</v>
      </c>
      <c r="Y140" s="81"/>
      <c r="Z140" s="140" t="s">
        <v>1492</v>
      </c>
      <c r="AA140" s="81" t="s">
        <v>1493</v>
      </c>
      <c r="AB140" s="81" t="s">
        <v>1502</v>
      </c>
      <c r="AC140" s="10" t="s">
        <v>497</v>
      </c>
    </row>
    <row r="141" spans="1:29" ht="38.25" customHeight="1" x14ac:dyDescent="0.3">
      <c r="A141" s="81">
        <v>5360</v>
      </c>
      <c r="B141" s="81" t="s">
        <v>97</v>
      </c>
      <c r="C141" s="140" t="s">
        <v>497</v>
      </c>
      <c r="D141" s="146" t="s">
        <v>830</v>
      </c>
      <c r="E141" s="81" t="s">
        <v>831</v>
      </c>
      <c r="F141" s="81" t="s">
        <v>895</v>
      </c>
      <c r="G141" s="81" t="s">
        <v>737</v>
      </c>
      <c r="H141" s="81" t="s">
        <v>28</v>
      </c>
      <c r="I141" s="141" t="s">
        <v>497</v>
      </c>
      <c r="J141" s="110" t="s">
        <v>497</v>
      </c>
      <c r="K141" s="110" t="s">
        <v>497</v>
      </c>
      <c r="L141" s="81" t="s">
        <v>29</v>
      </c>
      <c r="M141" s="110" t="s">
        <v>497</v>
      </c>
      <c r="N141" s="142" t="s">
        <v>497</v>
      </c>
      <c r="O141" s="111">
        <v>335000</v>
      </c>
      <c r="P141" s="111" t="s">
        <v>552</v>
      </c>
      <c r="Q141" s="142" t="s">
        <v>497</v>
      </c>
      <c r="R141" s="81" t="s">
        <v>497</v>
      </c>
      <c r="S141" s="81" t="s">
        <v>184</v>
      </c>
      <c r="T141" s="81">
        <v>2019</v>
      </c>
      <c r="U141" s="81" t="s">
        <v>199</v>
      </c>
      <c r="V141" s="145" t="s">
        <v>585</v>
      </c>
      <c r="W141" s="145" t="s">
        <v>585</v>
      </c>
      <c r="X141" s="140" t="s">
        <v>585</v>
      </c>
      <c r="Y141" s="81"/>
      <c r="Z141" s="81" t="s">
        <v>1492</v>
      </c>
      <c r="AA141" s="81" t="s">
        <v>1492</v>
      </c>
      <c r="AB141" s="81" t="s">
        <v>1492</v>
      </c>
      <c r="AC141" s="81" t="s">
        <v>497</v>
      </c>
    </row>
    <row r="142" spans="1:29" ht="38.25" customHeight="1" x14ac:dyDescent="0.3">
      <c r="A142" s="81">
        <v>5361</v>
      </c>
      <c r="B142" s="81" t="s">
        <v>97</v>
      </c>
      <c r="C142" s="140" t="s">
        <v>497</v>
      </c>
      <c r="D142" s="146" t="s">
        <v>832</v>
      </c>
      <c r="E142" s="81" t="s">
        <v>833</v>
      </c>
      <c r="F142" s="81" t="s">
        <v>896</v>
      </c>
      <c r="G142" s="81" t="s">
        <v>670</v>
      </c>
      <c r="H142" s="81" t="s">
        <v>28</v>
      </c>
      <c r="I142" s="109">
        <v>2020</v>
      </c>
      <c r="J142" s="110" t="s">
        <v>497</v>
      </c>
      <c r="K142" s="110" t="s">
        <v>497</v>
      </c>
      <c r="L142" s="81" t="s">
        <v>29</v>
      </c>
      <c r="M142" s="110" t="s">
        <v>497</v>
      </c>
      <c r="N142" s="111">
        <v>26620</v>
      </c>
      <c r="O142" s="142" t="s">
        <v>497</v>
      </c>
      <c r="P142" s="111" t="s">
        <v>552</v>
      </c>
      <c r="Q142" s="142" t="s">
        <v>497</v>
      </c>
      <c r="R142" s="81" t="s">
        <v>497</v>
      </c>
      <c r="S142" s="81" t="s">
        <v>184</v>
      </c>
      <c r="T142" s="81">
        <v>2019</v>
      </c>
      <c r="U142" s="81" t="s">
        <v>199</v>
      </c>
      <c r="V142" s="145" t="s">
        <v>585</v>
      </c>
      <c r="W142" s="145" t="s">
        <v>585</v>
      </c>
      <c r="X142" s="140" t="s">
        <v>585</v>
      </c>
      <c r="Y142" s="81"/>
      <c r="Z142" s="81" t="s">
        <v>1492</v>
      </c>
      <c r="AA142" s="81" t="s">
        <v>1492</v>
      </c>
      <c r="AB142" s="81" t="s">
        <v>1492</v>
      </c>
      <c r="AC142" s="81" t="s">
        <v>497</v>
      </c>
    </row>
    <row r="143" spans="1:29" ht="38.25" customHeight="1" x14ac:dyDescent="0.3">
      <c r="A143" s="81">
        <v>3170</v>
      </c>
      <c r="B143" s="81" t="s">
        <v>38</v>
      </c>
      <c r="C143" s="140" t="s">
        <v>585</v>
      </c>
      <c r="D143" s="146" t="s">
        <v>39</v>
      </c>
      <c r="E143" s="81" t="s">
        <v>1</v>
      </c>
      <c r="F143" s="81" t="s">
        <v>422</v>
      </c>
      <c r="G143" s="81" t="s">
        <v>1</v>
      </c>
      <c r="H143" s="81" t="s">
        <v>1517</v>
      </c>
      <c r="I143" s="141" t="s">
        <v>497</v>
      </c>
      <c r="J143" s="132">
        <v>84</v>
      </c>
      <c r="K143" s="132">
        <v>11.3</v>
      </c>
      <c r="L143" s="54" t="s">
        <v>30</v>
      </c>
      <c r="M143" s="131" t="s">
        <v>497</v>
      </c>
      <c r="N143" s="142" t="s">
        <v>585</v>
      </c>
      <c r="O143" s="111">
        <v>15000</v>
      </c>
      <c r="P143" s="142" t="s">
        <v>585</v>
      </c>
      <c r="Q143" s="142" t="s">
        <v>585</v>
      </c>
      <c r="R143" s="81" t="s">
        <v>497</v>
      </c>
      <c r="S143" s="81" t="s">
        <v>184</v>
      </c>
      <c r="T143" s="81">
        <v>2013</v>
      </c>
      <c r="U143" s="81" t="s">
        <v>199</v>
      </c>
      <c r="V143" s="145" t="s">
        <v>585</v>
      </c>
      <c r="W143" s="145" t="s">
        <v>585</v>
      </c>
      <c r="X143" s="140" t="s">
        <v>585</v>
      </c>
      <c r="Y143" s="81"/>
      <c r="Z143" s="81" t="s">
        <v>1492</v>
      </c>
      <c r="AA143" s="81" t="s">
        <v>1492</v>
      </c>
      <c r="AB143" s="81" t="s">
        <v>1500</v>
      </c>
      <c r="AC143" s="54" t="s">
        <v>1501</v>
      </c>
    </row>
    <row r="144" spans="1:29" ht="38.25" customHeight="1" x14ac:dyDescent="0.3">
      <c r="A144" s="81">
        <v>3074</v>
      </c>
      <c r="B144" s="81" t="s">
        <v>274</v>
      </c>
      <c r="C144" s="140" t="s">
        <v>497</v>
      </c>
      <c r="D144" s="146" t="s">
        <v>349</v>
      </c>
      <c r="E144" s="81" t="s">
        <v>1</v>
      </c>
      <c r="F144" s="81" t="s">
        <v>612</v>
      </c>
      <c r="G144" s="81" t="s">
        <v>1</v>
      </c>
      <c r="H144" s="81" t="s">
        <v>1517</v>
      </c>
      <c r="I144" s="141" t="s">
        <v>497</v>
      </c>
      <c r="J144" s="132">
        <v>39</v>
      </c>
      <c r="K144" s="132">
        <v>11.3</v>
      </c>
      <c r="L144" s="54" t="s">
        <v>30</v>
      </c>
      <c r="M144" s="131" t="s">
        <v>497</v>
      </c>
      <c r="N144" s="142" t="s">
        <v>585</v>
      </c>
      <c r="O144" s="142" t="s">
        <v>585</v>
      </c>
      <c r="P144" s="111" t="s">
        <v>794</v>
      </c>
      <c r="Q144" s="142" t="s">
        <v>585</v>
      </c>
      <c r="R144" s="81" t="s">
        <v>497</v>
      </c>
      <c r="S144" s="81" t="s">
        <v>184</v>
      </c>
      <c r="T144" s="81">
        <v>2013</v>
      </c>
      <c r="U144" s="81" t="s">
        <v>199</v>
      </c>
      <c r="V144" s="145" t="s">
        <v>497</v>
      </c>
      <c r="W144" s="145" t="s">
        <v>497</v>
      </c>
      <c r="X144" s="81">
        <v>2004</v>
      </c>
      <c r="Y144" s="81"/>
      <c r="Z144" s="81" t="s">
        <v>1492</v>
      </c>
      <c r="AA144" s="81" t="s">
        <v>1492</v>
      </c>
      <c r="AB144" s="81" t="s">
        <v>1500</v>
      </c>
      <c r="AC144" s="54" t="s">
        <v>1501</v>
      </c>
    </row>
    <row r="145" spans="1:29" ht="38.25" customHeight="1" x14ac:dyDescent="0.3">
      <c r="A145" s="81">
        <v>3082</v>
      </c>
      <c r="B145" s="81" t="s">
        <v>274</v>
      </c>
      <c r="C145" s="140" t="s">
        <v>497</v>
      </c>
      <c r="D145" s="146" t="s">
        <v>350</v>
      </c>
      <c r="E145" s="81" t="s">
        <v>4</v>
      </c>
      <c r="F145" s="140" t="s">
        <v>586</v>
      </c>
      <c r="G145" s="81" t="s">
        <v>4</v>
      </c>
      <c r="H145" s="81" t="s">
        <v>1517</v>
      </c>
      <c r="I145" s="141" t="s">
        <v>497</v>
      </c>
      <c r="J145" s="132">
        <v>185</v>
      </c>
      <c r="K145" s="132">
        <v>119</v>
      </c>
      <c r="L145" s="54" t="s">
        <v>30</v>
      </c>
      <c r="M145" s="131" t="s">
        <v>497</v>
      </c>
      <c r="N145" s="142" t="s">
        <v>585</v>
      </c>
      <c r="O145" s="142" t="s">
        <v>585</v>
      </c>
      <c r="P145" s="111" t="s">
        <v>794</v>
      </c>
      <c r="Q145" s="142" t="s">
        <v>585</v>
      </c>
      <c r="R145" s="81" t="s">
        <v>497</v>
      </c>
      <c r="S145" s="81" t="s">
        <v>184</v>
      </c>
      <c r="T145" s="81">
        <v>2013</v>
      </c>
      <c r="U145" s="81" t="s">
        <v>199</v>
      </c>
      <c r="V145" s="145" t="s">
        <v>497</v>
      </c>
      <c r="W145" s="145" t="s">
        <v>497</v>
      </c>
      <c r="X145" s="81">
        <v>2013</v>
      </c>
      <c r="Y145" s="81"/>
      <c r="Z145" s="81" t="s">
        <v>1492</v>
      </c>
      <c r="AA145" s="81" t="s">
        <v>1492</v>
      </c>
      <c r="AB145" s="81" t="s">
        <v>1498</v>
      </c>
      <c r="AC145" s="54" t="s">
        <v>1499</v>
      </c>
    </row>
    <row r="146" spans="1:29" ht="51" customHeight="1" x14ac:dyDescent="0.3">
      <c r="A146" s="81">
        <v>3090</v>
      </c>
      <c r="B146" s="81" t="s">
        <v>274</v>
      </c>
      <c r="C146" s="140" t="s">
        <v>497</v>
      </c>
      <c r="D146" s="146" t="s">
        <v>351</v>
      </c>
      <c r="E146" s="81" t="s">
        <v>5</v>
      </c>
      <c r="F146" s="81" t="s">
        <v>472</v>
      </c>
      <c r="G146" s="81" t="s">
        <v>5</v>
      </c>
      <c r="H146" s="81" t="s">
        <v>3</v>
      </c>
      <c r="I146" s="109">
        <v>2005</v>
      </c>
      <c r="J146" s="132">
        <v>595</v>
      </c>
      <c r="K146" s="132">
        <v>0</v>
      </c>
      <c r="L146" s="54" t="s">
        <v>30</v>
      </c>
      <c r="M146" s="131" t="s">
        <v>497</v>
      </c>
      <c r="N146" s="142" t="s">
        <v>585</v>
      </c>
      <c r="O146" s="142" t="s">
        <v>585</v>
      </c>
      <c r="P146" s="111" t="s">
        <v>794</v>
      </c>
      <c r="Q146" s="142" t="s">
        <v>585</v>
      </c>
      <c r="R146" s="81" t="s">
        <v>497</v>
      </c>
      <c r="S146" s="81" t="s">
        <v>184</v>
      </c>
      <c r="T146" s="81">
        <v>2013</v>
      </c>
      <c r="U146" s="81" t="s">
        <v>199</v>
      </c>
      <c r="V146" s="145" t="s">
        <v>497</v>
      </c>
      <c r="W146" s="145" t="s">
        <v>497</v>
      </c>
      <c r="X146" s="81">
        <v>2013</v>
      </c>
      <c r="Y146" s="81"/>
      <c r="Z146" s="81" t="s">
        <v>1492</v>
      </c>
      <c r="AA146" s="81" t="s">
        <v>1492</v>
      </c>
      <c r="AB146" s="81" t="s">
        <v>1493</v>
      </c>
      <c r="AC146" s="54" t="s">
        <v>1501</v>
      </c>
    </row>
    <row r="147" spans="1:29" ht="38.25" customHeight="1" x14ac:dyDescent="0.3">
      <c r="A147" s="81">
        <v>3080</v>
      </c>
      <c r="B147" s="81" t="s">
        <v>274</v>
      </c>
      <c r="C147" s="140" t="s">
        <v>497</v>
      </c>
      <c r="D147" s="146" t="s">
        <v>352</v>
      </c>
      <c r="E147" s="122" t="s">
        <v>770</v>
      </c>
      <c r="F147" s="81" t="s">
        <v>473</v>
      </c>
      <c r="G147" s="109" t="s">
        <v>1490</v>
      </c>
      <c r="H147" s="81" t="s">
        <v>3</v>
      </c>
      <c r="I147" s="141" t="s">
        <v>712</v>
      </c>
      <c r="J147" s="132">
        <v>57</v>
      </c>
      <c r="K147" s="132">
        <v>34.200000000000003</v>
      </c>
      <c r="L147" s="54" t="s">
        <v>29</v>
      </c>
      <c r="M147" s="131">
        <v>21.3</v>
      </c>
      <c r="N147" s="142" t="s">
        <v>585</v>
      </c>
      <c r="O147" s="142" t="s">
        <v>585</v>
      </c>
      <c r="P147" s="111" t="s">
        <v>794</v>
      </c>
      <c r="Q147" s="142" t="s">
        <v>585</v>
      </c>
      <c r="R147" s="81" t="s">
        <v>497</v>
      </c>
      <c r="S147" s="81" t="s">
        <v>185</v>
      </c>
      <c r="T147" s="81">
        <v>2013</v>
      </c>
      <c r="U147" s="81" t="s">
        <v>199</v>
      </c>
      <c r="V147" s="100" t="s">
        <v>1263</v>
      </c>
      <c r="W147" s="100" t="s">
        <v>1264</v>
      </c>
      <c r="X147" s="81">
        <v>1995</v>
      </c>
      <c r="Y147" s="81"/>
      <c r="Z147" s="81" t="s">
        <v>1493</v>
      </c>
      <c r="AA147" s="81" t="s">
        <v>1493</v>
      </c>
      <c r="AB147" s="81" t="s">
        <v>1493</v>
      </c>
      <c r="AC147" s="54" t="s">
        <v>1504</v>
      </c>
    </row>
    <row r="148" spans="1:29" ht="51" customHeight="1" x14ac:dyDescent="0.3">
      <c r="A148" s="81">
        <v>3079</v>
      </c>
      <c r="B148" s="81" t="s">
        <v>274</v>
      </c>
      <c r="C148" s="140" t="s">
        <v>497</v>
      </c>
      <c r="D148" s="146" t="s">
        <v>353</v>
      </c>
      <c r="E148" s="122" t="s">
        <v>221</v>
      </c>
      <c r="F148" s="81" t="s">
        <v>474</v>
      </c>
      <c r="G148" s="109" t="s">
        <v>1490</v>
      </c>
      <c r="H148" s="81" t="s">
        <v>3</v>
      </c>
      <c r="I148" s="141" t="s">
        <v>712</v>
      </c>
      <c r="J148" s="132">
        <v>26</v>
      </c>
      <c r="K148" s="132">
        <v>13.6</v>
      </c>
      <c r="L148" s="54" t="s">
        <v>29</v>
      </c>
      <c r="M148" s="131">
        <v>7</v>
      </c>
      <c r="N148" s="142" t="s">
        <v>585</v>
      </c>
      <c r="O148" s="142" t="s">
        <v>585</v>
      </c>
      <c r="P148" s="111" t="s">
        <v>794</v>
      </c>
      <c r="Q148" s="142" t="s">
        <v>585</v>
      </c>
      <c r="R148" s="81" t="s">
        <v>497</v>
      </c>
      <c r="S148" s="81" t="s">
        <v>185</v>
      </c>
      <c r="T148" s="81">
        <v>2013</v>
      </c>
      <c r="U148" s="81" t="s">
        <v>199</v>
      </c>
      <c r="V148" s="100" t="s">
        <v>1265</v>
      </c>
      <c r="W148" s="100" t="s">
        <v>1266</v>
      </c>
      <c r="X148" s="81">
        <v>1995</v>
      </c>
      <c r="Y148" s="81"/>
      <c r="Z148" s="81" t="s">
        <v>1493</v>
      </c>
      <c r="AA148" s="81" t="s">
        <v>1493</v>
      </c>
      <c r="AB148" s="81" t="s">
        <v>1493</v>
      </c>
      <c r="AC148" s="54" t="s">
        <v>1504</v>
      </c>
    </row>
    <row r="149" spans="1:29" ht="38.25" customHeight="1" x14ac:dyDescent="0.3">
      <c r="A149" s="81">
        <v>3078</v>
      </c>
      <c r="B149" s="81" t="s">
        <v>274</v>
      </c>
      <c r="C149" s="140" t="s">
        <v>497</v>
      </c>
      <c r="D149" s="146" t="s">
        <v>354</v>
      </c>
      <c r="E149" s="122" t="s">
        <v>220</v>
      </c>
      <c r="F149" s="81" t="s">
        <v>475</v>
      </c>
      <c r="G149" s="81" t="s">
        <v>229</v>
      </c>
      <c r="H149" s="81" t="s">
        <v>3</v>
      </c>
      <c r="I149" s="109">
        <v>2004</v>
      </c>
      <c r="J149" s="132">
        <v>38</v>
      </c>
      <c r="K149" s="132">
        <v>22.4</v>
      </c>
      <c r="L149" s="54" t="s">
        <v>29</v>
      </c>
      <c r="M149" s="131">
        <v>17.100000000000001</v>
      </c>
      <c r="N149" s="142" t="s">
        <v>585</v>
      </c>
      <c r="O149" s="142" t="s">
        <v>585</v>
      </c>
      <c r="P149" s="111" t="s">
        <v>794</v>
      </c>
      <c r="Q149" s="142" t="s">
        <v>585</v>
      </c>
      <c r="R149" s="81" t="s">
        <v>497</v>
      </c>
      <c r="S149" s="81" t="s">
        <v>185</v>
      </c>
      <c r="T149" s="81">
        <v>2013</v>
      </c>
      <c r="U149" s="81" t="s">
        <v>199</v>
      </c>
      <c r="V149" s="100" t="s">
        <v>1267</v>
      </c>
      <c r="W149" s="100" t="s">
        <v>1268</v>
      </c>
      <c r="X149" s="81">
        <v>2014</v>
      </c>
      <c r="Y149" s="81"/>
      <c r="Z149" s="81" t="s">
        <v>1493</v>
      </c>
      <c r="AA149" s="81" t="s">
        <v>1493</v>
      </c>
      <c r="AB149" s="81" t="s">
        <v>1493</v>
      </c>
      <c r="AC149" s="54" t="s">
        <v>1504</v>
      </c>
    </row>
    <row r="150" spans="1:29" ht="38.25" customHeight="1" x14ac:dyDescent="0.3">
      <c r="A150" s="81">
        <v>3077</v>
      </c>
      <c r="B150" s="81" t="s">
        <v>274</v>
      </c>
      <c r="C150" s="140" t="s">
        <v>497</v>
      </c>
      <c r="D150" s="146" t="s">
        <v>355</v>
      </c>
      <c r="E150" s="122" t="s">
        <v>219</v>
      </c>
      <c r="F150" s="81" t="s">
        <v>475</v>
      </c>
      <c r="G150" s="81" t="s">
        <v>229</v>
      </c>
      <c r="H150" s="81" t="s">
        <v>3</v>
      </c>
      <c r="I150" s="109">
        <v>2004</v>
      </c>
      <c r="J150" s="132">
        <v>35</v>
      </c>
      <c r="K150" s="132">
        <v>19.2</v>
      </c>
      <c r="L150" s="54" t="s">
        <v>29</v>
      </c>
      <c r="M150" s="131">
        <v>12.6</v>
      </c>
      <c r="N150" s="142" t="s">
        <v>585</v>
      </c>
      <c r="O150" s="142" t="s">
        <v>585</v>
      </c>
      <c r="P150" s="111" t="s">
        <v>794</v>
      </c>
      <c r="Q150" s="142" t="s">
        <v>585</v>
      </c>
      <c r="R150" s="81" t="s">
        <v>497</v>
      </c>
      <c r="S150" s="81" t="s">
        <v>185</v>
      </c>
      <c r="T150" s="81">
        <v>2013</v>
      </c>
      <c r="U150" s="81" t="s">
        <v>199</v>
      </c>
      <c r="V150" s="100" t="s">
        <v>1269</v>
      </c>
      <c r="W150" s="100" t="s">
        <v>1270</v>
      </c>
      <c r="X150" s="81">
        <v>2014</v>
      </c>
      <c r="Y150" s="81"/>
      <c r="Z150" s="81" t="s">
        <v>1493</v>
      </c>
      <c r="AA150" s="81" t="s">
        <v>1493</v>
      </c>
      <c r="AB150" s="81" t="s">
        <v>1493</v>
      </c>
      <c r="AC150" s="54" t="s">
        <v>1504</v>
      </c>
    </row>
    <row r="151" spans="1:29" ht="51.75" customHeight="1" x14ac:dyDescent="0.3">
      <c r="A151" s="81">
        <v>3076</v>
      </c>
      <c r="B151" s="81" t="s">
        <v>274</v>
      </c>
      <c r="C151" s="140" t="s">
        <v>497</v>
      </c>
      <c r="D151" s="146" t="s">
        <v>356</v>
      </c>
      <c r="E151" s="122" t="s">
        <v>218</v>
      </c>
      <c r="F151" s="81" t="s">
        <v>475</v>
      </c>
      <c r="G151" s="81" t="s">
        <v>229</v>
      </c>
      <c r="H151" s="81" t="s">
        <v>3</v>
      </c>
      <c r="I151" s="109">
        <v>2004</v>
      </c>
      <c r="J151" s="132">
        <v>10</v>
      </c>
      <c r="K151" s="132">
        <v>5.2</v>
      </c>
      <c r="L151" s="54" t="s">
        <v>29</v>
      </c>
      <c r="M151" s="131">
        <v>4.8</v>
      </c>
      <c r="N151" s="142" t="s">
        <v>585</v>
      </c>
      <c r="O151" s="142" t="s">
        <v>585</v>
      </c>
      <c r="P151" s="111" t="s">
        <v>794</v>
      </c>
      <c r="Q151" s="142" t="s">
        <v>585</v>
      </c>
      <c r="R151" s="81" t="s">
        <v>497</v>
      </c>
      <c r="S151" s="81" t="s">
        <v>185</v>
      </c>
      <c r="T151" s="81">
        <v>2013</v>
      </c>
      <c r="U151" s="81" t="s">
        <v>199</v>
      </c>
      <c r="V151" s="100" t="s">
        <v>1271</v>
      </c>
      <c r="W151" s="100" t="s">
        <v>1272</v>
      </c>
      <c r="X151" s="81">
        <v>2014</v>
      </c>
      <c r="Y151" s="81"/>
      <c r="Z151" s="81" t="s">
        <v>1493</v>
      </c>
      <c r="AA151" s="81" t="s">
        <v>1493</v>
      </c>
      <c r="AB151" s="81" t="s">
        <v>1493</v>
      </c>
      <c r="AC151" s="54" t="s">
        <v>1504</v>
      </c>
    </row>
    <row r="152" spans="1:29" ht="66" customHeight="1" x14ac:dyDescent="0.3">
      <c r="A152" s="81">
        <v>3098</v>
      </c>
      <c r="B152" s="81" t="s">
        <v>274</v>
      </c>
      <c r="C152" s="140" t="s">
        <v>497</v>
      </c>
      <c r="D152" s="146" t="s">
        <v>357</v>
      </c>
      <c r="E152" s="122" t="s">
        <v>217</v>
      </c>
      <c r="F152" s="81" t="s">
        <v>475</v>
      </c>
      <c r="G152" s="81" t="s">
        <v>229</v>
      </c>
      <c r="H152" s="81" t="s">
        <v>3</v>
      </c>
      <c r="I152" s="109">
        <v>2004</v>
      </c>
      <c r="J152" s="132">
        <v>18</v>
      </c>
      <c r="K152" s="132">
        <v>10.4</v>
      </c>
      <c r="L152" s="54" t="s">
        <v>29</v>
      </c>
      <c r="M152" s="131">
        <v>8.4</v>
      </c>
      <c r="N152" s="142" t="s">
        <v>585</v>
      </c>
      <c r="O152" s="142" t="s">
        <v>585</v>
      </c>
      <c r="P152" s="111" t="s">
        <v>794</v>
      </c>
      <c r="Q152" s="142" t="s">
        <v>585</v>
      </c>
      <c r="R152" s="81" t="s">
        <v>497</v>
      </c>
      <c r="S152" s="81" t="s">
        <v>185</v>
      </c>
      <c r="T152" s="81">
        <v>2013</v>
      </c>
      <c r="U152" s="81" t="s">
        <v>199</v>
      </c>
      <c r="V152" s="100" t="s">
        <v>1273</v>
      </c>
      <c r="W152" s="100" t="s">
        <v>1274</v>
      </c>
      <c r="X152" s="81">
        <v>2014</v>
      </c>
      <c r="Y152" s="81"/>
      <c r="Z152" s="81" t="s">
        <v>1493</v>
      </c>
      <c r="AA152" s="81" t="s">
        <v>1493</v>
      </c>
      <c r="AB152" s="81" t="s">
        <v>1493</v>
      </c>
      <c r="AC152" s="54" t="s">
        <v>1504</v>
      </c>
    </row>
    <row r="153" spans="1:29" ht="38.25" customHeight="1" x14ac:dyDescent="0.3">
      <c r="A153" s="81">
        <v>3081</v>
      </c>
      <c r="B153" s="81" t="s">
        <v>274</v>
      </c>
      <c r="C153" s="140" t="s">
        <v>497</v>
      </c>
      <c r="D153" s="146" t="s">
        <v>21</v>
      </c>
      <c r="E153" s="122" t="s">
        <v>216</v>
      </c>
      <c r="F153" s="81" t="s">
        <v>475</v>
      </c>
      <c r="G153" s="81" t="s">
        <v>225</v>
      </c>
      <c r="H153" s="81" t="s">
        <v>3</v>
      </c>
      <c r="I153" s="109">
        <v>2004</v>
      </c>
      <c r="J153" s="132">
        <v>17</v>
      </c>
      <c r="K153" s="132">
        <v>8.8000000000000007</v>
      </c>
      <c r="L153" s="54" t="s">
        <v>29</v>
      </c>
      <c r="M153" s="131">
        <v>7.9</v>
      </c>
      <c r="N153" s="142" t="s">
        <v>585</v>
      </c>
      <c r="O153" s="142" t="s">
        <v>585</v>
      </c>
      <c r="P153" s="111" t="s">
        <v>794</v>
      </c>
      <c r="Q153" s="142" t="s">
        <v>585</v>
      </c>
      <c r="R153" s="81" t="s">
        <v>497</v>
      </c>
      <c r="S153" s="81" t="s">
        <v>185</v>
      </c>
      <c r="T153" s="81">
        <v>2013</v>
      </c>
      <c r="U153" s="81" t="s">
        <v>199</v>
      </c>
      <c r="V153" s="100" t="s">
        <v>1275</v>
      </c>
      <c r="W153" s="100" t="s">
        <v>1276</v>
      </c>
      <c r="X153" s="81">
        <v>2014</v>
      </c>
      <c r="Y153" s="81"/>
      <c r="Z153" s="81" t="s">
        <v>1493</v>
      </c>
      <c r="AA153" s="81" t="s">
        <v>1493</v>
      </c>
      <c r="AB153" s="81" t="s">
        <v>1493</v>
      </c>
      <c r="AC153" s="54" t="s">
        <v>1504</v>
      </c>
    </row>
    <row r="154" spans="1:29" ht="38.25" customHeight="1" x14ac:dyDescent="0.3">
      <c r="A154" s="81">
        <v>3083</v>
      </c>
      <c r="B154" s="81" t="s">
        <v>274</v>
      </c>
      <c r="C154" s="140" t="s">
        <v>497</v>
      </c>
      <c r="D154" s="146" t="s">
        <v>22</v>
      </c>
      <c r="E154" s="122" t="s">
        <v>215</v>
      </c>
      <c r="F154" s="81" t="s">
        <v>476</v>
      </c>
      <c r="G154" s="81" t="s">
        <v>229</v>
      </c>
      <c r="H154" s="81" t="s">
        <v>3</v>
      </c>
      <c r="I154" s="109">
        <v>2005</v>
      </c>
      <c r="J154" s="132">
        <v>28</v>
      </c>
      <c r="K154" s="132">
        <v>14.2</v>
      </c>
      <c r="L154" s="54" t="s">
        <v>29</v>
      </c>
      <c r="M154" s="131">
        <v>9.9</v>
      </c>
      <c r="N154" s="142" t="s">
        <v>585</v>
      </c>
      <c r="O154" s="142" t="s">
        <v>585</v>
      </c>
      <c r="P154" s="111" t="s">
        <v>794</v>
      </c>
      <c r="Q154" s="142" t="s">
        <v>585</v>
      </c>
      <c r="R154" s="81" t="s">
        <v>497</v>
      </c>
      <c r="S154" s="81" t="s">
        <v>185</v>
      </c>
      <c r="T154" s="81">
        <v>2013</v>
      </c>
      <c r="U154" s="81" t="s">
        <v>199</v>
      </c>
      <c r="V154" s="100" t="s">
        <v>1277</v>
      </c>
      <c r="W154" s="100" t="s">
        <v>1278</v>
      </c>
      <c r="X154" s="81">
        <v>2009</v>
      </c>
      <c r="Y154" s="81"/>
      <c r="Z154" s="81" t="s">
        <v>1493</v>
      </c>
      <c r="AA154" s="81" t="s">
        <v>1493</v>
      </c>
      <c r="AB154" s="81" t="s">
        <v>1493</v>
      </c>
      <c r="AC154" s="54" t="s">
        <v>1504</v>
      </c>
    </row>
    <row r="155" spans="1:29" ht="38.25" customHeight="1" x14ac:dyDescent="0.3">
      <c r="A155" s="81">
        <v>3106</v>
      </c>
      <c r="B155" s="81" t="s">
        <v>274</v>
      </c>
      <c r="C155" s="140" t="s">
        <v>497</v>
      </c>
      <c r="D155" s="146" t="s">
        <v>23</v>
      </c>
      <c r="E155" s="122" t="s">
        <v>214</v>
      </c>
      <c r="F155" s="81" t="s">
        <v>476</v>
      </c>
      <c r="G155" s="81" t="s">
        <v>229</v>
      </c>
      <c r="H155" s="81" t="s">
        <v>3</v>
      </c>
      <c r="I155" s="109">
        <v>2005</v>
      </c>
      <c r="J155" s="132">
        <v>34</v>
      </c>
      <c r="K155" s="132">
        <v>18.2</v>
      </c>
      <c r="L155" s="54" t="s">
        <v>29</v>
      </c>
      <c r="M155" s="131">
        <v>18.899999999999999</v>
      </c>
      <c r="N155" s="142" t="s">
        <v>585</v>
      </c>
      <c r="O155" s="142" t="s">
        <v>585</v>
      </c>
      <c r="P155" s="111" t="s">
        <v>794</v>
      </c>
      <c r="Q155" s="142" t="s">
        <v>585</v>
      </c>
      <c r="R155" s="81" t="s">
        <v>497</v>
      </c>
      <c r="S155" s="81" t="s">
        <v>185</v>
      </c>
      <c r="T155" s="81">
        <v>2013</v>
      </c>
      <c r="U155" s="81" t="s">
        <v>199</v>
      </c>
      <c r="V155" s="100" t="s">
        <v>1279</v>
      </c>
      <c r="W155" s="100" t="s">
        <v>1280</v>
      </c>
      <c r="X155" s="81">
        <v>2009</v>
      </c>
      <c r="Y155" s="81"/>
      <c r="Z155" s="81" t="s">
        <v>1493</v>
      </c>
      <c r="AA155" s="81" t="s">
        <v>1493</v>
      </c>
      <c r="AB155" s="81" t="s">
        <v>1493</v>
      </c>
      <c r="AC155" s="54" t="s">
        <v>1504</v>
      </c>
    </row>
    <row r="156" spans="1:29" ht="38.25" customHeight="1" x14ac:dyDescent="0.3">
      <c r="A156" s="81">
        <v>3105</v>
      </c>
      <c r="B156" s="81" t="s">
        <v>274</v>
      </c>
      <c r="C156" s="140" t="s">
        <v>497</v>
      </c>
      <c r="D156" s="146" t="s">
        <v>24</v>
      </c>
      <c r="E156" s="122" t="s">
        <v>213</v>
      </c>
      <c r="F156" s="81" t="s">
        <v>476</v>
      </c>
      <c r="G156" s="81" t="s">
        <v>229</v>
      </c>
      <c r="H156" s="81" t="s">
        <v>3</v>
      </c>
      <c r="I156" s="109">
        <v>2005</v>
      </c>
      <c r="J156" s="132">
        <v>32</v>
      </c>
      <c r="K156" s="132">
        <v>16.5</v>
      </c>
      <c r="L156" s="54" t="s">
        <v>29</v>
      </c>
      <c r="M156" s="131">
        <v>11.2</v>
      </c>
      <c r="N156" s="142" t="s">
        <v>585</v>
      </c>
      <c r="O156" s="142" t="s">
        <v>585</v>
      </c>
      <c r="P156" s="111" t="s">
        <v>794</v>
      </c>
      <c r="Q156" s="142" t="s">
        <v>585</v>
      </c>
      <c r="R156" s="81" t="s">
        <v>497</v>
      </c>
      <c r="S156" s="81" t="s">
        <v>185</v>
      </c>
      <c r="T156" s="81">
        <v>2013</v>
      </c>
      <c r="U156" s="81" t="s">
        <v>199</v>
      </c>
      <c r="V156" s="100" t="s">
        <v>1281</v>
      </c>
      <c r="W156" s="100" t="s">
        <v>1282</v>
      </c>
      <c r="X156" s="81">
        <v>2009</v>
      </c>
      <c r="Y156" s="81"/>
      <c r="Z156" s="81" t="s">
        <v>1493</v>
      </c>
      <c r="AA156" s="81" t="s">
        <v>1493</v>
      </c>
      <c r="AB156" s="81" t="s">
        <v>1493</v>
      </c>
      <c r="AC156" s="54" t="s">
        <v>1504</v>
      </c>
    </row>
    <row r="157" spans="1:29" ht="38.25" customHeight="1" x14ac:dyDescent="0.3">
      <c r="A157" s="81">
        <v>3104</v>
      </c>
      <c r="B157" s="81" t="s">
        <v>274</v>
      </c>
      <c r="C157" s="140" t="s">
        <v>497</v>
      </c>
      <c r="D157" s="146" t="s">
        <v>25</v>
      </c>
      <c r="E157" s="122" t="s">
        <v>212</v>
      </c>
      <c r="F157" s="81" t="s">
        <v>476</v>
      </c>
      <c r="G157" s="81" t="s">
        <v>229</v>
      </c>
      <c r="H157" s="81" t="s">
        <v>3</v>
      </c>
      <c r="I157" s="109">
        <v>2005</v>
      </c>
      <c r="J157" s="132">
        <v>14</v>
      </c>
      <c r="K157" s="132">
        <v>7</v>
      </c>
      <c r="L157" s="54" t="s">
        <v>29</v>
      </c>
      <c r="M157" s="131">
        <v>3.4</v>
      </c>
      <c r="N157" s="142" t="s">
        <v>585</v>
      </c>
      <c r="O157" s="142" t="s">
        <v>585</v>
      </c>
      <c r="P157" s="111" t="s">
        <v>794</v>
      </c>
      <c r="Q157" s="142" t="s">
        <v>585</v>
      </c>
      <c r="R157" s="81" t="s">
        <v>497</v>
      </c>
      <c r="S157" s="81" t="s">
        <v>185</v>
      </c>
      <c r="T157" s="81">
        <v>2013</v>
      </c>
      <c r="U157" s="81" t="s">
        <v>199</v>
      </c>
      <c r="V157" s="100" t="s">
        <v>1283</v>
      </c>
      <c r="W157" s="100" t="s">
        <v>1284</v>
      </c>
      <c r="X157" s="81">
        <v>2009</v>
      </c>
      <c r="Y157" s="81"/>
      <c r="Z157" s="81" t="s">
        <v>1493</v>
      </c>
      <c r="AA157" s="81" t="s">
        <v>1493</v>
      </c>
      <c r="AB157" s="81" t="s">
        <v>1493</v>
      </c>
      <c r="AC157" s="54" t="s">
        <v>1504</v>
      </c>
    </row>
    <row r="158" spans="1:29" ht="38.25" customHeight="1" x14ac:dyDescent="0.3">
      <c r="A158" s="81">
        <v>3103</v>
      </c>
      <c r="B158" s="81" t="s">
        <v>274</v>
      </c>
      <c r="C158" s="140" t="s">
        <v>497</v>
      </c>
      <c r="D158" s="146" t="s">
        <v>26</v>
      </c>
      <c r="E158" s="122" t="s">
        <v>211</v>
      </c>
      <c r="F158" s="81" t="s">
        <v>476</v>
      </c>
      <c r="G158" s="81" t="s">
        <v>229</v>
      </c>
      <c r="H158" s="81" t="s">
        <v>3</v>
      </c>
      <c r="I158" s="109">
        <v>2005</v>
      </c>
      <c r="J158" s="132">
        <v>11</v>
      </c>
      <c r="K158" s="132">
        <v>6</v>
      </c>
      <c r="L158" s="54" t="s">
        <v>29</v>
      </c>
      <c r="M158" s="131">
        <v>3.4</v>
      </c>
      <c r="N158" s="142" t="s">
        <v>585</v>
      </c>
      <c r="O158" s="142" t="s">
        <v>585</v>
      </c>
      <c r="P158" s="111" t="s">
        <v>794</v>
      </c>
      <c r="Q158" s="142" t="s">
        <v>585</v>
      </c>
      <c r="R158" s="81" t="s">
        <v>497</v>
      </c>
      <c r="S158" s="81" t="s">
        <v>185</v>
      </c>
      <c r="T158" s="81">
        <v>2013</v>
      </c>
      <c r="U158" s="81" t="s">
        <v>199</v>
      </c>
      <c r="V158" s="100" t="s">
        <v>1285</v>
      </c>
      <c r="W158" s="100" t="s">
        <v>1286</v>
      </c>
      <c r="X158" s="81">
        <v>2009</v>
      </c>
      <c r="Y158" s="81"/>
      <c r="Z158" s="81" t="s">
        <v>1493</v>
      </c>
      <c r="AA158" s="81" t="s">
        <v>1493</v>
      </c>
      <c r="AB158" s="81" t="s">
        <v>1493</v>
      </c>
      <c r="AC158" s="54" t="s">
        <v>1504</v>
      </c>
    </row>
    <row r="159" spans="1:29" ht="38.25" customHeight="1" x14ac:dyDescent="0.3">
      <c r="A159" s="81">
        <v>3102</v>
      </c>
      <c r="B159" s="81" t="s">
        <v>274</v>
      </c>
      <c r="C159" s="140" t="s">
        <v>497</v>
      </c>
      <c r="D159" s="146" t="s">
        <v>27</v>
      </c>
      <c r="E159" s="122" t="s">
        <v>210</v>
      </c>
      <c r="F159" s="81" t="s">
        <v>477</v>
      </c>
      <c r="G159" s="109" t="s">
        <v>1490</v>
      </c>
      <c r="H159" s="81" t="s">
        <v>3</v>
      </c>
      <c r="I159" s="141" t="s">
        <v>712</v>
      </c>
      <c r="J159" s="132">
        <v>4</v>
      </c>
      <c r="K159" s="132">
        <v>2.4</v>
      </c>
      <c r="L159" s="54" t="s">
        <v>29</v>
      </c>
      <c r="M159" s="131">
        <v>1.5</v>
      </c>
      <c r="N159" s="142" t="s">
        <v>585</v>
      </c>
      <c r="O159" s="142" t="s">
        <v>585</v>
      </c>
      <c r="P159" s="111" t="s">
        <v>794</v>
      </c>
      <c r="Q159" s="142" t="s">
        <v>585</v>
      </c>
      <c r="R159" s="81" t="s">
        <v>497</v>
      </c>
      <c r="S159" s="81" t="s">
        <v>185</v>
      </c>
      <c r="T159" s="81">
        <v>2013</v>
      </c>
      <c r="U159" s="81" t="s">
        <v>199</v>
      </c>
      <c r="V159" s="100" t="s">
        <v>1287</v>
      </c>
      <c r="W159" s="100" t="s">
        <v>1288</v>
      </c>
      <c r="X159" s="81">
        <v>2000</v>
      </c>
      <c r="Y159" s="81"/>
      <c r="Z159" s="81" t="s">
        <v>1493</v>
      </c>
      <c r="AA159" s="81" t="s">
        <v>1493</v>
      </c>
      <c r="AB159" s="81" t="s">
        <v>1493</v>
      </c>
      <c r="AC159" s="54" t="s">
        <v>1504</v>
      </c>
    </row>
    <row r="160" spans="1:29" ht="25.5" customHeight="1" x14ac:dyDescent="0.3">
      <c r="A160" s="81">
        <v>3202</v>
      </c>
      <c r="B160" s="81" t="s">
        <v>274</v>
      </c>
      <c r="C160" s="140" t="s">
        <v>497</v>
      </c>
      <c r="D160" s="146" t="s">
        <v>106</v>
      </c>
      <c r="E160" s="122" t="s">
        <v>209</v>
      </c>
      <c r="F160" s="81" t="s">
        <v>477</v>
      </c>
      <c r="G160" s="109" t="s">
        <v>1490</v>
      </c>
      <c r="H160" s="81" t="s">
        <v>3</v>
      </c>
      <c r="I160" s="141" t="s">
        <v>712</v>
      </c>
      <c r="J160" s="132">
        <v>18</v>
      </c>
      <c r="K160" s="132">
        <v>7.5</v>
      </c>
      <c r="L160" s="54" t="s">
        <v>29</v>
      </c>
      <c r="M160" s="131">
        <v>5.9</v>
      </c>
      <c r="N160" s="142" t="s">
        <v>585</v>
      </c>
      <c r="O160" s="142" t="s">
        <v>585</v>
      </c>
      <c r="P160" s="111" t="s">
        <v>794</v>
      </c>
      <c r="Q160" s="142" t="s">
        <v>585</v>
      </c>
      <c r="R160" s="81" t="s">
        <v>497</v>
      </c>
      <c r="S160" s="81" t="s">
        <v>185</v>
      </c>
      <c r="T160" s="81">
        <v>2013</v>
      </c>
      <c r="U160" s="81" t="s">
        <v>199</v>
      </c>
      <c r="V160" s="100" t="s">
        <v>1289</v>
      </c>
      <c r="W160" s="100" t="s">
        <v>1290</v>
      </c>
      <c r="X160" s="81">
        <v>2000</v>
      </c>
      <c r="Y160" s="81"/>
      <c r="Z160" s="81" t="s">
        <v>1493</v>
      </c>
      <c r="AA160" s="81" t="s">
        <v>1493</v>
      </c>
      <c r="AB160" s="81" t="s">
        <v>1493</v>
      </c>
      <c r="AC160" s="54" t="s">
        <v>1504</v>
      </c>
    </row>
    <row r="161" spans="1:29" ht="25.5" customHeight="1" x14ac:dyDescent="0.3">
      <c r="A161" s="81">
        <v>3185</v>
      </c>
      <c r="B161" s="81" t="s">
        <v>274</v>
      </c>
      <c r="C161" s="140" t="s">
        <v>497</v>
      </c>
      <c r="D161" s="146" t="s">
        <v>107</v>
      </c>
      <c r="E161" s="122" t="s">
        <v>208</v>
      </c>
      <c r="F161" s="81" t="s">
        <v>478</v>
      </c>
      <c r="G161" s="109" t="s">
        <v>1490</v>
      </c>
      <c r="H161" s="81" t="s">
        <v>3</v>
      </c>
      <c r="I161" s="141" t="s">
        <v>712</v>
      </c>
      <c r="J161" s="132">
        <v>45</v>
      </c>
      <c r="K161" s="132">
        <v>21.1</v>
      </c>
      <c r="L161" s="54" t="s">
        <v>29</v>
      </c>
      <c r="M161" s="131">
        <v>9.9</v>
      </c>
      <c r="N161" s="142" t="s">
        <v>585</v>
      </c>
      <c r="O161" s="142" t="s">
        <v>585</v>
      </c>
      <c r="P161" s="111" t="s">
        <v>794</v>
      </c>
      <c r="Q161" s="142" t="s">
        <v>585</v>
      </c>
      <c r="R161" s="81" t="s">
        <v>497</v>
      </c>
      <c r="S161" s="81" t="s">
        <v>185</v>
      </c>
      <c r="T161" s="81">
        <v>2013</v>
      </c>
      <c r="U161" s="81" t="s">
        <v>199</v>
      </c>
      <c r="V161" s="100" t="s">
        <v>1291</v>
      </c>
      <c r="W161" s="100" t="s">
        <v>1292</v>
      </c>
      <c r="X161" s="81">
        <v>1988</v>
      </c>
      <c r="Y161" s="81"/>
      <c r="Z161" s="81" t="s">
        <v>1493</v>
      </c>
      <c r="AA161" s="81" t="s">
        <v>1493</v>
      </c>
      <c r="AB161" s="81" t="s">
        <v>1493</v>
      </c>
      <c r="AC161" s="54" t="s">
        <v>1504</v>
      </c>
    </row>
    <row r="162" spans="1:29" ht="25.5" customHeight="1" x14ac:dyDescent="0.3">
      <c r="A162" s="81">
        <v>3187</v>
      </c>
      <c r="B162" s="81" t="s">
        <v>274</v>
      </c>
      <c r="C162" s="140" t="s">
        <v>497</v>
      </c>
      <c r="D162" s="146" t="s">
        <v>108</v>
      </c>
      <c r="E162" s="122" t="s">
        <v>207</v>
      </c>
      <c r="F162" s="81" t="s">
        <v>479</v>
      </c>
      <c r="G162" s="109" t="s">
        <v>1490</v>
      </c>
      <c r="H162" s="81" t="s">
        <v>3</v>
      </c>
      <c r="I162" s="141" t="s">
        <v>712</v>
      </c>
      <c r="J162" s="132">
        <v>6</v>
      </c>
      <c r="K162" s="132">
        <v>3.4</v>
      </c>
      <c r="L162" s="54" t="s">
        <v>29</v>
      </c>
      <c r="M162" s="131">
        <v>2.2999999999999998</v>
      </c>
      <c r="N162" s="142" t="s">
        <v>585</v>
      </c>
      <c r="O162" s="142" t="s">
        <v>585</v>
      </c>
      <c r="P162" s="111" t="s">
        <v>794</v>
      </c>
      <c r="Q162" s="142" t="s">
        <v>585</v>
      </c>
      <c r="R162" s="81" t="s">
        <v>497</v>
      </c>
      <c r="S162" s="81" t="s">
        <v>185</v>
      </c>
      <c r="T162" s="81">
        <v>2013</v>
      </c>
      <c r="U162" s="81" t="s">
        <v>199</v>
      </c>
      <c r="V162" s="100" t="s">
        <v>1293</v>
      </c>
      <c r="W162" s="100" t="s">
        <v>1294</v>
      </c>
      <c r="X162" s="81">
        <v>1997</v>
      </c>
      <c r="Y162" s="81"/>
      <c r="Z162" s="81" t="s">
        <v>1493</v>
      </c>
      <c r="AA162" s="81" t="s">
        <v>1493</v>
      </c>
      <c r="AB162" s="81" t="s">
        <v>1493</v>
      </c>
      <c r="AC162" s="54" t="s">
        <v>1504</v>
      </c>
    </row>
    <row r="163" spans="1:29" ht="25.5" customHeight="1" x14ac:dyDescent="0.3">
      <c r="A163" s="81">
        <v>3211</v>
      </c>
      <c r="B163" s="81" t="s">
        <v>274</v>
      </c>
      <c r="C163" s="140" t="s">
        <v>497</v>
      </c>
      <c r="D163" s="146" t="s">
        <v>109</v>
      </c>
      <c r="E163" s="81" t="s">
        <v>1</v>
      </c>
      <c r="F163" s="81" t="s">
        <v>613</v>
      </c>
      <c r="G163" s="81" t="s">
        <v>1</v>
      </c>
      <c r="H163" s="81" t="s">
        <v>1517</v>
      </c>
      <c r="I163" s="141" t="s">
        <v>497</v>
      </c>
      <c r="J163" s="132">
        <v>86</v>
      </c>
      <c r="K163" s="132">
        <v>28</v>
      </c>
      <c r="L163" s="54" t="s">
        <v>29</v>
      </c>
      <c r="M163" s="131" t="s">
        <v>497</v>
      </c>
      <c r="N163" s="142" t="s">
        <v>585</v>
      </c>
      <c r="O163" s="142" t="s">
        <v>585</v>
      </c>
      <c r="P163" s="111" t="s">
        <v>794</v>
      </c>
      <c r="Q163" s="142" t="s">
        <v>585</v>
      </c>
      <c r="R163" s="81" t="s">
        <v>497</v>
      </c>
      <c r="S163" s="81" t="s">
        <v>184</v>
      </c>
      <c r="T163" s="81">
        <v>2013</v>
      </c>
      <c r="U163" s="81" t="s">
        <v>199</v>
      </c>
      <c r="V163" s="145" t="s">
        <v>497</v>
      </c>
      <c r="W163" s="145" t="s">
        <v>497</v>
      </c>
      <c r="X163" s="81">
        <v>2004</v>
      </c>
      <c r="Y163" s="81"/>
      <c r="Z163" s="81" t="s">
        <v>1492</v>
      </c>
      <c r="AA163" s="81" t="s">
        <v>1492</v>
      </c>
      <c r="AB163" s="81" t="s">
        <v>1500</v>
      </c>
      <c r="AC163" s="54" t="s">
        <v>1501</v>
      </c>
    </row>
    <row r="164" spans="1:29" ht="25.5" customHeight="1" x14ac:dyDescent="0.3">
      <c r="A164" s="81">
        <v>3210</v>
      </c>
      <c r="B164" s="81" t="s">
        <v>274</v>
      </c>
      <c r="C164" s="140" t="s">
        <v>497</v>
      </c>
      <c r="D164" s="146" t="s">
        <v>110</v>
      </c>
      <c r="E164" s="81" t="s">
        <v>4</v>
      </c>
      <c r="F164" s="81" t="s">
        <v>614</v>
      </c>
      <c r="G164" s="81" t="s">
        <v>4</v>
      </c>
      <c r="H164" s="81" t="s">
        <v>1517</v>
      </c>
      <c r="I164" s="141" t="s">
        <v>497</v>
      </c>
      <c r="J164" s="132">
        <v>466</v>
      </c>
      <c r="K164" s="132">
        <v>254</v>
      </c>
      <c r="L164" s="54" t="s">
        <v>29</v>
      </c>
      <c r="M164" s="131" t="s">
        <v>497</v>
      </c>
      <c r="N164" s="142" t="s">
        <v>585</v>
      </c>
      <c r="O164" s="142" t="s">
        <v>585</v>
      </c>
      <c r="P164" s="111" t="s">
        <v>794</v>
      </c>
      <c r="Q164" s="142" t="s">
        <v>585</v>
      </c>
      <c r="R164" s="81" t="s">
        <v>497</v>
      </c>
      <c r="S164" s="81" t="s">
        <v>184</v>
      </c>
      <c r="T164" s="81">
        <v>2013</v>
      </c>
      <c r="U164" s="81" t="s">
        <v>199</v>
      </c>
      <c r="V164" s="145" t="s">
        <v>497</v>
      </c>
      <c r="W164" s="145" t="s">
        <v>497</v>
      </c>
      <c r="X164" s="81">
        <v>2015</v>
      </c>
      <c r="Y164" s="81"/>
      <c r="Z164" s="81" t="s">
        <v>1492</v>
      </c>
      <c r="AA164" s="81" t="s">
        <v>1492</v>
      </c>
      <c r="AB164" s="81" t="s">
        <v>1498</v>
      </c>
      <c r="AC164" s="54" t="s">
        <v>1499</v>
      </c>
    </row>
    <row r="165" spans="1:29" ht="25.5" customHeight="1" x14ac:dyDescent="0.3">
      <c r="A165" s="81">
        <v>3209</v>
      </c>
      <c r="B165" s="81" t="s">
        <v>274</v>
      </c>
      <c r="C165" s="140" t="s">
        <v>497</v>
      </c>
      <c r="D165" s="146" t="s">
        <v>111</v>
      </c>
      <c r="E165" s="81" t="s">
        <v>5</v>
      </c>
      <c r="F165" s="81" t="s">
        <v>472</v>
      </c>
      <c r="G165" s="81" t="s">
        <v>5</v>
      </c>
      <c r="H165" s="81" t="s">
        <v>3</v>
      </c>
      <c r="I165" s="109">
        <v>2005</v>
      </c>
      <c r="J165" s="132">
        <v>2785</v>
      </c>
      <c r="K165" s="132">
        <v>426</v>
      </c>
      <c r="L165" s="54" t="s">
        <v>29</v>
      </c>
      <c r="M165" s="131" t="s">
        <v>497</v>
      </c>
      <c r="N165" s="142" t="s">
        <v>585</v>
      </c>
      <c r="O165" s="142" t="s">
        <v>585</v>
      </c>
      <c r="P165" s="111" t="s">
        <v>794</v>
      </c>
      <c r="Q165" s="142" t="s">
        <v>585</v>
      </c>
      <c r="R165" s="81" t="s">
        <v>497</v>
      </c>
      <c r="S165" s="81" t="s">
        <v>184</v>
      </c>
      <c r="T165" s="81">
        <v>2013</v>
      </c>
      <c r="U165" s="81" t="s">
        <v>199</v>
      </c>
      <c r="V165" s="145" t="s">
        <v>497</v>
      </c>
      <c r="W165" s="145" t="s">
        <v>497</v>
      </c>
      <c r="X165" s="81">
        <v>2005</v>
      </c>
      <c r="Y165" s="81"/>
      <c r="Z165" s="81" t="s">
        <v>1492</v>
      </c>
      <c r="AA165" s="81" t="s">
        <v>1492</v>
      </c>
      <c r="AB165" s="81" t="s">
        <v>1493</v>
      </c>
      <c r="AC165" s="54" t="s">
        <v>1501</v>
      </c>
    </row>
    <row r="166" spans="1:29" ht="25.5" customHeight="1" x14ac:dyDescent="0.3">
      <c r="A166" s="81">
        <v>3208</v>
      </c>
      <c r="B166" s="81" t="s">
        <v>6</v>
      </c>
      <c r="C166" s="140" t="s">
        <v>585</v>
      </c>
      <c r="D166" s="146" t="s">
        <v>358</v>
      </c>
      <c r="E166" s="81" t="s">
        <v>40</v>
      </c>
      <c r="F166" s="81" t="s">
        <v>615</v>
      </c>
      <c r="G166" s="81" t="s">
        <v>226</v>
      </c>
      <c r="H166" s="81" t="s">
        <v>3</v>
      </c>
      <c r="I166" s="141" t="s">
        <v>712</v>
      </c>
      <c r="J166" s="132">
        <v>312</v>
      </c>
      <c r="K166" s="132">
        <v>44.2</v>
      </c>
      <c r="L166" s="54" t="s">
        <v>30</v>
      </c>
      <c r="M166" s="131" t="s">
        <v>497</v>
      </c>
      <c r="N166" s="142" t="s">
        <v>585</v>
      </c>
      <c r="O166" s="142" t="s">
        <v>585</v>
      </c>
      <c r="P166" s="142" t="s">
        <v>585</v>
      </c>
      <c r="Q166" s="142" t="s">
        <v>585</v>
      </c>
      <c r="R166" s="81" t="s">
        <v>497</v>
      </c>
      <c r="S166" s="81" t="s">
        <v>184</v>
      </c>
      <c r="T166" s="81">
        <v>2013</v>
      </c>
      <c r="U166" s="81" t="s">
        <v>199</v>
      </c>
      <c r="V166" s="145" t="s">
        <v>497</v>
      </c>
      <c r="W166" s="145" t="s">
        <v>497</v>
      </c>
      <c r="X166" s="140" t="s">
        <v>585</v>
      </c>
      <c r="Y166" s="81"/>
      <c r="Z166" s="81" t="s">
        <v>1492</v>
      </c>
      <c r="AA166" s="81" t="s">
        <v>1492</v>
      </c>
      <c r="AB166" s="81" t="s">
        <v>1493</v>
      </c>
      <c r="AC166" s="54" t="s">
        <v>1501</v>
      </c>
    </row>
    <row r="167" spans="1:29" ht="25.5" customHeight="1" x14ac:dyDescent="0.3">
      <c r="A167" s="81">
        <v>3207</v>
      </c>
      <c r="B167" s="81" t="s">
        <v>6</v>
      </c>
      <c r="C167" s="140" t="s">
        <v>585</v>
      </c>
      <c r="D167" s="146" t="s">
        <v>359</v>
      </c>
      <c r="E167" s="81" t="s">
        <v>43</v>
      </c>
      <c r="F167" s="81" t="s">
        <v>480</v>
      </c>
      <c r="G167" s="81" t="s">
        <v>226</v>
      </c>
      <c r="H167" s="81" t="s">
        <v>3</v>
      </c>
      <c r="I167" s="109">
        <v>2010</v>
      </c>
      <c r="J167" s="132">
        <v>140</v>
      </c>
      <c r="K167" s="132">
        <v>557.20000000000005</v>
      </c>
      <c r="L167" s="54" t="s">
        <v>30</v>
      </c>
      <c r="M167" s="131" t="s">
        <v>585</v>
      </c>
      <c r="N167" s="142" t="s">
        <v>585</v>
      </c>
      <c r="O167" s="142" t="s">
        <v>585</v>
      </c>
      <c r="P167" s="142" t="s">
        <v>585</v>
      </c>
      <c r="Q167" s="142" t="s">
        <v>585</v>
      </c>
      <c r="R167" s="81" t="s">
        <v>497</v>
      </c>
      <c r="S167" s="81" t="s">
        <v>184</v>
      </c>
      <c r="T167" s="81">
        <v>2013</v>
      </c>
      <c r="U167" s="81" t="s">
        <v>199</v>
      </c>
      <c r="V167" s="100" t="s">
        <v>1295</v>
      </c>
      <c r="W167" s="100" t="s">
        <v>1296</v>
      </c>
      <c r="X167" s="140" t="s">
        <v>585</v>
      </c>
      <c r="Y167" s="81"/>
      <c r="Z167" s="81" t="s">
        <v>1493</v>
      </c>
      <c r="AA167" s="81" t="s">
        <v>1492</v>
      </c>
      <c r="AB167" s="81" t="s">
        <v>1493</v>
      </c>
      <c r="AC167" s="54" t="s">
        <v>1501</v>
      </c>
    </row>
    <row r="168" spans="1:29" ht="25.5" customHeight="1" x14ac:dyDescent="0.3">
      <c r="A168" s="81">
        <v>3206</v>
      </c>
      <c r="B168" s="81" t="s">
        <v>6</v>
      </c>
      <c r="C168" s="140" t="s">
        <v>585</v>
      </c>
      <c r="D168" s="146" t="s">
        <v>360</v>
      </c>
      <c r="E168" s="81" t="s">
        <v>44</v>
      </c>
      <c r="F168" s="81" t="s">
        <v>480</v>
      </c>
      <c r="G168" s="81" t="s">
        <v>226</v>
      </c>
      <c r="H168" s="81" t="s">
        <v>3</v>
      </c>
      <c r="I168" s="109">
        <v>2010</v>
      </c>
      <c r="J168" s="132">
        <v>256</v>
      </c>
      <c r="K168" s="132">
        <v>308.10000000000002</v>
      </c>
      <c r="L168" s="54" t="s">
        <v>30</v>
      </c>
      <c r="M168" s="131" t="s">
        <v>585</v>
      </c>
      <c r="N168" s="142" t="s">
        <v>585</v>
      </c>
      <c r="O168" s="142" t="s">
        <v>585</v>
      </c>
      <c r="P168" s="142" t="s">
        <v>585</v>
      </c>
      <c r="Q168" s="142" t="s">
        <v>585</v>
      </c>
      <c r="R168" s="81" t="s">
        <v>497</v>
      </c>
      <c r="S168" s="81" t="s">
        <v>184</v>
      </c>
      <c r="T168" s="81">
        <v>2013</v>
      </c>
      <c r="U168" s="81" t="s">
        <v>199</v>
      </c>
      <c r="V168" s="100" t="s">
        <v>1297</v>
      </c>
      <c r="W168" s="100" t="s">
        <v>1298</v>
      </c>
      <c r="X168" s="140" t="s">
        <v>585</v>
      </c>
      <c r="Y168" s="81"/>
      <c r="Z168" s="81" t="s">
        <v>1493</v>
      </c>
      <c r="AA168" s="81" t="s">
        <v>1492</v>
      </c>
      <c r="AB168" s="81" t="s">
        <v>1493</v>
      </c>
      <c r="AC168" s="54" t="s">
        <v>1501</v>
      </c>
    </row>
    <row r="169" spans="1:29" ht="25.5" customHeight="1" x14ac:dyDescent="0.3">
      <c r="A169" s="81">
        <v>3205</v>
      </c>
      <c r="B169" s="81" t="s">
        <v>6</v>
      </c>
      <c r="C169" s="140" t="s">
        <v>497</v>
      </c>
      <c r="D169" s="146" t="s">
        <v>361</v>
      </c>
      <c r="E169" s="81" t="s">
        <v>45</v>
      </c>
      <c r="F169" s="81" t="s">
        <v>481</v>
      </c>
      <c r="G169" s="81" t="s">
        <v>227</v>
      </c>
      <c r="H169" s="81" t="s">
        <v>3</v>
      </c>
      <c r="I169" s="109">
        <v>2010</v>
      </c>
      <c r="J169" s="132">
        <v>0</v>
      </c>
      <c r="K169" s="132">
        <v>0</v>
      </c>
      <c r="L169" s="54" t="s">
        <v>30</v>
      </c>
      <c r="M169" s="131" t="s">
        <v>497</v>
      </c>
      <c r="N169" s="142" t="s">
        <v>497</v>
      </c>
      <c r="O169" s="142" t="s">
        <v>497</v>
      </c>
      <c r="P169" s="142" t="s">
        <v>497</v>
      </c>
      <c r="Q169" s="142" t="s">
        <v>497</v>
      </c>
      <c r="R169" s="81" t="s">
        <v>497</v>
      </c>
      <c r="S169" s="81" t="s">
        <v>184</v>
      </c>
      <c r="T169" s="81">
        <v>2013</v>
      </c>
      <c r="U169" s="81" t="s">
        <v>199</v>
      </c>
      <c r="V169" s="100" t="s">
        <v>1299</v>
      </c>
      <c r="W169" s="100" t="s">
        <v>1300</v>
      </c>
      <c r="X169" s="140" t="s">
        <v>585</v>
      </c>
      <c r="Y169" s="81"/>
      <c r="Z169" s="81" t="s">
        <v>1493</v>
      </c>
      <c r="AA169" s="81" t="s">
        <v>1493</v>
      </c>
      <c r="AB169" s="81" t="s">
        <v>1493</v>
      </c>
      <c r="AC169" s="54" t="s">
        <v>1504</v>
      </c>
    </row>
    <row r="170" spans="1:29" ht="25.5" customHeight="1" x14ac:dyDescent="0.3">
      <c r="A170" s="81">
        <v>3195</v>
      </c>
      <c r="B170" s="81" t="s">
        <v>6</v>
      </c>
      <c r="C170" s="140" t="s">
        <v>497</v>
      </c>
      <c r="D170" s="146" t="s">
        <v>362</v>
      </c>
      <c r="E170" s="81" t="s">
        <v>46</v>
      </c>
      <c r="F170" s="81" t="s">
        <v>481</v>
      </c>
      <c r="G170" s="81" t="s">
        <v>227</v>
      </c>
      <c r="H170" s="81" t="s">
        <v>3</v>
      </c>
      <c r="I170" s="109">
        <v>2010</v>
      </c>
      <c r="J170" s="132">
        <v>3</v>
      </c>
      <c r="K170" s="132">
        <v>1</v>
      </c>
      <c r="L170" s="54" t="s">
        <v>30</v>
      </c>
      <c r="M170" s="131">
        <v>0.2</v>
      </c>
      <c r="N170" s="142" t="s">
        <v>497</v>
      </c>
      <c r="O170" s="142" t="s">
        <v>497</v>
      </c>
      <c r="P170" s="142" t="s">
        <v>497</v>
      </c>
      <c r="Q170" s="142" t="s">
        <v>497</v>
      </c>
      <c r="R170" s="81" t="s">
        <v>497</v>
      </c>
      <c r="S170" s="81" t="s">
        <v>184</v>
      </c>
      <c r="T170" s="81">
        <v>2013</v>
      </c>
      <c r="U170" s="81" t="s">
        <v>199</v>
      </c>
      <c r="V170" s="100" t="s">
        <v>1301</v>
      </c>
      <c r="W170" s="100" t="s">
        <v>1302</v>
      </c>
      <c r="X170" s="140" t="s">
        <v>585</v>
      </c>
      <c r="Y170" s="81"/>
      <c r="Z170" s="81" t="s">
        <v>1493</v>
      </c>
      <c r="AA170" s="81" t="s">
        <v>1493</v>
      </c>
      <c r="AB170" s="81" t="s">
        <v>1493</v>
      </c>
      <c r="AC170" s="54" t="s">
        <v>1504</v>
      </c>
    </row>
    <row r="171" spans="1:29" ht="25.5" customHeight="1" x14ac:dyDescent="0.3">
      <c r="A171" s="81">
        <v>3203</v>
      </c>
      <c r="B171" s="81" t="s">
        <v>6</v>
      </c>
      <c r="C171" s="140" t="s">
        <v>585</v>
      </c>
      <c r="D171" s="146" t="s">
        <v>363</v>
      </c>
      <c r="E171" s="81" t="s">
        <v>47</v>
      </c>
      <c r="F171" s="81" t="s">
        <v>482</v>
      </c>
      <c r="G171" s="81" t="s">
        <v>229</v>
      </c>
      <c r="H171" s="81" t="s">
        <v>3</v>
      </c>
      <c r="I171" s="141" t="s">
        <v>712</v>
      </c>
      <c r="J171" s="132">
        <v>2566</v>
      </c>
      <c r="K171" s="132">
        <v>1005</v>
      </c>
      <c r="L171" s="54" t="s">
        <v>30</v>
      </c>
      <c r="M171" s="131">
        <v>617.79999999999995</v>
      </c>
      <c r="N171" s="142" t="s">
        <v>585</v>
      </c>
      <c r="O171" s="142" t="s">
        <v>585</v>
      </c>
      <c r="P171" s="142" t="s">
        <v>585</v>
      </c>
      <c r="Q171" s="142" t="s">
        <v>585</v>
      </c>
      <c r="R171" s="81" t="s">
        <v>497</v>
      </c>
      <c r="S171" s="81" t="s">
        <v>185</v>
      </c>
      <c r="T171" s="81">
        <v>2013</v>
      </c>
      <c r="U171" s="81" t="s">
        <v>199</v>
      </c>
      <c r="V171" s="100" t="s">
        <v>1303</v>
      </c>
      <c r="W171" s="100" t="s">
        <v>1304</v>
      </c>
      <c r="X171" s="140" t="s">
        <v>585</v>
      </c>
      <c r="Y171" s="81"/>
      <c r="Z171" s="81" t="s">
        <v>1493</v>
      </c>
      <c r="AA171" s="81" t="s">
        <v>1493</v>
      </c>
      <c r="AB171" s="81" t="s">
        <v>1493</v>
      </c>
      <c r="AC171" s="54" t="s">
        <v>1504</v>
      </c>
    </row>
    <row r="172" spans="1:29" ht="25.5" customHeight="1" x14ac:dyDescent="0.3">
      <c r="A172" s="81">
        <v>3201</v>
      </c>
      <c r="B172" s="81" t="s">
        <v>6</v>
      </c>
      <c r="C172" s="140" t="s">
        <v>585</v>
      </c>
      <c r="D172" s="146" t="s">
        <v>364</v>
      </c>
      <c r="E172" s="81" t="s">
        <v>48</v>
      </c>
      <c r="F172" s="81" t="s">
        <v>483</v>
      </c>
      <c r="G172" s="81" t="s">
        <v>682</v>
      </c>
      <c r="H172" s="81" t="s">
        <v>3</v>
      </c>
      <c r="I172" s="109">
        <v>2014</v>
      </c>
      <c r="J172" s="132">
        <v>1255</v>
      </c>
      <c r="K172" s="132">
        <v>326.3</v>
      </c>
      <c r="L172" s="54" t="s">
        <v>30</v>
      </c>
      <c r="M172" s="131">
        <v>456.5</v>
      </c>
      <c r="N172" s="142" t="s">
        <v>585</v>
      </c>
      <c r="O172" s="142" t="s">
        <v>585</v>
      </c>
      <c r="P172" s="142" t="s">
        <v>585</v>
      </c>
      <c r="Q172" s="142" t="s">
        <v>585</v>
      </c>
      <c r="R172" s="81" t="s">
        <v>497</v>
      </c>
      <c r="S172" s="81" t="s">
        <v>184</v>
      </c>
      <c r="T172" s="81">
        <v>2013</v>
      </c>
      <c r="U172" s="81" t="s">
        <v>199</v>
      </c>
      <c r="V172" s="100" t="s">
        <v>1305</v>
      </c>
      <c r="W172" s="100" t="s">
        <v>1306</v>
      </c>
      <c r="X172" s="140" t="s">
        <v>585</v>
      </c>
      <c r="Y172" s="81"/>
      <c r="Z172" s="81" t="s">
        <v>1493</v>
      </c>
      <c r="AA172" s="81" t="s">
        <v>1493</v>
      </c>
      <c r="AB172" s="81" t="s">
        <v>1493</v>
      </c>
      <c r="AC172" s="54" t="s">
        <v>1504</v>
      </c>
    </row>
    <row r="173" spans="1:29" ht="25.5" customHeight="1" x14ac:dyDescent="0.3">
      <c r="A173" s="81">
        <v>3200</v>
      </c>
      <c r="B173" s="81" t="s">
        <v>6</v>
      </c>
      <c r="C173" s="140" t="s">
        <v>585</v>
      </c>
      <c r="D173" s="146" t="s">
        <v>365</v>
      </c>
      <c r="E173" s="81" t="s">
        <v>49</v>
      </c>
      <c r="F173" s="81" t="s">
        <v>483</v>
      </c>
      <c r="G173" s="81" t="s">
        <v>682</v>
      </c>
      <c r="H173" s="81" t="s">
        <v>3</v>
      </c>
      <c r="I173" s="109">
        <v>2014</v>
      </c>
      <c r="J173" s="132">
        <v>3043</v>
      </c>
      <c r="K173" s="132">
        <v>588.5</v>
      </c>
      <c r="L173" s="54" t="s">
        <v>30</v>
      </c>
      <c r="M173" s="131">
        <v>549</v>
      </c>
      <c r="N173" s="142" t="s">
        <v>585</v>
      </c>
      <c r="O173" s="142" t="s">
        <v>585</v>
      </c>
      <c r="P173" s="142" t="s">
        <v>585</v>
      </c>
      <c r="Q173" s="142" t="s">
        <v>585</v>
      </c>
      <c r="R173" s="81" t="s">
        <v>497</v>
      </c>
      <c r="S173" s="81" t="s">
        <v>184</v>
      </c>
      <c r="T173" s="81">
        <v>2013</v>
      </c>
      <c r="U173" s="81" t="s">
        <v>199</v>
      </c>
      <c r="V173" s="100" t="s">
        <v>1307</v>
      </c>
      <c r="W173" s="100" t="s">
        <v>1308</v>
      </c>
      <c r="X173" s="140" t="s">
        <v>585</v>
      </c>
      <c r="Y173" s="81"/>
      <c r="Z173" s="81" t="s">
        <v>1493</v>
      </c>
      <c r="AA173" s="81" t="s">
        <v>1493</v>
      </c>
      <c r="AB173" s="81" t="s">
        <v>1493</v>
      </c>
      <c r="AC173" s="54" t="s">
        <v>1504</v>
      </c>
    </row>
    <row r="174" spans="1:29" ht="51" customHeight="1" x14ac:dyDescent="0.3">
      <c r="A174" s="81">
        <v>3199</v>
      </c>
      <c r="B174" s="81" t="s">
        <v>6</v>
      </c>
      <c r="C174" s="140" t="s">
        <v>585</v>
      </c>
      <c r="D174" s="146" t="s">
        <v>366</v>
      </c>
      <c r="E174" s="81" t="s">
        <v>50</v>
      </c>
      <c r="F174" s="81" t="s">
        <v>484</v>
      </c>
      <c r="G174" s="81" t="s">
        <v>181</v>
      </c>
      <c r="H174" s="81" t="s">
        <v>3</v>
      </c>
      <c r="I174" s="109">
        <v>2014</v>
      </c>
      <c r="J174" s="132">
        <v>1290</v>
      </c>
      <c r="K174" s="132">
        <v>270.8</v>
      </c>
      <c r="L174" s="54" t="s">
        <v>30</v>
      </c>
      <c r="M174" s="131">
        <v>1614.1</v>
      </c>
      <c r="N174" s="142" t="s">
        <v>585</v>
      </c>
      <c r="O174" s="142" t="s">
        <v>585</v>
      </c>
      <c r="P174" s="142" t="s">
        <v>585</v>
      </c>
      <c r="Q174" s="142" t="s">
        <v>585</v>
      </c>
      <c r="R174" s="81" t="s">
        <v>497</v>
      </c>
      <c r="S174" s="81" t="s">
        <v>185</v>
      </c>
      <c r="T174" s="81">
        <v>2013</v>
      </c>
      <c r="U174" s="81" t="s">
        <v>199</v>
      </c>
      <c r="V174" s="100" t="s">
        <v>1309</v>
      </c>
      <c r="W174" s="100" t="s">
        <v>1310</v>
      </c>
      <c r="X174" s="140" t="s">
        <v>585</v>
      </c>
      <c r="Y174" s="81"/>
      <c r="Z174" s="81" t="s">
        <v>1493</v>
      </c>
      <c r="AA174" s="81" t="s">
        <v>1493</v>
      </c>
      <c r="AB174" s="81" t="s">
        <v>1493</v>
      </c>
      <c r="AC174" s="54" t="s">
        <v>1504</v>
      </c>
    </row>
    <row r="175" spans="1:29" ht="25.5" customHeight="1" x14ac:dyDescent="0.3">
      <c r="A175" s="81">
        <v>3198</v>
      </c>
      <c r="B175" s="81" t="s">
        <v>6</v>
      </c>
      <c r="C175" s="140" t="s">
        <v>585</v>
      </c>
      <c r="D175" s="146" t="s">
        <v>7</v>
      </c>
      <c r="E175" s="81" t="s">
        <v>41</v>
      </c>
      <c r="F175" s="81" t="s">
        <v>485</v>
      </c>
      <c r="G175" s="81" t="s">
        <v>229</v>
      </c>
      <c r="H175" s="81" t="s">
        <v>3</v>
      </c>
      <c r="I175" s="109">
        <v>2014</v>
      </c>
      <c r="J175" s="132">
        <v>75</v>
      </c>
      <c r="K175" s="132">
        <v>33.200000000000003</v>
      </c>
      <c r="L175" s="54" t="s">
        <v>30</v>
      </c>
      <c r="M175" s="131">
        <v>15.2</v>
      </c>
      <c r="N175" s="142" t="s">
        <v>585</v>
      </c>
      <c r="O175" s="142" t="s">
        <v>585</v>
      </c>
      <c r="P175" s="142" t="s">
        <v>585</v>
      </c>
      <c r="Q175" s="142" t="s">
        <v>585</v>
      </c>
      <c r="R175" s="81" t="s">
        <v>497</v>
      </c>
      <c r="S175" s="81" t="s">
        <v>185</v>
      </c>
      <c r="T175" s="81">
        <v>2013</v>
      </c>
      <c r="U175" s="81" t="s">
        <v>199</v>
      </c>
      <c r="V175" s="100" t="s">
        <v>1311</v>
      </c>
      <c r="W175" s="100" t="s">
        <v>1312</v>
      </c>
      <c r="X175" s="140" t="s">
        <v>585</v>
      </c>
      <c r="Y175" s="81"/>
      <c r="Z175" s="81" t="s">
        <v>1493</v>
      </c>
      <c r="AA175" s="81" t="s">
        <v>1493</v>
      </c>
      <c r="AB175" s="81" t="s">
        <v>1493</v>
      </c>
      <c r="AC175" s="54" t="s">
        <v>1504</v>
      </c>
    </row>
    <row r="176" spans="1:29" ht="38.25" customHeight="1" x14ac:dyDescent="0.3">
      <c r="A176" s="81">
        <v>3197</v>
      </c>
      <c r="B176" s="81" t="s">
        <v>6</v>
      </c>
      <c r="C176" s="140" t="s">
        <v>585</v>
      </c>
      <c r="D176" s="146" t="s">
        <v>8</v>
      </c>
      <c r="E176" s="81" t="s">
        <v>40</v>
      </c>
      <c r="F176" s="81" t="s">
        <v>615</v>
      </c>
      <c r="G176" s="81" t="s">
        <v>226</v>
      </c>
      <c r="H176" s="81" t="s">
        <v>3</v>
      </c>
      <c r="I176" s="141" t="s">
        <v>712</v>
      </c>
      <c r="J176" s="132">
        <v>312</v>
      </c>
      <c r="K176" s="132">
        <v>44.2</v>
      </c>
      <c r="L176" s="54" t="s">
        <v>29</v>
      </c>
      <c r="M176" s="131" t="s">
        <v>497</v>
      </c>
      <c r="N176" s="142" t="s">
        <v>585</v>
      </c>
      <c r="O176" s="142" t="s">
        <v>585</v>
      </c>
      <c r="P176" s="142" t="s">
        <v>585</v>
      </c>
      <c r="Q176" s="142" t="s">
        <v>585</v>
      </c>
      <c r="R176" s="81" t="s">
        <v>497</v>
      </c>
      <c r="S176" s="81" t="s">
        <v>184</v>
      </c>
      <c r="T176" s="81">
        <v>2013</v>
      </c>
      <c r="U176" s="81" t="s">
        <v>199</v>
      </c>
      <c r="V176" s="145" t="s">
        <v>585</v>
      </c>
      <c r="W176" s="145" t="s">
        <v>585</v>
      </c>
      <c r="X176" s="140" t="s">
        <v>585</v>
      </c>
      <c r="Y176" s="81"/>
      <c r="Z176" s="81" t="s">
        <v>1492</v>
      </c>
      <c r="AA176" s="81" t="s">
        <v>1492</v>
      </c>
      <c r="AB176" s="81" t="s">
        <v>1493</v>
      </c>
      <c r="AC176" s="54" t="s">
        <v>1501</v>
      </c>
    </row>
    <row r="177" spans="1:29" ht="38.25" customHeight="1" x14ac:dyDescent="0.3">
      <c r="A177" s="81">
        <v>3196</v>
      </c>
      <c r="B177" s="81" t="s">
        <v>6</v>
      </c>
      <c r="C177" s="140" t="s">
        <v>585</v>
      </c>
      <c r="D177" s="146" t="s">
        <v>9</v>
      </c>
      <c r="E177" s="81" t="s">
        <v>112</v>
      </c>
      <c r="F177" s="81" t="s">
        <v>480</v>
      </c>
      <c r="G177" s="81" t="s">
        <v>226</v>
      </c>
      <c r="H177" s="81" t="s">
        <v>3</v>
      </c>
      <c r="I177" s="109">
        <v>2010</v>
      </c>
      <c r="J177" s="132">
        <v>184</v>
      </c>
      <c r="K177" s="132">
        <v>850.8</v>
      </c>
      <c r="L177" s="54" t="s">
        <v>29</v>
      </c>
      <c r="M177" s="131" t="s">
        <v>497</v>
      </c>
      <c r="N177" s="142" t="s">
        <v>585</v>
      </c>
      <c r="O177" s="142" t="s">
        <v>585</v>
      </c>
      <c r="P177" s="142" t="s">
        <v>585</v>
      </c>
      <c r="Q177" s="142" t="s">
        <v>585</v>
      </c>
      <c r="R177" s="81" t="s">
        <v>497</v>
      </c>
      <c r="S177" s="81" t="s">
        <v>184</v>
      </c>
      <c r="T177" s="81">
        <v>2013</v>
      </c>
      <c r="U177" s="81" t="s">
        <v>199</v>
      </c>
      <c r="V177" s="100" t="s">
        <v>1313</v>
      </c>
      <c r="W177" s="100" t="s">
        <v>1314</v>
      </c>
      <c r="X177" s="140" t="s">
        <v>585</v>
      </c>
      <c r="Y177" s="81"/>
      <c r="Z177" s="81" t="s">
        <v>1493</v>
      </c>
      <c r="AA177" s="81" t="s">
        <v>1492</v>
      </c>
      <c r="AB177" s="81" t="s">
        <v>1493</v>
      </c>
      <c r="AC177" s="54" t="s">
        <v>1501</v>
      </c>
    </row>
    <row r="178" spans="1:29" ht="25.5" customHeight="1" x14ac:dyDescent="0.3">
      <c r="A178" s="81">
        <v>2779</v>
      </c>
      <c r="B178" s="81" t="s">
        <v>6</v>
      </c>
      <c r="C178" s="140" t="s">
        <v>497</v>
      </c>
      <c r="D178" s="146" t="s">
        <v>10</v>
      </c>
      <c r="E178" s="81" t="s">
        <v>113</v>
      </c>
      <c r="F178" s="81" t="s">
        <v>481</v>
      </c>
      <c r="G178" s="81" t="s">
        <v>227</v>
      </c>
      <c r="H178" s="81" t="s">
        <v>3</v>
      </c>
      <c r="I178" s="109">
        <v>2010</v>
      </c>
      <c r="J178" s="132">
        <v>1</v>
      </c>
      <c r="K178" s="132">
        <v>0.2</v>
      </c>
      <c r="L178" s="54" t="s">
        <v>29</v>
      </c>
      <c r="M178" s="131">
        <v>0.1</v>
      </c>
      <c r="N178" s="142" t="s">
        <v>497</v>
      </c>
      <c r="O178" s="142" t="s">
        <v>497</v>
      </c>
      <c r="P178" s="142" t="s">
        <v>497</v>
      </c>
      <c r="Q178" s="142" t="s">
        <v>497</v>
      </c>
      <c r="R178" s="81" t="s">
        <v>497</v>
      </c>
      <c r="S178" s="81" t="s">
        <v>184</v>
      </c>
      <c r="T178" s="81">
        <v>2013</v>
      </c>
      <c r="U178" s="81" t="s">
        <v>199</v>
      </c>
      <c r="V178" s="100" t="s">
        <v>1315</v>
      </c>
      <c r="W178" s="100" t="s">
        <v>1316</v>
      </c>
      <c r="X178" s="140" t="s">
        <v>585</v>
      </c>
      <c r="Y178" s="81"/>
      <c r="Z178" s="81" t="s">
        <v>1493</v>
      </c>
      <c r="AA178" s="81" t="s">
        <v>1493</v>
      </c>
      <c r="AB178" s="81" t="s">
        <v>1493</v>
      </c>
      <c r="AC178" s="54" t="s">
        <v>1504</v>
      </c>
    </row>
    <row r="179" spans="1:29" ht="25.5" customHeight="1" x14ac:dyDescent="0.3">
      <c r="A179" s="81">
        <v>2788</v>
      </c>
      <c r="B179" s="81" t="s">
        <v>6</v>
      </c>
      <c r="C179" s="140" t="s">
        <v>497</v>
      </c>
      <c r="D179" s="146" t="s">
        <v>11</v>
      </c>
      <c r="E179" s="81" t="s">
        <v>114</v>
      </c>
      <c r="F179" s="81" t="s">
        <v>481</v>
      </c>
      <c r="G179" s="81" t="s">
        <v>227</v>
      </c>
      <c r="H179" s="81" t="s">
        <v>3</v>
      </c>
      <c r="I179" s="109">
        <v>2010</v>
      </c>
      <c r="J179" s="132">
        <v>1</v>
      </c>
      <c r="K179" s="132">
        <v>0.3</v>
      </c>
      <c r="L179" s="54" t="s">
        <v>29</v>
      </c>
      <c r="M179" s="131">
        <v>0.1</v>
      </c>
      <c r="N179" s="142" t="s">
        <v>497</v>
      </c>
      <c r="O179" s="142" t="s">
        <v>497</v>
      </c>
      <c r="P179" s="142" t="s">
        <v>497</v>
      </c>
      <c r="Q179" s="142" t="s">
        <v>497</v>
      </c>
      <c r="R179" s="81" t="s">
        <v>497</v>
      </c>
      <c r="S179" s="81" t="s">
        <v>184</v>
      </c>
      <c r="T179" s="81">
        <v>2013</v>
      </c>
      <c r="U179" s="81" t="s">
        <v>199</v>
      </c>
      <c r="V179" s="100" t="s">
        <v>1317</v>
      </c>
      <c r="W179" s="100" t="s">
        <v>1318</v>
      </c>
      <c r="X179" s="140" t="s">
        <v>585</v>
      </c>
      <c r="Y179" s="81"/>
      <c r="Z179" s="81" t="s">
        <v>1493</v>
      </c>
      <c r="AA179" s="81" t="s">
        <v>1493</v>
      </c>
      <c r="AB179" s="81" t="s">
        <v>1493</v>
      </c>
      <c r="AC179" s="54" t="s">
        <v>1504</v>
      </c>
    </row>
    <row r="180" spans="1:29" ht="25.5" customHeight="1" x14ac:dyDescent="0.3">
      <c r="A180" s="81">
        <v>2798</v>
      </c>
      <c r="B180" s="81" t="s">
        <v>6</v>
      </c>
      <c r="C180" s="140" t="s">
        <v>585</v>
      </c>
      <c r="D180" s="146" t="s">
        <v>12</v>
      </c>
      <c r="E180" s="81" t="s">
        <v>115</v>
      </c>
      <c r="F180" s="81" t="s">
        <v>486</v>
      </c>
      <c r="G180" s="81" t="s">
        <v>229</v>
      </c>
      <c r="H180" s="81" t="s">
        <v>3</v>
      </c>
      <c r="I180" s="109">
        <v>2014</v>
      </c>
      <c r="J180" s="132">
        <v>8</v>
      </c>
      <c r="K180" s="132">
        <v>3.8</v>
      </c>
      <c r="L180" s="54" t="s">
        <v>29</v>
      </c>
      <c r="M180" s="131">
        <v>12.6</v>
      </c>
      <c r="N180" s="142" t="s">
        <v>585</v>
      </c>
      <c r="O180" s="142" t="s">
        <v>585</v>
      </c>
      <c r="P180" s="142" t="s">
        <v>585</v>
      </c>
      <c r="Q180" s="142" t="s">
        <v>585</v>
      </c>
      <c r="R180" s="81" t="s">
        <v>497</v>
      </c>
      <c r="S180" s="81" t="s">
        <v>185</v>
      </c>
      <c r="T180" s="81">
        <v>2013</v>
      </c>
      <c r="U180" s="81" t="s">
        <v>199</v>
      </c>
      <c r="V180" s="100" t="s">
        <v>1319</v>
      </c>
      <c r="W180" s="100" t="s">
        <v>1320</v>
      </c>
      <c r="X180" s="140" t="s">
        <v>585</v>
      </c>
      <c r="Y180" s="81"/>
      <c r="Z180" s="81" t="s">
        <v>1493</v>
      </c>
      <c r="AA180" s="81" t="s">
        <v>1493</v>
      </c>
      <c r="AB180" s="81" t="s">
        <v>1493</v>
      </c>
      <c r="AC180" s="54" t="s">
        <v>1504</v>
      </c>
    </row>
    <row r="181" spans="1:29" ht="45.75" customHeight="1" x14ac:dyDescent="0.3">
      <c r="A181" s="81">
        <v>2786</v>
      </c>
      <c r="B181" s="81" t="s">
        <v>6</v>
      </c>
      <c r="C181" s="140" t="s">
        <v>585</v>
      </c>
      <c r="D181" s="146" t="s">
        <v>13</v>
      </c>
      <c r="E181" s="81" t="s">
        <v>116</v>
      </c>
      <c r="F181" s="81" t="s">
        <v>486</v>
      </c>
      <c r="G181" s="81" t="s">
        <v>229</v>
      </c>
      <c r="H181" s="81" t="s">
        <v>3</v>
      </c>
      <c r="I181" s="109">
        <v>2014</v>
      </c>
      <c r="J181" s="132">
        <v>452</v>
      </c>
      <c r="K181" s="132">
        <v>169.4</v>
      </c>
      <c r="L181" s="54" t="s">
        <v>29</v>
      </c>
      <c r="M181" s="131">
        <v>131.69999999999999</v>
      </c>
      <c r="N181" s="142" t="s">
        <v>585</v>
      </c>
      <c r="O181" s="142" t="s">
        <v>585</v>
      </c>
      <c r="P181" s="142" t="s">
        <v>585</v>
      </c>
      <c r="Q181" s="142" t="s">
        <v>585</v>
      </c>
      <c r="R181" s="81" t="s">
        <v>497</v>
      </c>
      <c r="S181" s="81" t="s">
        <v>185</v>
      </c>
      <c r="T181" s="81">
        <v>2013</v>
      </c>
      <c r="U181" s="81" t="s">
        <v>199</v>
      </c>
      <c r="V181" s="100" t="s">
        <v>1321</v>
      </c>
      <c r="W181" s="100" t="s">
        <v>1322</v>
      </c>
      <c r="X181" s="140" t="s">
        <v>585</v>
      </c>
      <c r="Y181" s="81"/>
      <c r="Z181" s="81" t="s">
        <v>1493</v>
      </c>
      <c r="AA181" s="81" t="s">
        <v>1493</v>
      </c>
      <c r="AB181" s="81" t="s">
        <v>1493</v>
      </c>
      <c r="AC181" s="54" t="s">
        <v>1504</v>
      </c>
    </row>
    <row r="182" spans="1:29" ht="63.75" customHeight="1" x14ac:dyDescent="0.3">
      <c r="A182" s="81">
        <v>2785</v>
      </c>
      <c r="B182" s="81" t="s">
        <v>6</v>
      </c>
      <c r="C182" s="140" t="s">
        <v>585</v>
      </c>
      <c r="D182" s="146" t="s">
        <v>14</v>
      </c>
      <c r="E182" s="81" t="s">
        <v>117</v>
      </c>
      <c r="F182" s="81" t="s">
        <v>487</v>
      </c>
      <c r="G182" s="81" t="s">
        <v>683</v>
      </c>
      <c r="H182" s="81" t="s">
        <v>3</v>
      </c>
      <c r="I182" s="109">
        <v>2014</v>
      </c>
      <c r="J182" s="132">
        <v>239</v>
      </c>
      <c r="K182" s="132">
        <v>100.9</v>
      </c>
      <c r="L182" s="54" t="s">
        <v>29</v>
      </c>
      <c r="M182" s="131">
        <v>135.80000000000001</v>
      </c>
      <c r="N182" s="142" t="s">
        <v>585</v>
      </c>
      <c r="O182" s="142" t="s">
        <v>585</v>
      </c>
      <c r="P182" s="142" t="s">
        <v>585</v>
      </c>
      <c r="Q182" s="142" t="s">
        <v>585</v>
      </c>
      <c r="R182" s="81" t="s">
        <v>497</v>
      </c>
      <c r="S182" s="81" t="s">
        <v>185</v>
      </c>
      <c r="T182" s="81">
        <v>2013</v>
      </c>
      <c r="U182" s="81" t="s">
        <v>199</v>
      </c>
      <c r="V182" s="100" t="s">
        <v>1323</v>
      </c>
      <c r="W182" s="100" t="s">
        <v>1324</v>
      </c>
      <c r="X182" s="140" t="s">
        <v>585</v>
      </c>
      <c r="Y182" s="81"/>
      <c r="Z182" s="81" t="s">
        <v>1493</v>
      </c>
      <c r="AA182" s="81" t="s">
        <v>1493</v>
      </c>
      <c r="AB182" s="81" t="s">
        <v>1493</v>
      </c>
      <c r="AC182" s="54" t="s">
        <v>1504</v>
      </c>
    </row>
    <row r="183" spans="1:29" ht="38.25" customHeight="1" x14ac:dyDescent="0.3">
      <c r="A183" s="81">
        <v>2784</v>
      </c>
      <c r="B183" s="81" t="s">
        <v>6</v>
      </c>
      <c r="C183" s="140" t="s">
        <v>497</v>
      </c>
      <c r="D183" s="146" t="s">
        <v>15</v>
      </c>
      <c r="E183" s="81" t="s">
        <v>42</v>
      </c>
      <c r="F183" s="81" t="s">
        <v>481</v>
      </c>
      <c r="G183" s="81" t="s">
        <v>227</v>
      </c>
      <c r="H183" s="81" t="s">
        <v>3</v>
      </c>
      <c r="I183" s="109">
        <v>2014</v>
      </c>
      <c r="J183" s="132">
        <v>1</v>
      </c>
      <c r="K183" s="132">
        <v>0.3</v>
      </c>
      <c r="L183" s="54" t="s">
        <v>30</v>
      </c>
      <c r="M183" s="131">
        <v>0.1</v>
      </c>
      <c r="N183" s="142" t="s">
        <v>497</v>
      </c>
      <c r="O183" s="142" t="s">
        <v>497</v>
      </c>
      <c r="P183" s="142" t="s">
        <v>497</v>
      </c>
      <c r="Q183" s="142" t="s">
        <v>497</v>
      </c>
      <c r="R183" s="81" t="s">
        <v>497</v>
      </c>
      <c r="S183" s="81" t="s">
        <v>184</v>
      </c>
      <c r="T183" s="81">
        <v>2014</v>
      </c>
      <c r="U183" s="81" t="s">
        <v>199</v>
      </c>
      <c r="V183" s="145" t="s">
        <v>585</v>
      </c>
      <c r="W183" s="145" t="s">
        <v>585</v>
      </c>
      <c r="X183" s="140" t="s">
        <v>585</v>
      </c>
      <c r="Y183" s="81"/>
      <c r="Z183" s="81" t="s">
        <v>1493</v>
      </c>
      <c r="AA183" s="81" t="s">
        <v>1493</v>
      </c>
      <c r="AB183" s="81" t="s">
        <v>1493</v>
      </c>
      <c r="AC183" s="54" t="s">
        <v>1504</v>
      </c>
    </row>
    <row r="184" spans="1:29" ht="38.25" customHeight="1" x14ac:dyDescent="0.3">
      <c r="A184" s="81">
        <v>2783</v>
      </c>
      <c r="B184" s="81" t="s">
        <v>6</v>
      </c>
      <c r="C184" s="140" t="s">
        <v>497</v>
      </c>
      <c r="D184" s="146" t="s">
        <v>16</v>
      </c>
      <c r="E184" s="81" t="s">
        <v>118</v>
      </c>
      <c r="F184" s="81" t="s">
        <v>481</v>
      </c>
      <c r="G184" s="81" t="s">
        <v>227</v>
      </c>
      <c r="H184" s="81" t="s">
        <v>3</v>
      </c>
      <c r="I184" s="109">
        <v>2014</v>
      </c>
      <c r="J184" s="132">
        <v>76</v>
      </c>
      <c r="K184" s="132">
        <v>15.8</v>
      </c>
      <c r="L184" s="54" t="s">
        <v>29</v>
      </c>
      <c r="M184" s="131">
        <v>5</v>
      </c>
      <c r="N184" s="142" t="s">
        <v>497</v>
      </c>
      <c r="O184" s="142" t="s">
        <v>497</v>
      </c>
      <c r="P184" s="142" t="s">
        <v>497</v>
      </c>
      <c r="Q184" s="142" t="s">
        <v>497</v>
      </c>
      <c r="R184" s="81" t="s">
        <v>497</v>
      </c>
      <c r="S184" s="81" t="s">
        <v>184</v>
      </c>
      <c r="T184" s="81">
        <v>2015</v>
      </c>
      <c r="U184" s="81" t="s">
        <v>199</v>
      </c>
      <c r="V184" s="145" t="s">
        <v>585</v>
      </c>
      <c r="W184" s="145" t="s">
        <v>585</v>
      </c>
      <c r="X184" s="140" t="s">
        <v>585</v>
      </c>
      <c r="Y184" s="81"/>
      <c r="Z184" s="81" t="s">
        <v>1493</v>
      </c>
      <c r="AA184" s="81" t="s">
        <v>1493</v>
      </c>
      <c r="AB184" s="81" t="s">
        <v>1493</v>
      </c>
      <c r="AC184" s="54" t="s">
        <v>1504</v>
      </c>
    </row>
    <row r="185" spans="1:29" ht="51" customHeight="1" x14ac:dyDescent="0.3">
      <c r="A185" s="81">
        <v>3171</v>
      </c>
      <c r="B185" s="81" t="s">
        <v>119</v>
      </c>
      <c r="C185" s="140" t="s">
        <v>497</v>
      </c>
      <c r="D185" s="146" t="s">
        <v>322</v>
      </c>
      <c r="E185" s="81" t="s">
        <v>412</v>
      </c>
      <c r="F185" s="81" t="s">
        <v>438</v>
      </c>
      <c r="G185" s="81" t="s">
        <v>229</v>
      </c>
      <c r="H185" s="81" t="s">
        <v>3</v>
      </c>
      <c r="I185" s="109">
        <v>2010</v>
      </c>
      <c r="J185" s="132">
        <v>28</v>
      </c>
      <c r="K185" s="132">
        <v>78.8</v>
      </c>
      <c r="L185" s="54" t="s">
        <v>29</v>
      </c>
      <c r="M185" s="131">
        <v>43.6</v>
      </c>
      <c r="N185" s="111">
        <v>525161</v>
      </c>
      <c r="O185" s="142" t="s">
        <v>585</v>
      </c>
      <c r="P185" s="111" t="s">
        <v>552</v>
      </c>
      <c r="Q185" s="142" t="s">
        <v>585</v>
      </c>
      <c r="R185" s="81" t="s">
        <v>497</v>
      </c>
      <c r="S185" s="81" t="s">
        <v>185</v>
      </c>
      <c r="T185" s="81">
        <v>2013</v>
      </c>
      <c r="U185" s="81" t="s">
        <v>199</v>
      </c>
      <c r="V185" s="125" t="s">
        <v>1325</v>
      </c>
      <c r="W185" s="125" t="s">
        <v>1326</v>
      </c>
      <c r="X185" s="140" t="s">
        <v>585</v>
      </c>
      <c r="Y185" s="81"/>
      <c r="Z185" s="81" t="s">
        <v>1493</v>
      </c>
      <c r="AA185" s="81" t="s">
        <v>1493</v>
      </c>
      <c r="AB185" s="81" t="s">
        <v>1493</v>
      </c>
      <c r="AC185" s="54" t="s">
        <v>1504</v>
      </c>
    </row>
    <row r="186" spans="1:29" ht="25.5" customHeight="1" x14ac:dyDescent="0.3">
      <c r="A186" s="122">
        <v>3172</v>
      </c>
      <c r="B186" s="81" t="s">
        <v>119</v>
      </c>
      <c r="C186" s="140" t="s">
        <v>497</v>
      </c>
      <c r="D186" s="146" t="s">
        <v>323</v>
      </c>
      <c r="E186" s="81" t="s">
        <v>133</v>
      </c>
      <c r="F186" s="81" t="s">
        <v>438</v>
      </c>
      <c r="G186" s="81" t="s">
        <v>229</v>
      </c>
      <c r="H186" s="81" t="s">
        <v>3</v>
      </c>
      <c r="I186" s="109">
        <v>2003</v>
      </c>
      <c r="J186" s="132">
        <v>69</v>
      </c>
      <c r="K186" s="132">
        <v>31.3</v>
      </c>
      <c r="L186" s="54" t="s">
        <v>29</v>
      </c>
      <c r="M186" s="131">
        <v>14.9</v>
      </c>
      <c r="N186" s="111">
        <v>156164</v>
      </c>
      <c r="O186" s="142" t="s">
        <v>585</v>
      </c>
      <c r="P186" s="111" t="s">
        <v>552</v>
      </c>
      <c r="Q186" s="142" t="s">
        <v>585</v>
      </c>
      <c r="R186" s="81" t="s">
        <v>497</v>
      </c>
      <c r="S186" s="81" t="s">
        <v>185</v>
      </c>
      <c r="T186" s="81">
        <v>2013</v>
      </c>
      <c r="U186" s="81" t="s">
        <v>199</v>
      </c>
      <c r="V186" s="100" t="s">
        <v>1327</v>
      </c>
      <c r="W186" s="100" t="s">
        <v>1328</v>
      </c>
      <c r="X186" s="140" t="s">
        <v>585</v>
      </c>
      <c r="Y186" s="81"/>
      <c r="Z186" s="81" t="s">
        <v>1493</v>
      </c>
      <c r="AA186" s="81" t="s">
        <v>1493</v>
      </c>
      <c r="AB186" s="81" t="s">
        <v>1493</v>
      </c>
      <c r="AC186" s="54" t="s">
        <v>1504</v>
      </c>
    </row>
    <row r="187" spans="1:29" ht="25.5" customHeight="1" x14ac:dyDescent="0.3">
      <c r="A187" s="122">
        <v>3173</v>
      </c>
      <c r="B187" s="81" t="s">
        <v>119</v>
      </c>
      <c r="C187" s="140" t="s">
        <v>497</v>
      </c>
      <c r="D187" s="146" t="s">
        <v>324</v>
      </c>
      <c r="E187" s="81" t="s">
        <v>134</v>
      </c>
      <c r="F187" s="81" t="s">
        <v>439</v>
      </c>
      <c r="G187" s="81" t="s">
        <v>229</v>
      </c>
      <c r="H187" s="81" t="s">
        <v>3</v>
      </c>
      <c r="I187" s="109">
        <v>2010</v>
      </c>
      <c r="J187" s="132">
        <v>183</v>
      </c>
      <c r="K187" s="132">
        <v>161.6</v>
      </c>
      <c r="L187" s="54" t="s">
        <v>29</v>
      </c>
      <c r="M187" s="131">
        <v>143.30000000000001</v>
      </c>
      <c r="N187" s="111">
        <v>462644</v>
      </c>
      <c r="O187" s="142" t="s">
        <v>585</v>
      </c>
      <c r="P187" s="111" t="s">
        <v>552</v>
      </c>
      <c r="Q187" s="142" t="s">
        <v>585</v>
      </c>
      <c r="R187" s="81" t="s">
        <v>497</v>
      </c>
      <c r="S187" s="81" t="s">
        <v>185</v>
      </c>
      <c r="T187" s="81">
        <v>2013</v>
      </c>
      <c r="U187" s="81" t="s">
        <v>199</v>
      </c>
      <c r="V187" s="100" t="s">
        <v>1329</v>
      </c>
      <c r="W187" s="100" t="s">
        <v>1330</v>
      </c>
      <c r="X187" s="140" t="s">
        <v>585</v>
      </c>
      <c r="Y187" s="81"/>
      <c r="Z187" s="81" t="s">
        <v>1493</v>
      </c>
      <c r="AA187" s="81" t="s">
        <v>1493</v>
      </c>
      <c r="AB187" s="81" t="s">
        <v>1493</v>
      </c>
      <c r="AC187" s="54" t="s">
        <v>1504</v>
      </c>
    </row>
    <row r="188" spans="1:29" ht="25.5" customHeight="1" x14ac:dyDescent="0.3">
      <c r="A188" s="122">
        <v>3174</v>
      </c>
      <c r="B188" s="81" t="s">
        <v>119</v>
      </c>
      <c r="C188" s="140" t="s">
        <v>497</v>
      </c>
      <c r="D188" s="146" t="s">
        <v>325</v>
      </c>
      <c r="E188" s="81" t="s">
        <v>135</v>
      </c>
      <c r="F188" s="81" t="s">
        <v>440</v>
      </c>
      <c r="G188" s="81" t="s">
        <v>229</v>
      </c>
      <c r="H188" s="81" t="s">
        <v>3</v>
      </c>
      <c r="I188" s="109">
        <v>2004</v>
      </c>
      <c r="J188" s="132">
        <v>627</v>
      </c>
      <c r="K188" s="132">
        <v>248.3</v>
      </c>
      <c r="L188" s="54" t="s">
        <v>29</v>
      </c>
      <c r="M188" s="131">
        <v>1796.9</v>
      </c>
      <c r="N188" s="111">
        <v>250000</v>
      </c>
      <c r="O188" s="142" t="s">
        <v>585</v>
      </c>
      <c r="P188" s="111" t="s">
        <v>552</v>
      </c>
      <c r="Q188" s="111" t="s">
        <v>817</v>
      </c>
      <c r="R188" s="81" t="s">
        <v>497</v>
      </c>
      <c r="S188" s="81" t="s">
        <v>185</v>
      </c>
      <c r="T188" s="81">
        <v>2013</v>
      </c>
      <c r="U188" s="81" t="s">
        <v>199</v>
      </c>
      <c r="V188" s="100" t="s">
        <v>1101</v>
      </c>
      <c r="W188" s="100" t="s">
        <v>1102</v>
      </c>
      <c r="X188" s="140" t="s">
        <v>585</v>
      </c>
      <c r="Y188" s="81"/>
      <c r="Z188" s="81" t="s">
        <v>1493</v>
      </c>
      <c r="AA188" s="81" t="s">
        <v>1493</v>
      </c>
      <c r="AB188" s="81" t="s">
        <v>1493</v>
      </c>
      <c r="AC188" s="54" t="s">
        <v>1504</v>
      </c>
    </row>
    <row r="189" spans="1:29" ht="25.5" customHeight="1" x14ac:dyDescent="0.3">
      <c r="A189" s="122">
        <v>3175</v>
      </c>
      <c r="B189" s="81" t="s">
        <v>119</v>
      </c>
      <c r="C189" s="140" t="s">
        <v>497</v>
      </c>
      <c r="D189" s="146" t="s">
        <v>326</v>
      </c>
      <c r="E189" s="81" t="s">
        <v>136</v>
      </c>
      <c r="F189" s="81" t="s">
        <v>441</v>
      </c>
      <c r="G189" s="81" t="s">
        <v>671</v>
      </c>
      <c r="H189" s="81" t="s">
        <v>3</v>
      </c>
      <c r="I189" s="109">
        <v>2005</v>
      </c>
      <c r="J189" s="132">
        <v>163</v>
      </c>
      <c r="K189" s="132">
        <v>41.9</v>
      </c>
      <c r="L189" s="54" t="s">
        <v>29</v>
      </c>
      <c r="M189" s="131">
        <v>42.3</v>
      </c>
      <c r="N189" s="111">
        <v>1757186</v>
      </c>
      <c r="O189" s="142" t="s">
        <v>585</v>
      </c>
      <c r="P189" s="111" t="s">
        <v>552</v>
      </c>
      <c r="Q189" s="142" t="s">
        <v>585</v>
      </c>
      <c r="R189" s="81" t="s">
        <v>497</v>
      </c>
      <c r="S189" s="81" t="s">
        <v>185</v>
      </c>
      <c r="T189" s="81">
        <v>2013</v>
      </c>
      <c r="U189" s="81" t="s">
        <v>199</v>
      </c>
      <c r="V189" s="100" t="s">
        <v>1331</v>
      </c>
      <c r="W189" s="100" t="s">
        <v>1332</v>
      </c>
      <c r="X189" s="140" t="s">
        <v>585</v>
      </c>
      <c r="Y189" s="81"/>
      <c r="Z189" s="81" t="s">
        <v>1493</v>
      </c>
      <c r="AA189" s="81" t="s">
        <v>1493</v>
      </c>
      <c r="AB189" s="81" t="s">
        <v>1493</v>
      </c>
      <c r="AC189" s="54" t="s">
        <v>1504</v>
      </c>
    </row>
    <row r="190" spans="1:29" ht="25.5" customHeight="1" x14ac:dyDescent="0.3">
      <c r="A190" s="122">
        <v>3152</v>
      </c>
      <c r="B190" s="81" t="s">
        <v>119</v>
      </c>
      <c r="C190" s="81" t="s">
        <v>497</v>
      </c>
      <c r="D190" s="81" t="s">
        <v>327</v>
      </c>
      <c r="E190" s="81" t="s">
        <v>137</v>
      </c>
      <c r="F190" s="81" t="s">
        <v>442</v>
      </c>
      <c r="G190" s="81" t="s">
        <v>225</v>
      </c>
      <c r="H190" s="81" t="s">
        <v>549</v>
      </c>
      <c r="I190" s="109" t="s">
        <v>497</v>
      </c>
      <c r="J190" s="110" t="s">
        <v>497</v>
      </c>
      <c r="K190" s="110" t="s">
        <v>497</v>
      </c>
      <c r="L190" s="81" t="s">
        <v>29</v>
      </c>
      <c r="M190" s="110" t="s">
        <v>497</v>
      </c>
      <c r="N190" s="111" t="s">
        <v>497</v>
      </c>
      <c r="O190" s="111" t="s">
        <v>497</v>
      </c>
      <c r="P190" s="111" t="s">
        <v>497</v>
      </c>
      <c r="Q190" s="111" t="s">
        <v>497</v>
      </c>
      <c r="R190" s="81" t="s">
        <v>497</v>
      </c>
      <c r="S190" s="81" t="s">
        <v>185</v>
      </c>
      <c r="T190" s="81">
        <v>2013</v>
      </c>
      <c r="U190" s="81" t="s">
        <v>199</v>
      </c>
      <c r="V190" s="81" t="s">
        <v>497</v>
      </c>
      <c r="W190" s="81" t="s">
        <v>497</v>
      </c>
      <c r="X190" s="81" t="s">
        <v>497</v>
      </c>
      <c r="Y190" s="81"/>
      <c r="Z190" s="81" t="s">
        <v>1507</v>
      </c>
      <c r="AA190" s="81" t="s">
        <v>1492</v>
      </c>
      <c r="AB190" s="81" t="s">
        <v>497</v>
      </c>
      <c r="AC190" s="81" t="s">
        <v>497</v>
      </c>
    </row>
    <row r="191" spans="1:29" ht="25.5" customHeight="1" x14ac:dyDescent="0.3">
      <c r="A191" s="122">
        <v>3169</v>
      </c>
      <c r="B191" s="81" t="s">
        <v>119</v>
      </c>
      <c r="C191" s="81" t="s">
        <v>497</v>
      </c>
      <c r="D191" s="81" t="s">
        <v>328</v>
      </c>
      <c r="E191" s="81" t="s">
        <v>138</v>
      </c>
      <c r="F191" s="81" t="s">
        <v>443</v>
      </c>
      <c r="G191" s="81" t="s">
        <v>225</v>
      </c>
      <c r="H191" s="81" t="s">
        <v>549</v>
      </c>
      <c r="I191" s="109" t="s">
        <v>497</v>
      </c>
      <c r="J191" s="110" t="s">
        <v>497</v>
      </c>
      <c r="K191" s="110" t="s">
        <v>497</v>
      </c>
      <c r="L191" s="81" t="s">
        <v>29</v>
      </c>
      <c r="M191" s="110" t="s">
        <v>497</v>
      </c>
      <c r="N191" s="111" t="s">
        <v>497</v>
      </c>
      <c r="O191" s="111" t="s">
        <v>497</v>
      </c>
      <c r="P191" s="111" t="s">
        <v>497</v>
      </c>
      <c r="Q191" s="111" t="s">
        <v>497</v>
      </c>
      <c r="R191" s="81" t="s">
        <v>497</v>
      </c>
      <c r="S191" s="81" t="s">
        <v>185</v>
      </c>
      <c r="T191" s="81">
        <v>2013</v>
      </c>
      <c r="U191" s="81" t="s">
        <v>199</v>
      </c>
      <c r="V191" s="81" t="s">
        <v>497</v>
      </c>
      <c r="W191" s="81" t="s">
        <v>497</v>
      </c>
      <c r="X191" s="81" t="s">
        <v>497</v>
      </c>
      <c r="Y191" s="81"/>
      <c r="Z191" s="81" t="s">
        <v>1507</v>
      </c>
      <c r="AA191" s="81" t="s">
        <v>1492</v>
      </c>
      <c r="AB191" s="81" t="s">
        <v>497</v>
      </c>
      <c r="AC191" s="81" t="s">
        <v>497</v>
      </c>
    </row>
    <row r="192" spans="1:29" ht="25.5" customHeight="1" x14ac:dyDescent="0.3">
      <c r="A192" s="122">
        <v>3167</v>
      </c>
      <c r="B192" s="81" t="s">
        <v>119</v>
      </c>
      <c r="C192" s="140" t="s">
        <v>497</v>
      </c>
      <c r="D192" s="146" t="s">
        <v>329</v>
      </c>
      <c r="E192" s="81" t="s">
        <v>1</v>
      </c>
      <c r="F192" s="81" t="s">
        <v>597</v>
      </c>
      <c r="G192" s="81" t="s">
        <v>1</v>
      </c>
      <c r="H192" s="81" t="s">
        <v>1517</v>
      </c>
      <c r="I192" s="141" t="s">
        <v>497</v>
      </c>
      <c r="J192" s="132">
        <v>2583</v>
      </c>
      <c r="K192" s="132">
        <v>587.20000000000005</v>
      </c>
      <c r="L192" s="54" t="s">
        <v>29</v>
      </c>
      <c r="M192" s="131" t="s">
        <v>497</v>
      </c>
      <c r="N192" s="142" t="s">
        <v>585</v>
      </c>
      <c r="O192" s="142" t="s">
        <v>585</v>
      </c>
      <c r="P192" s="111" t="s">
        <v>552</v>
      </c>
      <c r="Q192" s="142" t="s">
        <v>585</v>
      </c>
      <c r="R192" s="81" t="s">
        <v>497</v>
      </c>
      <c r="S192" s="81" t="s">
        <v>184</v>
      </c>
      <c r="T192" s="81">
        <v>2013</v>
      </c>
      <c r="U192" s="81" t="s">
        <v>199</v>
      </c>
      <c r="V192" s="145" t="s">
        <v>497</v>
      </c>
      <c r="W192" s="145" t="s">
        <v>497</v>
      </c>
      <c r="X192" s="140" t="s">
        <v>585</v>
      </c>
      <c r="Y192" s="81"/>
      <c r="Z192" s="81" t="s">
        <v>1492</v>
      </c>
      <c r="AA192" s="81" t="s">
        <v>1492</v>
      </c>
      <c r="AB192" s="81" t="s">
        <v>1500</v>
      </c>
      <c r="AC192" s="54" t="s">
        <v>1501</v>
      </c>
    </row>
    <row r="193" spans="1:29" ht="25.5" customHeight="1" x14ac:dyDescent="0.3">
      <c r="A193" s="122">
        <v>3144</v>
      </c>
      <c r="B193" s="81" t="s">
        <v>119</v>
      </c>
      <c r="C193" s="140" t="s">
        <v>497</v>
      </c>
      <c r="D193" s="146" t="s">
        <v>330</v>
      </c>
      <c r="E193" s="81" t="s">
        <v>4</v>
      </c>
      <c r="F193" s="81" t="s">
        <v>445</v>
      </c>
      <c r="G193" s="81" t="s">
        <v>4</v>
      </c>
      <c r="H193" s="81" t="s">
        <v>1517</v>
      </c>
      <c r="I193" s="141" t="s">
        <v>497</v>
      </c>
      <c r="J193" s="132">
        <v>701</v>
      </c>
      <c r="K193" s="132">
        <v>378</v>
      </c>
      <c r="L193" s="54" t="s">
        <v>29</v>
      </c>
      <c r="M193" s="131" t="s">
        <v>497</v>
      </c>
      <c r="N193" s="142" t="s">
        <v>497</v>
      </c>
      <c r="O193" s="111">
        <v>162500</v>
      </c>
      <c r="P193" s="111" t="s">
        <v>552</v>
      </c>
      <c r="Q193" s="142" t="s">
        <v>585</v>
      </c>
      <c r="R193" s="81" t="s">
        <v>497</v>
      </c>
      <c r="S193" s="81" t="s">
        <v>184</v>
      </c>
      <c r="T193" s="81">
        <v>2013</v>
      </c>
      <c r="U193" s="81" t="s">
        <v>199</v>
      </c>
      <c r="V193" s="145" t="s">
        <v>497</v>
      </c>
      <c r="W193" s="145" t="s">
        <v>497</v>
      </c>
      <c r="X193" s="140" t="s">
        <v>585</v>
      </c>
      <c r="Y193" s="81"/>
      <c r="Z193" s="81" t="s">
        <v>1492</v>
      </c>
      <c r="AA193" s="81" t="s">
        <v>1492</v>
      </c>
      <c r="AB193" s="81" t="s">
        <v>1498</v>
      </c>
      <c r="AC193" s="54" t="s">
        <v>1499</v>
      </c>
    </row>
    <row r="194" spans="1:29" ht="25.5" customHeight="1" x14ac:dyDescent="0.3">
      <c r="A194" s="122">
        <v>3145</v>
      </c>
      <c r="B194" s="81" t="s">
        <v>119</v>
      </c>
      <c r="C194" s="81" t="s">
        <v>379</v>
      </c>
      <c r="D194" s="146" t="s">
        <v>120</v>
      </c>
      <c r="E194" s="81" t="s">
        <v>275</v>
      </c>
      <c r="F194" s="81" t="s">
        <v>446</v>
      </c>
      <c r="G194" s="81" t="s">
        <v>229</v>
      </c>
      <c r="H194" s="81" t="s">
        <v>3</v>
      </c>
      <c r="I194" s="109">
        <v>2016</v>
      </c>
      <c r="J194" s="131">
        <v>315</v>
      </c>
      <c r="K194" s="131">
        <v>135</v>
      </c>
      <c r="L194" s="54" t="s">
        <v>29</v>
      </c>
      <c r="M194" s="131">
        <v>56.909561379078809</v>
      </c>
      <c r="N194" s="111">
        <v>879220</v>
      </c>
      <c r="O194" s="142" t="s">
        <v>585</v>
      </c>
      <c r="P194" s="111" t="s">
        <v>598</v>
      </c>
      <c r="Q194" s="142" t="s">
        <v>585</v>
      </c>
      <c r="R194" s="81" t="s">
        <v>505</v>
      </c>
      <c r="S194" s="81" t="s">
        <v>185</v>
      </c>
      <c r="T194" s="81">
        <v>2013</v>
      </c>
      <c r="U194" s="81" t="s">
        <v>199</v>
      </c>
      <c r="V194" s="125" t="s">
        <v>1337</v>
      </c>
      <c r="W194" s="125" t="s">
        <v>1338</v>
      </c>
      <c r="X194" s="81">
        <v>2017</v>
      </c>
      <c r="Y194" s="81"/>
      <c r="Z194" s="81" t="s">
        <v>1493</v>
      </c>
      <c r="AA194" s="81" t="s">
        <v>1493</v>
      </c>
      <c r="AB194" s="81" t="s">
        <v>1493</v>
      </c>
      <c r="AC194" s="54" t="s">
        <v>1504</v>
      </c>
    </row>
    <row r="195" spans="1:29" ht="55.5" customHeight="1" x14ac:dyDescent="0.3">
      <c r="A195" s="122">
        <v>3146</v>
      </c>
      <c r="B195" s="81" t="s">
        <v>119</v>
      </c>
      <c r="C195" s="140" t="s">
        <v>497</v>
      </c>
      <c r="D195" s="146" t="s">
        <v>121</v>
      </c>
      <c r="E195" s="81" t="s">
        <v>122</v>
      </c>
      <c r="F195" s="81" t="s">
        <v>447</v>
      </c>
      <c r="G195" s="81" t="s">
        <v>1</v>
      </c>
      <c r="H195" s="81" t="s">
        <v>1517</v>
      </c>
      <c r="I195" s="141" t="s">
        <v>497</v>
      </c>
      <c r="J195" s="132">
        <v>2583</v>
      </c>
      <c r="K195" s="132">
        <v>587.20000000000005</v>
      </c>
      <c r="L195" s="54" t="s">
        <v>29</v>
      </c>
      <c r="M195" s="131" t="s">
        <v>497</v>
      </c>
      <c r="N195" s="142" t="s">
        <v>585</v>
      </c>
      <c r="O195" s="142" t="s">
        <v>585</v>
      </c>
      <c r="P195" s="111" t="s">
        <v>552</v>
      </c>
      <c r="Q195" s="142" t="s">
        <v>585</v>
      </c>
      <c r="R195" s="81" t="s">
        <v>497</v>
      </c>
      <c r="S195" s="81" t="s">
        <v>184</v>
      </c>
      <c r="T195" s="81">
        <v>2013</v>
      </c>
      <c r="U195" s="81" t="s">
        <v>199</v>
      </c>
      <c r="V195" s="145" t="s">
        <v>497</v>
      </c>
      <c r="W195" s="145" t="s">
        <v>497</v>
      </c>
      <c r="X195" s="140" t="s">
        <v>585</v>
      </c>
      <c r="Y195" s="81"/>
      <c r="Z195" s="81" t="s">
        <v>1492</v>
      </c>
      <c r="AA195" s="81" t="s">
        <v>1492</v>
      </c>
      <c r="AB195" s="81" t="s">
        <v>1500</v>
      </c>
      <c r="AC195" s="54" t="s">
        <v>1501</v>
      </c>
    </row>
    <row r="196" spans="1:29" ht="87.75" customHeight="1" x14ac:dyDescent="0.3">
      <c r="A196" s="122">
        <v>3147</v>
      </c>
      <c r="B196" s="81" t="s">
        <v>119</v>
      </c>
      <c r="C196" s="81" t="s">
        <v>379</v>
      </c>
      <c r="D196" s="146" t="s">
        <v>123</v>
      </c>
      <c r="E196" s="81" t="s">
        <v>124</v>
      </c>
      <c r="F196" s="81" t="s">
        <v>448</v>
      </c>
      <c r="G196" s="81" t="s">
        <v>491</v>
      </c>
      <c r="H196" s="81" t="s">
        <v>3</v>
      </c>
      <c r="I196" s="109">
        <v>2017</v>
      </c>
      <c r="J196" s="131">
        <v>133</v>
      </c>
      <c r="K196" s="131">
        <v>32</v>
      </c>
      <c r="L196" s="54" t="s">
        <v>29</v>
      </c>
      <c r="M196" s="131">
        <v>14.8</v>
      </c>
      <c r="N196" s="111">
        <v>487296</v>
      </c>
      <c r="O196" s="142" t="s">
        <v>585</v>
      </c>
      <c r="P196" s="111" t="s">
        <v>598</v>
      </c>
      <c r="Q196" s="111">
        <v>191100</v>
      </c>
      <c r="R196" s="81" t="s">
        <v>506</v>
      </c>
      <c r="S196" s="81" t="s">
        <v>185</v>
      </c>
      <c r="T196" s="81">
        <v>2015</v>
      </c>
      <c r="U196" s="81" t="s">
        <v>199</v>
      </c>
      <c r="V196" s="125" t="s">
        <v>1339</v>
      </c>
      <c r="W196" s="125" t="s">
        <v>1340</v>
      </c>
      <c r="X196" s="81">
        <v>2016</v>
      </c>
      <c r="Y196" s="81"/>
      <c r="Z196" s="81" t="s">
        <v>1493</v>
      </c>
      <c r="AA196" s="81" t="s">
        <v>1493</v>
      </c>
      <c r="AB196" s="81" t="s">
        <v>1493</v>
      </c>
      <c r="AC196" s="54" t="s">
        <v>1504</v>
      </c>
    </row>
    <row r="197" spans="1:29" ht="99.75" customHeight="1" x14ac:dyDescent="0.3">
      <c r="A197" s="122">
        <v>3148</v>
      </c>
      <c r="B197" s="81" t="s">
        <v>119</v>
      </c>
      <c r="C197" s="81" t="s">
        <v>379</v>
      </c>
      <c r="D197" s="146" t="s">
        <v>125</v>
      </c>
      <c r="E197" s="81" t="s">
        <v>126</v>
      </c>
      <c r="F197" s="81" t="s">
        <v>449</v>
      </c>
      <c r="G197" s="100" t="s">
        <v>732</v>
      </c>
      <c r="H197" s="81" t="s">
        <v>3</v>
      </c>
      <c r="I197" s="109">
        <v>2017</v>
      </c>
      <c r="J197" s="131">
        <v>1877</v>
      </c>
      <c r="K197" s="131">
        <v>467</v>
      </c>
      <c r="L197" s="54" t="s">
        <v>29</v>
      </c>
      <c r="M197" s="131">
        <v>127.2</v>
      </c>
      <c r="N197" s="111">
        <v>300000</v>
      </c>
      <c r="O197" s="142" t="s">
        <v>585</v>
      </c>
      <c r="P197" s="111" t="s">
        <v>598</v>
      </c>
      <c r="Q197" s="111">
        <v>517050</v>
      </c>
      <c r="R197" s="81" t="s">
        <v>507</v>
      </c>
      <c r="S197" s="81" t="s">
        <v>185</v>
      </c>
      <c r="T197" s="81">
        <v>2015</v>
      </c>
      <c r="U197" s="81" t="s">
        <v>199</v>
      </c>
      <c r="V197" s="125" t="s">
        <v>1341</v>
      </c>
      <c r="W197" s="125" t="s">
        <v>1342</v>
      </c>
      <c r="X197" s="81">
        <v>2016</v>
      </c>
      <c r="Y197" s="81"/>
      <c r="Z197" s="81" t="s">
        <v>1493</v>
      </c>
      <c r="AA197" s="81" t="s">
        <v>1493</v>
      </c>
      <c r="AB197" s="81" t="s">
        <v>1493</v>
      </c>
      <c r="AC197" s="54" t="s">
        <v>1504</v>
      </c>
    </row>
    <row r="198" spans="1:29" ht="51" customHeight="1" x14ac:dyDescent="0.3">
      <c r="A198" s="122">
        <v>3149</v>
      </c>
      <c r="B198" s="81" t="s">
        <v>119</v>
      </c>
      <c r="C198" s="140" t="s">
        <v>497</v>
      </c>
      <c r="D198" s="146" t="s">
        <v>127</v>
      </c>
      <c r="E198" s="81" t="s">
        <v>128</v>
      </c>
      <c r="F198" s="81" t="s">
        <v>450</v>
      </c>
      <c r="G198" s="100" t="s">
        <v>732</v>
      </c>
      <c r="H198" s="81" t="s">
        <v>3</v>
      </c>
      <c r="I198" s="109">
        <v>2016</v>
      </c>
      <c r="J198" s="139">
        <v>125.57</v>
      </c>
      <c r="K198" s="139">
        <v>17.09</v>
      </c>
      <c r="L198" s="138" t="s">
        <v>29</v>
      </c>
      <c r="M198" s="139">
        <v>125.6</v>
      </c>
      <c r="N198" s="111">
        <v>19000</v>
      </c>
      <c r="O198" s="142" t="s">
        <v>585</v>
      </c>
      <c r="P198" s="111" t="s">
        <v>552</v>
      </c>
      <c r="Q198" s="111" t="s">
        <v>820</v>
      </c>
      <c r="R198" s="81" t="s">
        <v>497</v>
      </c>
      <c r="S198" s="81" t="s">
        <v>185</v>
      </c>
      <c r="T198" s="81">
        <v>2015</v>
      </c>
      <c r="U198" s="81" t="s">
        <v>199</v>
      </c>
      <c r="V198" s="125" t="s">
        <v>1343</v>
      </c>
      <c r="W198" s="125" t="s">
        <v>1344</v>
      </c>
      <c r="X198" s="81">
        <v>2016</v>
      </c>
      <c r="Y198" s="81"/>
      <c r="Z198" s="140" t="s">
        <v>1492</v>
      </c>
      <c r="AA198" s="81" t="s">
        <v>1493</v>
      </c>
      <c r="AB198" s="138" t="s">
        <v>1516</v>
      </c>
      <c r="AC198" s="138" t="s">
        <v>497</v>
      </c>
    </row>
    <row r="199" spans="1:29" ht="63.75" customHeight="1" x14ac:dyDescent="0.3">
      <c r="A199" s="122">
        <v>3159</v>
      </c>
      <c r="B199" s="81" t="s">
        <v>119</v>
      </c>
      <c r="C199" s="81" t="s">
        <v>379</v>
      </c>
      <c r="D199" s="146" t="s">
        <v>129</v>
      </c>
      <c r="E199" s="81" t="s">
        <v>130</v>
      </c>
      <c r="F199" s="81" t="s">
        <v>449</v>
      </c>
      <c r="G199" s="100" t="s">
        <v>732</v>
      </c>
      <c r="H199" s="81" t="s">
        <v>3</v>
      </c>
      <c r="I199" s="109">
        <v>2017</v>
      </c>
      <c r="J199" s="131">
        <v>993</v>
      </c>
      <c r="K199" s="131">
        <v>244</v>
      </c>
      <c r="L199" s="54" t="s">
        <v>29</v>
      </c>
      <c r="M199" s="131">
        <v>67</v>
      </c>
      <c r="N199" s="111">
        <v>350000</v>
      </c>
      <c r="O199" s="142" t="s">
        <v>585</v>
      </c>
      <c r="P199" s="111" t="s">
        <v>598</v>
      </c>
      <c r="Q199" s="142" t="s">
        <v>585</v>
      </c>
      <c r="R199" s="81" t="s">
        <v>507</v>
      </c>
      <c r="S199" s="81" t="s">
        <v>185</v>
      </c>
      <c r="T199" s="81">
        <v>2015</v>
      </c>
      <c r="U199" s="81" t="s">
        <v>199</v>
      </c>
      <c r="V199" s="125" t="s">
        <v>1345</v>
      </c>
      <c r="W199" s="125" t="s">
        <v>1346</v>
      </c>
      <c r="X199" s="81">
        <v>2016</v>
      </c>
      <c r="Y199" s="81"/>
      <c r="Z199" s="81" t="s">
        <v>1493</v>
      </c>
      <c r="AA199" s="81" t="s">
        <v>1493</v>
      </c>
      <c r="AB199" s="81" t="s">
        <v>1493</v>
      </c>
      <c r="AC199" s="54" t="s">
        <v>1504</v>
      </c>
    </row>
    <row r="200" spans="1:29" ht="79.5" customHeight="1" x14ac:dyDescent="0.3">
      <c r="A200" s="122">
        <v>3151</v>
      </c>
      <c r="B200" s="81" t="s">
        <v>119</v>
      </c>
      <c r="C200" s="81" t="s">
        <v>379</v>
      </c>
      <c r="D200" s="146" t="s">
        <v>131</v>
      </c>
      <c r="E200" s="81" t="s">
        <v>132</v>
      </c>
      <c r="F200" s="81" t="s">
        <v>449</v>
      </c>
      <c r="G200" s="100" t="s">
        <v>732</v>
      </c>
      <c r="H200" s="81" t="s">
        <v>3</v>
      </c>
      <c r="I200" s="109">
        <v>2017</v>
      </c>
      <c r="J200" s="131">
        <v>176</v>
      </c>
      <c r="K200" s="131">
        <v>43</v>
      </c>
      <c r="L200" s="54" t="s">
        <v>29</v>
      </c>
      <c r="M200" s="131">
        <v>11.8</v>
      </c>
      <c r="N200" s="111">
        <v>150000</v>
      </c>
      <c r="O200" s="142" t="s">
        <v>585</v>
      </c>
      <c r="P200" s="111" t="s">
        <v>598</v>
      </c>
      <c r="Q200" s="142" t="s">
        <v>585</v>
      </c>
      <c r="R200" s="81" t="s">
        <v>507</v>
      </c>
      <c r="S200" s="81" t="s">
        <v>185</v>
      </c>
      <c r="T200" s="81">
        <v>2015</v>
      </c>
      <c r="U200" s="81" t="s">
        <v>199</v>
      </c>
      <c r="V200" s="125" t="s">
        <v>1347</v>
      </c>
      <c r="W200" s="125" t="s">
        <v>1348</v>
      </c>
      <c r="X200" s="81">
        <v>2016</v>
      </c>
      <c r="Y200" s="81"/>
      <c r="Z200" s="81" t="s">
        <v>1493</v>
      </c>
      <c r="AA200" s="81" t="s">
        <v>1493</v>
      </c>
      <c r="AB200" s="81" t="s">
        <v>1493</v>
      </c>
      <c r="AC200" s="54" t="s">
        <v>1504</v>
      </c>
    </row>
    <row r="201" spans="1:29" ht="63.75" customHeight="1" x14ac:dyDescent="0.3">
      <c r="A201" s="122">
        <v>3143</v>
      </c>
      <c r="B201" s="81" t="s">
        <v>119</v>
      </c>
      <c r="C201" s="81" t="s">
        <v>379</v>
      </c>
      <c r="D201" s="81" t="s">
        <v>230</v>
      </c>
      <c r="E201" s="81" t="s">
        <v>232</v>
      </c>
      <c r="F201" s="81" t="s">
        <v>451</v>
      </c>
      <c r="G201" s="81" t="s">
        <v>229</v>
      </c>
      <c r="H201" s="81" t="s">
        <v>28</v>
      </c>
      <c r="I201" s="109">
        <v>2020</v>
      </c>
      <c r="J201" s="131" t="s">
        <v>20</v>
      </c>
      <c r="K201" s="131" t="s">
        <v>20</v>
      </c>
      <c r="L201" s="54" t="s">
        <v>29</v>
      </c>
      <c r="M201" s="131">
        <v>246.1713603778675</v>
      </c>
      <c r="N201" s="111">
        <v>2168800</v>
      </c>
      <c r="O201" s="142" t="s">
        <v>585</v>
      </c>
      <c r="P201" s="111" t="s">
        <v>598</v>
      </c>
      <c r="Q201" s="111">
        <v>400000</v>
      </c>
      <c r="R201" s="81" t="s">
        <v>508</v>
      </c>
      <c r="S201" s="81" t="s">
        <v>185</v>
      </c>
      <c r="T201" s="81">
        <v>2016</v>
      </c>
      <c r="U201" s="81" t="s">
        <v>199</v>
      </c>
      <c r="V201" s="125" t="s">
        <v>1349</v>
      </c>
      <c r="W201" s="125" t="s">
        <v>1350</v>
      </c>
      <c r="X201" s="81">
        <v>2016</v>
      </c>
      <c r="Y201" s="81"/>
      <c r="Z201" s="81" t="s">
        <v>1493</v>
      </c>
      <c r="AA201" s="81" t="s">
        <v>1493</v>
      </c>
      <c r="AB201" s="81" t="s">
        <v>1493</v>
      </c>
      <c r="AC201" s="54" t="s">
        <v>1504</v>
      </c>
    </row>
    <row r="202" spans="1:29" ht="38.25" customHeight="1" x14ac:dyDescent="0.3">
      <c r="A202" s="122">
        <v>3153</v>
      </c>
      <c r="B202" s="81" t="s">
        <v>119</v>
      </c>
      <c r="C202" s="81" t="s">
        <v>400</v>
      </c>
      <c r="D202" s="146" t="s">
        <v>306</v>
      </c>
      <c r="E202" s="81" t="s">
        <v>378</v>
      </c>
      <c r="F202" s="81" t="s">
        <v>452</v>
      </c>
      <c r="G202" s="100" t="s">
        <v>732</v>
      </c>
      <c r="H202" s="81" t="s">
        <v>3</v>
      </c>
      <c r="I202" s="109">
        <v>2016</v>
      </c>
      <c r="J202" s="131">
        <v>149</v>
      </c>
      <c r="K202" s="131">
        <v>35</v>
      </c>
      <c r="L202" s="54" t="s">
        <v>29</v>
      </c>
      <c r="M202" s="131">
        <v>70</v>
      </c>
      <c r="N202" s="111">
        <v>260660</v>
      </c>
      <c r="O202" s="142" t="s">
        <v>585</v>
      </c>
      <c r="P202" s="111" t="s">
        <v>594</v>
      </c>
      <c r="Q202" s="111">
        <v>72752</v>
      </c>
      <c r="R202" s="81" t="s">
        <v>585</v>
      </c>
      <c r="S202" s="81" t="s">
        <v>185</v>
      </c>
      <c r="T202" s="81">
        <v>2016</v>
      </c>
      <c r="U202" s="81" t="s">
        <v>199</v>
      </c>
      <c r="V202" s="100" t="s">
        <v>1351</v>
      </c>
      <c r="W202" s="100" t="s">
        <v>1352</v>
      </c>
      <c r="X202" s="81">
        <v>2016</v>
      </c>
      <c r="Y202" s="81"/>
      <c r="Z202" s="81" t="s">
        <v>1493</v>
      </c>
      <c r="AA202" s="81" t="s">
        <v>1493</v>
      </c>
      <c r="AB202" s="81" t="s">
        <v>1493</v>
      </c>
      <c r="AC202" s="54" t="s">
        <v>1504</v>
      </c>
    </row>
    <row r="203" spans="1:29" ht="63.75" customHeight="1" x14ac:dyDescent="0.3">
      <c r="A203" s="122">
        <v>3154</v>
      </c>
      <c r="B203" s="81" t="s">
        <v>119</v>
      </c>
      <c r="C203" s="140" t="s">
        <v>497</v>
      </c>
      <c r="D203" s="146" t="s">
        <v>231</v>
      </c>
      <c r="E203" s="81" t="s">
        <v>233</v>
      </c>
      <c r="F203" s="81" t="s">
        <v>572</v>
      </c>
      <c r="G203" s="100" t="s">
        <v>732</v>
      </c>
      <c r="H203" s="81" t="s">
        <v>3</v>
      </c>
      <c r="I203" s="109">
        <v>2016</v>
      </c>
      <c r="J203" s="139">
        <v>39.299999999999997</v>
      </c>
      <c r="K203" s="139">
        <v>4.6500000000000004</v>
      </c>
      <c r="L203" s="138" t="s">
        <v>29</v>
      </c>
      <c r="M203" s="139">
        <v>7.04</v>
      </c>
      <c r="N203" s="111">
        <v>20000</v>
      </c>
      <c r="O203" s="142" t="s">
        <v>585</v>
      </c>
      <c r="P203" s="111" t="s">
        <v>552</v>
      </c>
      <c r="Q203" s="111" t="s">
        <v>821</v>
      </c>
      <c r="R203" s="81" t="s">
        <v>497</v>
      </c>
      <c r="S203" s="81" t="s">
        <v>185</v>
      </c>
      <c r="T203" s="81">
        <v>2016</v>
      </c>
      <c r="U203" s="81" t="s">
        <v>199</v>
      </c>
      <c r="V203" s="125" t="s">
        <v>1353</v>
      </c>
      <c r="W203" s="125" t="s">
        <v>1346</v>
      </c>
      <c r="X203" s="81">
        <v>2016</v>
      </c>
      <c r="Y203" s="81"/>
      <c r="Z203" s="140" t="s">
        <v>1492</v>
      </c>
      <c r="AA203" s="81" t="s">
        <v>1493</v>
      </c>
      <c r="AB203" s="138" t="s">
        <v>1516</v>
      </c>
      <c r="AC203" s="138" t="s">
        <v>497</v>
      </c>
    </row>
    <row r="204" spans="1:29" ht="51" customHeight="1" x14ac:dyDescent="0.3">
      <c r="A204" s="122">
        <v>3155</v>
      </c>
      <c r="B204" s="81" t="s">
        <v>119</v>
      </c>
      <c r="C204" s="81" t="s">
        <v>533</v>
      </c>
      <c r="D204" s="81" t="s">
        <v>380</v>
      </c>
      <c r="E204" s="81" t="s">
        <v>384</v>
      </c>
      <c r="F204" s="81" t="s">
        <v>453</v>
      </c>
      <c r="G204" s="100" t="s">
        <v>732</v>
      </c>
      <c r="H204" s="81" t="s">
        <v>28</v>
      </c>
      <c r="I204" s="141" t="s">
        <v>20</v>
      </c>
      <c r="J204" s="110" t="s">
        <v>20</v>
      </c>
      <c r="K204" s="110" t="s">
        <v>20</v>
      </c>
      <c r="L204" s="81" t="s">
        <v>29</v>
      </c>
      <c r="M204" s="110">
        <v>422</v>
      </c>
      <c r="N204" s="111">
        <v>450000</v>
      </c>
      <c r="O204" s="142" t="s">
        <v>585</v>
      </c>
      <c r="P204" s="111" t="s">
        <v>591</v>
      </c>
      <c r="Q204" s="111">
        <v>322200</v>
      </c>
      <c r="R204" s="81" t="s">
        <v>497</v>
      </c>
      <c r="S204" s="81" t="s">
        <v>185</v>
      </c>
      <c r="T204" s="81">
        <v>2017</v>
      </c>
      <c r="U204" s="81" t="s">
        <v>199</v>
      </c>
      <c r="V204" s="100" t="s">
        <v>1354</v>
      </c>
      <c r="W204" s="100" t="s">
        <v>1355</v>
      </c>
      <c r="X204" s="81">
        <v>2018</v>
      </c>
      <c r="Y204" s="81"/>
      <c r="Z204" s="140" t="s">
        <v>1492</v>
      </c>
      <c r="AA204" s="81" t="s">
        <v>1493</v>
      </c>
      <c r="AB204" s="81" t="s">
        <v>1502</v>
      </c>
      <c r="AC204" s="10" t="s">
        <v>497</v>
      </c>
    </row>
    <row r="205" spans="1:29" ht="51" customHeight="1" x14ac:dyDescent="0.3">
      <c r="A205" s="122">
        <v>3156</v>
      </c>
      <c r="B205" s="81" t="s">
        <v>119</v>
      </c>
      <c r="C205" s="81" t="s">
        <v>533</v>
      </c>
      <c r="D205" s="81" t="s">
        <v>382</v>
      </c>
      <c r="E205" s="81" t="s">
        <v>385</v>
      </c>
      <c r="F205" s="81" t="s">
        <v>453</v>
      </c>
      <c r="G205" s="100" t="s">
        <v>732</v>
      </c>
      <c r="H205" s="81" t="s">
        <v>28</v>
      </c>
      <c r="I205" s="141" t="s">
        <v>20</v>
      </c>
      <c r="J205" s="110" t="s">
        <v>20</v>
      </c>
      <c r="K205" s="110" t="s">
        <v>20</v>
      </c>
      <c r="L205" s="81" t="s">
        <v>29</v>
      </c>
      <c r="M205" s="110">
        <v>515</v>
      </c>
      <c r="N205" s="111">
        <v>450000</v>
      </c>
      <c r="O205" s="142" t="s">
        <v>585</v>
      </c>
      <c r="P205" s="111" t="s">
        <v>591</v>
      </c>
      <c r="Q205" s="111">
        <v>347781</v>
      </c>
      <c r="R205" s="81" t="s">
        <v>497</v>
      </c>
      <c r="S205" s="81" t="s">
        <v>185</v>
      </c>
      <c r="T205" s="81">
        <v>2017</v>
      </c>
      <c r="U205" s="81" t="s">
        <v>199</v>
      </c>
      <c r="V205" s="100" t="s">
        <v>1356</v>
      </c>
      <c r="W205" s="100" t="s">
        <v>1357</v>
      </c>
      <c r="X205" s="81">
        <v>2016</v>
      </c>
      <c r="Y205" s="81"/>
      <c r="Z205" s="140" t="s">
        <v>1492</v>
      </c>
      <c r="AA205" s="81" t="s">
        <v>1493</v>
      </c>
      <c r="AB205" s="81" t="s">
        <v>1502</v>
      </c>
      <c r="AC205" s="10" t="s">
        <v>497</v>
      </c>
    </row>
    <row r="206" spans="1:29" ht="51" customHeight="1" x14ac:dyDescent="0.3">
      <c r="A206" s="122">
        <v>3157</v>
      </c>
      <c r="B206" s="81" t="s">
        <v>119</v>
      </c>
      <c r="C206" s="81" t="s">
        <v>533</v>
      </c>
      <c r="D206" s="81" t="s">
        <v>381</v>
      </c>
      <c r="E206" s="81" t="s">
        <v>386</v>
      </c>
      <c r="F206" s="81" t="s">
        <v>454</v>
      </c>
      <c r="G206" s="81" t="s">
        <v>492</v>
      </c>
      <c r="H206" s="81" t="s">
        <v>28</v>
      </c>
      <c r="I206" s="141" t="s">
        <v>20</v>
      </c>
      <c r="J206" s="110" t="s">
        <v>20</v>
      </c>
      <c r="K206" s="110" t="s">
        <v>20</v>
      </c>
      <c r="L206" s="81" t="s">
        <v>29</v>
      </c>
      <c r="M206" s="110" t="s">
        <v>20</v>
      </c>
      <c r="N206" s="111">
        <v>215000</v>
      </c>
      <c r="O206" s="142" t="s">
        <v>585</v>
      </c>
      <c r="P206" s="111" t="s">
        <v>591</v>
      </c>
      <c r="Q206" s="111">
        <v>265960</v>
      </c>
      <c r="R206" s="81" t="s">
        <v>497</v>
      </c>
      <c r="S206" s="81" t="s">
        <v>185</v>
      </c>
      <c r="T206" s="81">
        <v>2017</v>
      </c>
      <c r="U206" s="81" t="s">
        <v>199</v>
      </c>
      <c r="V206" s="100" t="s">
        <v>1358</v>
      </c>
      <c r="W206" s="100" t="s">
        <v>1359</v>
      </c>
      <c r="X206" s="81">
        <v>2016</v>
      </c>
      <c r="Y206" s="81"/>
      <c r="Z206" s="81" t="s">
        <v>1492</v>
      </c>
      <c r="AA206" s="81" t="s">
        <v>1492</v>
      </c>
      <c r="AB206" s="81" t="s">
        <v>1502</v>
      </c>
      <c r="AC206" s="10" t="s">
        <v>497</v>
      </c>
    </row>
    <row r="207" spans="1:29" ht="51" customHeight="1" x14ac:dyDescent="0.3">
      <c r="A207" s="122">
        <v>3179</v>
      </c>
      <c r="B207" s="81" t="s">
        <v>119</v>
      </c>
      <c r="C207" s="81" t="s">
        <v>533</v>
      </c>
      <c r="D207" s="81" t="s">
        <v>383</v>
      </c>
      <c r="E207" s="81" t="s">
        <v>387</v>
      </c>
      <c r="F207" s="81" t="s">
        <v>455</v>
      </c>
      <c r="G207" s="81" t="s">
        <v>493</v>
      </c>
      <c r="H207" s="81" t="s">
        <v>388</v>
      </c>
      <c r="I207" s="141" t="s">
        <v>20</v>
      </c>
      <c r="J207" s="110" t="s">
        <v>20</v>
      </c>
      <c r="K207" s="110" t="s">
        <v>20</v>
      </c>
      <c r="L207" s="81" t="s">
        <v>29</v>
      </c>
      <c r="M207" s="110">
        <v>149.5</v>
      </c>
      <c r="N207" s="111">
        <v>2590000</v>
      </c>
      <c r="O207" s="142" t="s">
        <v>585</v>
      </c>
      <c r="P207" s="111" t="s">
        <v>591</v>
      </c>
      <c r="Q207" s="142" t="s">
        <v>20</v>
      </c>
      <c r="R207" s="81" t="s">
        <v>497</v>
      </c>
      <c r="S207" s="81" t="s">
        <v>185</v>
      </c>
      <c r="T207" s="81">
        <v>2017</v>
      </c>
      <c r="U207" s="81" t="s">
        <v>199</v>
      </c>
      <c r="V207" s="100" t="s">
        <v>1360</v>
      </c>
      <c r="W207" s="100" t="s">
        <v>1361</v>
      </c>
      <c r="X207" s="140" t="s">
        <v>20</v>
      </c>
      <c r="Y207" s="81"/>
      <c r="Z207" s="140" t="s">
        <v>1492</v>
      </c>
      <c r="AA207" s="81" t="s">
        <v>1493</v>
      </c>
      <c r="AB207" s="81" t="s">
        <v>1502</v>
      </c>
      <c r="AC207" s="10" t="s">
        <v>497</v>
      </c>
    </row>
    <row r="208" spans="1:29" ht="38.25" customHeight="1" x14ac:dyDescent="0.3">
      <c r="A208" s="122">
        <v>3150</v>
      </c>
      <c r="B208" s="81" t="s">
        <v>119</v>
      </c>
      <c r="C208" s="140" t="s">
        <v>497</v>
      </c>
      <c r="D208" s="146" t="s">
        <v>498</v>
      </c>
      <c r="E208" s="81" t="s">
        <v>573</v>
      </c>
      <c r="F208" s="81" t="s">
        <v>599</v>
      </c>
      <c r="G208" s="81" t="s">
        <v>225</v>
      </c>
      <c r="H208" s="81" t="s">
        <v>3</v>
      </c>
      <c r="I208" s="109">
        <v>2015</v>
      </c>
      <c r="J208" s="131" t="s">
        <v>20</v>
      </c>
      <c r="K208" s="131" t="s">
        <v>20</v>
      </c>
      <c r="L208" s="54" t="s">
        <v>29</v>
      </c>
      <c r="M208" s="131">
        <v>1475</v>
      </c>
      <c r="N208" s="114">
        <v>2227000</v>
      </c>
      <c r="O208" s="142" t="s">
        <v>585</v>
      </c>
      <c r="P208" s="111" t="s">
        <v>552</v>
      </c>
      <c r="Q208" s="114" t="s">
        <v>822</v>
      </c>
      <c r="R208" s="81" t="s">
        <v>497</v>
      </c>
      <c r="S208" s="81" t="s">
        <v>185</v>
      </c>
      <c r="T208" s="81">
        <v>2017</v>
      </c>
      <c r="U208" s="81" t="s">
        <v>199</v>
      </c>
      <c r="V208" s="125" t="s">
        <v>1362</v>
      </c>
      <c r="W208" s="125" t="s">
        <v>1363</v>
      </c>
      <c r="X208" s="81">
        <v>2017</v>
      </c>
      <c r="Y208" s="81"/>
      <c r="Z208" s="81" t="s">
        <v>1493</v>
      </c>
      <c r="AA208" s="81" t="s">
        <v>1493</v>
      </c>
      <c r="AB208" s="81" t="s">
        <v>1493</v>
      </c>
      <c r="AC208" s="54" t="s">
        <v>1504</v>
      </c>
    </row>
    <row r="209" spans="1:29" ht="38.25" customHeight="1" x14ac:dyDescent="0.3">
      <c r="A209" s="122">
        <v>3176</v>
      </c>
      <c r="B209" s="81" t="s">
        <v>119</v>
      </c>
      <c r="C209" s="140" t="s">
        <v>497</v>
      </c>
      <c r="D209" s="146" t="s">
        <v>499</v>
      </c>
      <c r="E209" s="81" t="s">
        <v>500</v>
      </c>
      <c r="F209" s="81" t="s">
        <v>562</v>
      </c>
      <c r="G209" s="81" t="s">
        <v>225</v>
      </c>
      <c r="H209" s="81" t="s">
        <v>3</v>
      </c>
      <c r="I209" s="109">
        <v>2018</v>
      </c>
      <c r="J209" s="131">
        <v>31</v>
      </c>
      <c r="K209" s="131">
        <v>6</v>
      </c>
      <c r="L209" s="54" t="s">
        <v>29</v>
      </c>
      <c r="M209" s="131">
        <v>6.79</v>
      </c>
      <c r="N209" s="114">
        <v>560000</v>
      </c>
      <c r="O209" s="142" t="s">
        <v>585</v>
      </c>
      <c r="P209" s="111" t="s">
        <v>552</v>
      </c>
      <c r="Q209" s="114" t="s">
        <v>823</v>
      </c>
      <c r="R209" s="81" t="s">
        <v>497</v>
      </c>
      <c r="S209" s="81" t="s">
        <v>185</v>
      </c>
      <c r="T209" s="81">
        <v>2017</v>
      </c>
      <c r="U209" s="81" t="s">
        <v>199</v>
      </c>
      <c r="V209" s="125" t="s">
        <v>1364</v>
      </c>
      <c r="W209" s="125" t="s">
        <v>1365</v>
      </c>
      <c r="X209" s="81">
        <v>2017</v>
      </c>
      <c r="Y209" s="81"/>
      <c r="Z209" s="81" t="s">
        <v>1493</v>
      </c>
      <c r="AA209" s="81" t="s">
        <v>1493</v>
      </c>
      <c r="AB209" s="81" t="s">
        <v>1493</v>
      </c>
      <c r="AC209" s="54" t="s">
        <v>1504</v>
      </c>
    </row>
    <row r="210" spans="1:29" ht="58.5" customHeight="1" x14ac:dyDescent="0.3">
      <c r="A210" s="122">
        <v>3180</v>
      </c>
      <c r="B210" s="81" t="s">
        <v>119</v>
      </c>
      <c r="C210" s="81" t="s">
        <v>533</v>
      </c>
      <c r="D210" s="81" t="s">
        <v>501</v>
      </c>
      <c r="E210" s="81" t="s">
        <v>502</v>
      </c>
      <c r="F210" s="122" t="s">
        <v>560</v>
      </c>
      <c r="G210" s="81" t="s">
        <v>732</v>
      </c>
      <c r="H210" s="81" t="s">
        <v>388</v>
      </c>
      <c r="I210" s="109">
        <v>2019</v>
      </c>
      <c r="J210" s="110" t="s">
        <v>20</v>
      </c>
      <c r="K210" s="110" t="s">
        <v>20</v>
      </c>
      <c r="L210" s="81" t="s">
        <v>29</v>
      </c>
      <c r="M210" s="110">
        <v>854</v>
      </c>
      <c r="N210" s="114">
        <v>825000</v>
      </c>
      <c r="O210" s="142" t="s">
        <v>585</v>
      </c>
      <c r="P210" s="111" t="s">
        <v>591</v>
      </c>
      <c r="Q210" s="111">
        <v>297522</v>
      </c>
      <c r="R210" s="81" t="s">
        <v>497</v>
      </c>
      <c r="S210" s="81" t="s">
        <v>185</v>
      </c>
      <c r="T210" s="81">
        <v>2017</v>
      </c>
      <c r="U210" s="81" t="s">
        <v>199</v>
      </c>
      <c r="V210" s="125" t="s">
        <v>1366</v>
      </c>
      <c r="W210" s="125" t="s">
        <v>1367</v>
      </c>
      <c r="X210" s="81">
        <v>2019</v>
      </c>
      <c r="Y210" s="81"/>
      <c r="Z210" s="140" t="s">
        <v>1492</v>
      </c>
      <c r="AA210" s="81" t="s">
        <v>1493</v>
      </c>
      <c r="AB210" s="81" t="s">
        <v>1502</v>
      </c>
      <c r="AC210" s="10" t="s">
        <v>497</v>
      </c>
    </row>
    <row r="211" spans="1:29" ht="38.25" customHeight="1" x14ac:dyDescent="0.3">
      <c r="A211" s="122">
        <v>3181</v>
      </c>
      <c r="B211" s="81" t="s">
        <v>119</v>
      </c>
      <c r="C211" s="81" t="s">
        <v>533</v>
      </c>
      <c r="D211" s="81" t="s">
        <v>503</v>
      </c>
      <c r="E211" s="81" t="s">
        <v>504</v>
      </c>
      <c r="F211" s="81" t="s">
        <v>561</v>
      </c>
      <c r="G211" s="81" t="s">
        <v>679</v>
      </c>
      <c r="H211" s="81" t="s">
        <v>388</v>
      </c>
      <c r="I211" s="109">
        <v>2020</v>
      </c>
      <c r="J211" s="110" t="s">
        <v>20</v>
      </c>
      <c r="K211" s="110" t="s">
        <v>20</v>
      </c>
      <c r="L211" s="81" t="s">
        <v>29</v>
      </c>
      <c r="M211" s="110">
        <v>36</v>
      </c>
      <c r="N211" s="114">
        <v>435000</v>
      </c>
      <c r="O211" s="142" t="s">
        <v>585</v>
      </c>
      <c r="P211" s="111" t="s">
        <v>591</v>
      </c>
      <c r="Q211" s="111">
        <v>18344</v>
      </c>
      <c r="R211" s="81" t="s">
        <v>497</v>
      </c>
      <c r="S211" s="81" t="s">
        <v>185</v>
      </c>
      <c r="T211" s="81">
        <v>2017</v>
      </c>
      <c r="U211" s="81" t="s">
        <v>199</v>
      </c>
      <c r="V211" s="125" t="s">
        <v>1368</v>
      </c>
      <c r="W211" s="125" t="s">
        <v>1369</v>
      </c>
      <c r="X211" s="81">
        <v>2020</v>
      </c>
      <c r="Y211" s="81"/>
      <c r="Z211" s="140" t="s">
        <v>1492</v>
      </c>
      <c r="AA211" s="81" t="s">
        <v>1493</v>
      </c>
      <c r="AB211" s="81" t="s">
        <v>1502</v>
      </c>
      <c r="AC211" s="10" t="s">
        <v>497</v>
      </c>
    </row>
    <row r="212" spans="1:29" ht="50.25" customHeight="1" x14ac:dyDescent="0.3">
      <c r="A212" s="122">
        <v>4459</v>
      </c>
      <c r="B212" s="81" t="s">
        <v>119</v>
      </c>
      <c r="C212" s="81" t="s">
        <v>533</v>
      </c>
      <c r="D212" s="81" t="s">
        <v>672</v>
      </c>
      <c r="E212" s="81" t="s">
        <v>673</v>
      </c>
      <c r="F212" s="122" t="s">
        <v>560</v>
      </c>
      <c r="G212" s="100" t="s">
        <v>732</v>
      </c>
      <c r="H212" s="81" t="s">
        <v>28</v>
      </c>
      <c r="I212" s="109">
        <v>2020</v>
      </c>
      <c r="J212" s="131" t="s">
        <v>20</v>
      </c>
      <c r="K212" s="131" t="s">
        <v>20</v>
      </c>
      <c r="L212" s="54" t="s">
        <v>29</v>
      </c>
      <c r="M212" s="131">
        <v>1307</v>
      </c>
      <c r="N212" s="114">
        <v>550000</v>
      </c>
      <c r="O212" s="142" t="s">
        <v>585</v>
      </c>
      <c r="P212" s="111" t="s">
        <v>591</v>
      </c>
      <c r="Q212" s="111">
        <v>92120</v>
      </c>
      <c r="R212" s="81" t="s">
        <v>497</v>
      </c>
      <c r="S212" s="81" t="s">
        <v>185</v>
      </c>
      <c r="T212" s="81">
        <v>2018</v>
      </c>
      <c r="U212" s="81" t="s">
        <v>199</v>
      </c>
      <c r="V212" s="100" t="s">
        <v>1370</v>
      </c>
      <c r="W212" s="100" t="s">
        <v>1371</v>
      </c>
      <c r="X212" s="140" t="s">
        <v>585</v>
      </c>
      <c r="Y212" s="81"/>
      <c r="Z212" s="81" t="s">
        <v>1493</v>
      </c>
      <c r="AA212" s="81" t="s">
        <v>1493</v>
      </c>
      <c r="AB212" s="81" t="s">
        <v>1493</v>
      </c>
      <c r="AC212" s="54" t="s">
        <v>1504</v>
      </c>
    </row>
    <row r="213" spans="1:29" ht="38.25" customHeight="1" x14ac:dyDescent="0.3">
      <c r="A213" s="122">
        <v>4460</v>
      </c>
      <c r="B213" s="81" t="s">
        <v>119</v>
      </c>
      <c r="C213" s="81" t="s">
        <v>533</v>
      </c>
      <c r="D213" s="81" t="s">
        <v>674</v>
      </c>
      <c r="E213" s="81" t="s">
        <v>675</v>
      </c>
      <c r="F213" s="122" t="s">
        <v>560</v>
      </c>
      <c r="G213" s="100" t="s">
        <v>732</v>
      </c>
      <c r="H213" s="81" t="s">
        <v>28</v>
      </c>
      <c r="I213" s="109">
        <v>2020</v>
      </c>
      <c r="J213" s="131" t="s">
        <v>20</v>
      </c>
      <c r="K213" s="131" t="s">
        <v>20</v>
      </c>
      <c r="L213" s="54" t="s">
        <v>29</v>
      </c>
      <c r="M213" s="131">
        <v>110</v>
      </c>
      <c r="N213" s="114">
        <v>450000</v>
      </c>
      <c r="O213" s="142" t="s">
        <v>585</v>
      </c>
      <c r="P213" s="111" t="s">
        <v>591</v>
      </c>
      <c r="Q213" s="111">
        <v>99358</v>
      </c>
      <c r="R213" s="81" t="s">
        <v>497</v>
      </c>
      <c r="S213" s="81" t="s">
        <v>185</v>
      </c>
      <c r="T213" s="81">
        <v>2018</v>
      </c>
      <c r="U213" s="81" t="s">
        <v>199</v>
      </c>
      <c r="V213" s="100" t="s">
        <v>1372</v>
      </c>
      <c r="W213" s="100" t="s">
        <v>1373</v>
      </c>
      <c r="X213" s="140" t="s">
        <v>585</v>
      </c>
      <c r="Y213" s="81"/>
      <c r="Z213" s="81" t="s">
        <v>1493</v>
      </c>
      <c r="AA213" s="81" t="s">
        <v>1493</v>
      </c>
      <c r="AB213" s="81" t="s">
        <v>1493</v>
      </c>
      <c r="AC213" s="54" t="s">
        <v>1504</v>
      </c>
    </row>
    <row r="214" spans="1:29" ht="38.25" customHeight="1" x14ac:dyDescent="0.3">
      <c r="A214" s="122">
        <v>4461</v>
      </c>
      <c r="B214" s="81" t="s">
        <v>119</v>
      </c>
      <c r="C214" s="81" t="s">
        <v>533</v>
      </c>
      <c r="D214" s="146" t="s">
        <v>676</v>
      </c>
      <c r="E214" s="81" t="s">
        <v>677</v>
      </c>
      <c r="F214" s="81" t="s">
        <v>678</v>
      </c>
      <c r="G214" s="81" t="s">
        <v>491</v>
      </c>
      <c r="H214" s="81" t="s">
        <v>28</v>
      </c>
      <c r="I214" s="141" t="s">
        <v>20</v>
      </c>
      <c r="J214" s="110" t="s">
        <v>20</v>
      </c>
      <c r="K214" s="110" t="s">
        <v>20</v>
      </c>
      <c r="L214" s="81" t="s">
        <v>29</v>
      </c>
      <c r="M214" s="110" t="s">
        <v>20</v>
      </c>
      <c r="N214" s="144" t="s">
        <v>20</v>
      </c>
      <c r="O214" s="142" t="s">
        <v>497</v>
      </c>
      <c r="P214" s="111" t="s">
        <v>533</v>
      </c>
      <c r="Q214" s="142" t="s">
        <v>20</v>
      </c>
      <c r="R214" s="81" t="s">
        <v>497</v>
      </c>
      <c r="S214" s="81" t="s">
        <v>185</v>
      </c>
      <c r="T214" s="81">
        <v>2018</v>
      </c>
      <c r="U214" s="81" t="s">
        <v>199</v>
      </c>
      <c r="V214" s="145" t="s">
        <v>585</v>
      </c>
      <c r="W214" s="145" t="s">
        <v>585</v>
      </c>
      <c r="X214" s="140" t="s">
        <v>585</v>
      </c>
      <c r="Y214" s="81"/>
      <c r="Z214" s="140" t="s">
        <v>1492</v>
      </c>
      <c r="AA214" s="81" t="s">
        <v>1493</v>
      </c>
      <c r="AB214" s="81" t="s">
        <v>1502</v>
      </c>
      <c r="AC214" s="10" t="s">
        <v>497</v>
      </c>
    </row>
    <row r="215" spans="1:29" ht="25.5" customHeight="1" x14ac:dyDescent="0.3">
      <c r="A215" s="81">
        <v>5362</v>
      </c>
      <c r="B215" s="81" t="s">
        <v>119</v>
      </c>
      <c r="C215" s="81" t="s">
        <v>798</v>
      </c>
      <c r="D215" s="146" t="s">
        <v>771</v>
      </c>
      <c r="E215" s="81" t="s">
        <v>772</v>
      </c>
      <c r="F215" s="81" t="s">
        <v>773</v>
      </c>
      <c r="G215" s="81" t="s">
        <v>512</v>
      </c>
      <c r="H215" s="81" t="s">
        <v>388</v>
      </c>
      <c r="I215" s="141" t="s">
        <v>20</v>
      </c>
      <c r="J215" s="110" t="s">
        <v>20</v>
      </c>
      <c r="K215" s="110" t="s">
        <v>20</v>
      </c>
      <c r="L215" s="81" t="s">
        <v>29</v>
      </c>
      <c r="M215" s="110" t="s">
        <v>20</v>
      </c>
      <c r="N215" s="111">
        <v>10038000</v>
      </c>
      <c r="O215" s="142" t="s">
        <v>585</v>
      </c>
      <c r="P215" s="111" t="s">
        <v>800</v>
      </c>
      <c r="Q215" s="111">
        <v>5415600</v>
      </c>
      <c r="R215" s="81" t="s">
        <v>497</v>
      </c>
      <c r="S215" s="81" t="s">
        <v>185</v>
      </c>
      <c r="T215" s="81">
        <v>2019</v>
      </c>
      <c r="U215" s="81" t="s">
        <v>199</v>
      </c>
      <c r="V215" s="145" t="s">
        <v>497</v>
      </c>
      <c r="W215" s="145" t="s">
        <v>497</v>
      </c>
      <c r="X215" s="140" t="s">
        <v>497</v>
      </c>
      <c r="Y215" s="81"/>
      <c r="Z215" s="81" t="s">
        <v>1492</v>
      </c>
      <c r="AA215" s="81" t="s">
        <v>1492</v>
      </c>
      <c r="AB215" s="81" t="s">
        <v>1502</v>
      </c>
      <c r="AC215" s="10" t="s">
        <v>497</v>
      </c>
    </row>
    <row r="216" spans="1:29" ht="38.25" customHeight="1" x14ac:dyDescent="0.3">
      <c r="A216" s="81">
        <v>5363</v>
      </c>
      <c r="B216" s="81" t="s">
        <v>119</v>
      </c>
      <c r="C216" s="140" t="s">
        <v>20</v>
      </c>
      <c r="D216" s="146" t="s">
        <v>774</v>
      </c>
      <c r="E216" s="81" t="s">
        <v>775</v>
      </c>
      <c r="F216" s="81" t="s">
        <v>776</v>
      </c>
      <c r="G216" s="81" t="s">
        <v>491</v>
      </c>
      <c r="H216" s="81" t="s">
        <v>388</v>
      </c>
      <c r="I216" s="141" t="s">
        <v>20</v>
      </c>
      <c r="J216" s="110" t="s">
        <v>20</v>
      </c>
      <c r="K216" s="110" t="s">
        <v>20</v>
      </c>
      <c r="L216" s="81" t="s">
        <v>29</v>
      </c>
      <c r="M216" s="110" t="s">
        <v>20</v>
      </c>
      <c r="N216" s="142" t="s">
        <v>20</v>
      </c>
      <c r="O216" s="142" t="s">
        <v>585</v>
      </c>
      <c r="P216" s="142" t="s">
        <v>20</v>
      </c>
      <c r="Q216" s="142" t="s">
        <v>20</v>
      </c>
      <c r="R216" s="81" t="s">
        <v>497</v>
      </c>
      <c r="S216" s="81" t="s">
        <v>185</v>
      </c>
      <c r="T216" s="81">
        <v>2019</v>
      </c>
      <c r="U216" s="81" t="s">
        <v>199</v>
      </c>
      <c r="V216" s="145" t="s">
        <v>497</v>
      </c>
      <c r="W216" s="145" t="s">
        <v>497</v>
      </c>
      <c r="X216" s="140" t="s">
        <v>497</v>
      </c>
      <c r="Y216" s="81"/>
      <c r="Z216" s="140" t="s">
        <v>1492</v>
      </c>
      <c r="AA216" s="81" t="s">
        <v>1493</v>
      </c>
      <c r="AB216" s="81" t="s">
        <v>1502</v>
      </c>
      <c r="AC216" s="10" t="s">
        <v>497</v>
      </c>
    </row>
    <row r="217" spans="1:29" ht="38.25" customHeight="1" x14ac:dyDescent="0.3">
      <c r="A217" s="81">
        <v>5364</v>
      </c>
      <c r="B217" s="81" t="s">
        <v>119</v>
      </c>
      <c r="C217" s="140" t="s">
        <v>20</v>
      </c>
      <c r="D217" s="146" t="s">
        <v>777</v>
      </c>
      <c r="E217" s="81" t="s">
        <v>778</v>
      </c>
      <c r="F217" s="122" t="s">
        <v>560</v>
      </c>
      <c r="G217" s="81" t="s">
        <v>732</v>
      </c>
      <c r="H217" s="81" t="s">
        <v>388</v>
      </c>
      <c r="I217" s="141" t="s">
        <v>20</v>
      </c>
      <c r="J217" s="110" t="s">
        <v>20</v>
      </c>
      <c r="K217" s="110" t="s">
        <v>20</v>
      </c>
      <c r="L217" s="81" t="s">
        <v>29</v>
      </c>
      <c r="M217" s="110" t="s">
        <v>20</v>
      </c>
      <c r="N217" s="142" t="s">
        <v>20</v>
      </c>
      <c r="O217" s="142" t="s">
        <v>585</v>
      </c>
      <c r="P217" s="142" t="s">
        <v>20</v>
      </c>
      <c r="Q217" s="142" t="s">
        <v>20</v>
      </c>
      <c r="R217" s="81" t="s">
        <v>497</v>
      </c>
      <c r="S217" s="81" t="s">
        <v>185</v>
      </c>
      <c r="T217" s="81">
        <v>2019</v>
      </c>
      <c r="U217" s="81" t="s">
        <v>199</v>
      </c>
      <c r="V217" s="145" t="s">
        <v>497</v>
      </c>
      <c r="W217" s="145" t="s">
        <v>497</v>
      </c>
      <c r="X217" s="140" t="s">
        <v>497</v>
      </c>
      <c r="Y217" s="81"/>
      <c r="Z217" s="140" t="s">
        <v>1492</v>
      </c>
      <c r="AA217" s="81" t="s">
        <v>1493</v>
      </c>
      <c r="AB217" s="81" t="s">
        <v>1502</v>
      </c>
      <c r="AC217" s="10" t="s">
        <v>497</v>
      </c>
    </row>
    <row r="218" spans="1:29" ht="38.25" customHeight="1" x14ac:dyDescent="0.3">
      <c r="A218" s="81">
        <v>5365</v>
      </c>
      <c r="B218" s="81" t="s">
        <v>119</v>
      </c>
      <c r="C218" s="140" t="s">
        <v>20</v>
      </c>
      <c r="D218" s="146" t="s">
        <v>779</v>
      </c>
      <c r="E218" s="81" t="s">
        <v>780</v>
      </c>
      <c r="F218" s="122" t="s">
        <v>560</v>
      </c>
      <c r="G218" s="81" t="s">
        <v>732</v>
      </c>
      <c r="H218" s="81" t="s">
        <v>388</v>
      </c>
      <c r="I218" s="141" t="s">
        <v>20</v>
      </c>
      <c r="J218" s="110" t="s">
        <v>20</v>
      </c>
      <c r="K218" s="110" t="s">
        <v>20</v>
      </c>
      <c r="L218" s="81" t="s">
        <v>29</v>
      </c>
      <c r="M218" s="110" t="s">
        <v>20</v>
      </c>
      <c r="N218" s="142" t="s">
        <v>20</v>
      </c>
      <c r="O218" s="142" t="s">
        <v>585</v>
      </c>
      <c r="P218" s="142" t="s">
        <v>20</v>
      </c>
      <c r="Q218" s="142" t="s">
        <v>20</v>
      </c>
      <c r="R218" s="81" t="s">
        <v>497</v>
      </c>
      <c r="S218" s="81" t="s">
        <v>185</v>
      </c>
      <c r="T218" s="81">
        <v>2019</v>
      </c>
      <c r="U218" s="81" t="s">
        <v>199</v>
      </c>
      <c r="V218" s="145" t="s">
        <v>497</v>
      </c>
      <c r="W218" s="145" t="s">
        <v>497</v>
      </c>
      <c r="X218" s="140" t="s">
        <v>497</v>
      </c>
      <c r="Y218" s="81"/>
      <c r="Z218" s="140" t="s">
        <v>1492</v>
      </c>
      <c r="AA218" s="81" t="s">
        <v>1493</v>
      </c>
      <c r="AB218" s="81" t="s">
        <v>1502</v>
      </c>
      <c r="AC218" s="10" t="s">
        <v>497</v>
      </c>
    </row>
    <row r="219" spans="1:29" ht="36" customHeight="1" x14ac:dyDescent="0.3">
      <c r="A219" s="81">
        <v>5366</v>
      </c>
      <c r="B219" s="81" t="s">
        <v>119</v>
      </c>
      <c r="C219" s="140" t="s">
        <v>20</v>
      </c>
      <c r="D219" s="146" t="s">
        <v>781</v>
      </c>
      <c r="E219" s="81" t="s">
        <v>782</v>
      </c>
      <c r="F219" s="122" t="s">
        <v>560</v>
      </c>
      <c r="G219" s="81" t="s">
        <v>732</v>
      </c>
      <c r="H219" s="81" t="s">
        <v>388</v>
      </c>
      <c r="I219" s="141" t="s">
        <v>20</v>
      </c>
      <c r="J219" s="110" t="s">
        <v>20</v>
      </c>
      <c r="K219" s="110" t="s">
        <v>20</v>
      </c>
      <c r="L219" s="81" t="s">
        <v>29</v>
      </c>
      <c r="M219" s="110" t="s">
        <v>20</v>
      </c>
      <c r="N219" s="142" t="s">
        <v>20</v>
      </c>
      <c r="O219" s="142" t="s">
        <v>585</v>
      </c>
      <c r="P219" s="142" t="s">
        <v>20</v>
      </c>
      <c r="Q219" s="142" t="s">
        <v>20</v>
      </c>
      <c r="R219" s="81" t="s">
        <v>497</v>
      </c>
      <c r="S219" s="81" t="s">
        <v>185</v>
      </c>
      <c r="T219" s="81">
        <v>2019</v>
      </c>
      <c r="U219" s="81" t="s">
        <v>199</v>
      </c>
      <c r="V219" s="145" t="s">
        <v>497</v>
      </c>
      <c r="W219" s="145" t="s">
        <v>497</v>
      </c>
      <c r="X219" s="140" t="s">
        <v>497</v>
      </c>
      <c r="Y219" s="81"/>
      <c r="Z219" s="140" t="s">
        <v>1492</v>
      </c>
      <c r="AA219" s="81" t="s">
        <v>1493</v>
      </c>
      <c r="AB219" s="81" t="s">
        <v>1502</v>
      </c>
      <c r="AC219" s="10" t="s">
        <v>497</v>
      </c>
    </row>
    <row r="220" spans="1:29" ht="38.25" customHeight="1" x14ac:dyDescent="0.3">
      <c r="A220" s="81">
        <v>3067</v>
      </c>
      <c r="B220" s="81" t="s">
        <v>139</v>
      </c>
      <c r="C220" s="140" t="s">
        <v>585</v>
      </c>
      <c r="D220" s="146" t="s">
        <v>370</v>
      </c>
      <c r="E220" s="81" t="s">
        <v>1</v>
      </c>
      <c r="F220" s="81" t="s">
        <v>488</v>
      </c>
      <c r="G220" s="81" t="s">
        <v>1</v>
      </c>
      <c r="H220" s="81" t="s">
        <v>1517</v>
      </c>
      <c r="I220" s="141" t="s">
        <v>497</v>
      </c>
      <c r="J220" s="132">
        <v>21</v>
      </c>
      <c r="K220" s="132">
        <v>4.2</v>
      </c>
      <c r="L220" s="54" t="s">
        <v>29</v>
      </c>
      <c r="M220" s="131" t="s">
        <v>497</v>
      </c>
      <c r="N220" s="142" t="s">
        <v>585</v>
      </c>
      <c r="O220" s="142" t="s">
        <v>585</v>
      </c>
      <c r="P220" s="142" t="s">
        <v>585</v>
      </c>
      <c r="Q220" s="142" t="s">
        <v>585</v>
      </c>
      <c r="R220" s="81" t="s">
        <v>497</v>
      </c>
      <c r="S220" s="81" t="s">
        <v>184</v>
      </c>
      <c r="T220" s="81">
        <v>2013</v>
      </c>
      <c r="U220" s="81" t="s">
        <v>199</v>
      </c>
      <c r="V220" s="145" t="s">
        <v>497</v>
      </c>
      <c r="W220" s="145" t="s">
        <v>497</v>
      </c>
      <c r="X220" s="140" t="s">
        <v>585</v>
      </c>
      <c r="Y220" s="81"/>
      <c r="Z220" s="81" t="s">
        <v>1492</v>
      </c>
      <c r="AA220" s="81" t="s">
        <v>1492</v>
      </c>
      <c r="AB220" s="81" t="s">
        <v>1500</v>
      </c>
      <c r="AC220" s="54" t="s">
        <v>1501</v>
      </c>
    </row>
    <row r="221" spans="1:29" ht="38.25" customHeight="1" x14ac:dyDescent="0.3">
      <c r="A221" s="122">
        <v>3182</v>
      </c>
      <c r="B221" s="81" t="s">
        <v>140</v>
      </c>
      <c r="C221" s="81" t="s">
        <v>533</v>
      </c>
      <c r="D221" s="146" t="s">
        <v>331</v>
      </c>
      <c r="E221" s="81" t="s">
        <v>141</v>
      </c>
      <c r="F221" s="81" t="s">
        <v>684</v>
      </c>
      <c r="G221" s="81" t="s">
        <v>628</v>
      </c>
      <c r="H221" s="81" t="s">
        <v>3</v>
      </c>
      <c r="I221" s="109">
        <v>2009</v>
      </c>
      <c r="J221" s="132">
        <v>16</v>
      </c>
      <c r="K221" s="132">
        <v>2.2999999999999998</v>
      </c>
      <c r="L221" s="54" t="s">
        <v>29</v>
      </c>
      <c r="M221" s="131">
        <v>10.4</v>
      </c>
      <c r="N221" s="111">
        <v>8600</v>
      </c>
      <c r="O221" s="111">
        <v>2555</v>
      </c>
      <c r="P221" s="142" t="s">
        <v>585</v>
      </c>
      <c r="Q221" s="142" t="s">
        <v>585</v>
      </c>
      <c r="R221" s="81" t="s">
        <v>497</v>
      </c>
      <c r="S221" s="81" t="s">
        <v>185</v>
      </c>
      <c r="T221" s="81">
        <v>2013</v>
      </c>
      <c r="U221" s="81" t="s">
        <v>199</v>
      </c>
      <c r="V221" s="100" t="s">
        <v>1374</v>
      </c>
      <c r="W221" s="100" t="s">
        <v>1375</v>
      </c>
      <c r="X221" s="140" t="s">
        <v>585</v>
      </c>
      <c r="Y221" s="81"/>
      <c r="Z221" s="81" t="s">
        <v>1493</v>
      </c>
      <c r="AA221" s="81" t="s">
        <v>1493</v>
      </c>
      <c r="AB221" s="81" t="s">
        <v>1493</v>
      </c>
      <c r="AC221" s="54" t="s">
        <v>1504</v>
      </c>
    </row>
    <row r="222" spans="1:29" ht="38.25" customHeight="1" x14ac:dyDescent="0.3">
      <c r="A222" s="122">
        <v>3183</v>
      </c>
      <c r="B222" s="81" t="s">
        <v>140</v>
      </c>
      <c r="C222" s="81" t="s">
        <v>533</v>
      </c>
      <c r="D222" s="146" t="s">
        <v>332</v>
      </c>
      <c r="E222" s="81" t="s">
        <v>161</v>
      </c>
      <c r="F222" s="81" t="s">
        <v>684</v>
      </c>
      <c r="G222" s="81" t="s">
        <v>628</v>
      </c>
      <c r="H222" s="81" t="s">
        <v>3</v>
      </c>
      <c r="I222" s="109">
        <v>2009</v>
      </c>
      <c r="J222" s="132">
        <v>35</v>
      </c>
      <c r="K222" s="132">
        <v>4.9000000000000004</v>
      </c>
      <c r="L222" s="54" t="s">
        <v>29</v>
      </c>
      <c r="M222" s="131">
        <v>27.1</v>
      </c>
      <c r="N222" s="111">
        <v>9350</v>
      </c>
      <c r="O222" s="111">
        <v>2555</v>
      </c>
      <c r="P222" s="142" t="s">
        <v>585</v>
      </c>
      <c r="Q222" s="142" t="s">
        <v>585</v>
      </c>
      <c r="R222" s="81" t="s">
        <v>497</v>
      </c>
      <c r="S222" s="81" t="s">
        <v>185</v>
      </c>
      <c r="T222" s="81">
        <v>2013</v>
      </c>
      <c r="U222" s="81" t="s">
        <v>199</v>
      </c>
      <c r="V222" s="100" t="s">
        <v>1376</v>
      </c>
      <c r="W222" s="100" t="s">
        <v>1377</v>
      </c>
      <c r="X222" s="140" t="s">
        <v>585</v>
      </c>
      <c r="Y222" s="81"/>
      <c r="Z222" s="81" t="s">
        <v>1493</v>
      </c>
      <c r="AA222" s="81" t="s">
        <v>1493</v>
      </c>
      <c r="AB222" s="81" t="s">
        <v>1493</v>
      </c>
      <c r="AC222" s="54" t="s">
        <v>1504</v>
      </c>
    </row>
    <row r="223" spans="1:29" ht="38.25" customHeight="1" x14ac:dyDescent="0.3">
      <c r="A223" s="122">
        <v>3184</v>
      </c>
      <c r="B223" s="81" t="s">
        <v>140</v>
      </c>
      <c r="C223" s="140" t="s">
        <v>585</v>
      </c>
      <c r="D223" s="146" t="s">
        <v>333</v>
      </c>
      <c r="E223" s="81" t="s">
        <v>169</v>
      </c>
      <c r="F223" s="81" t="s">
        <v>684</v>
      </c>
      <c r="G223" s="81" t="s">
        <v>628</v>
      </c>
      <c r="H223" s="81" t="s">
        <v>3</v>
      </c>
      <c r="I223" s="109">
        <v>2009</v>
      </c>
      <c r="J223" s="132">
        <v>16</v>
      </c>
      <c r="K223" s="132">
        <v>1.8</v>
      </c>
      <c r="L223" s="54" t="s">
        <v>29</v>
      </c>
      <c r="M223" s="131">
        <v>14.5994778587876</v>
      </c>
      <c r="N223" s="111">
        <v>43420</v>
      </c>
      <c r="O223" s="111">
        <v>2555</v>
      </c>
      <c r="P223" s="142" t="s">
        <v>585</v>
      </c>
      <c r="Q223" s="142" t="s">
        <v>585</v>
      </c>
      <c r="R223" s="81" t="s">
        <v>497</v>
      </c>
      <c r="S223" s="81" t="s">
        <v>185</v>
      </c>
      <c r="T223" s="81">
        <v>2013</v>
      </c>
      <c r="U223" s="81" t="s">
        <v>199</v>
      </c>
      <c r="V223" s="100" t="s">
        <v>1378</v>
      </c>
      <c r="W223" s="100" t="s">
        <v>1379</v>
      </c>
      <c r="X223" s="140" t="s">
        <v>585</v>
      </c>
      <c r="Y223" s="81"/>
      <c r="Z223" s="81" t="s">
        <v>1493</v>
      </c>
      <c r="AA223" s="81" t="s">
        <v>1493</v>
      </c>
      <c r="AB223" s="81" t="s">
        <v>1493</v>
      </c>
      <c r="AC223" s="54" t="s">
        <v>1504</v>
      </c>
    </row>
    <row r="224" spans="1:29" ht="38.25" customHeight="1" x14ac:dyDescent="0.3">
      <c r="A224" s="122">
        <v>3194</v>
      </c>
      <c r="B224" s="81" t="s">
        <v>140</v>
      </c>
      <c r="C224" s="140" t="s">
        <v>585</v>
      </c>
      <c r="D224" s="146" t="s">
        <v>334</v>
      </c>
      <c r="E224" s="81" t="s">
        <v>170</v>
      </c>
      <c r="F224" s="81" t="s">
        <v>684</v>
      </c>
      <c r="G224" s="81" t="s">
        <v>628</v>
      </c>
      <c r="H224" s="81" t="s">
        <v>3</v>
      </c>
      <c r="I224" s="109">
        <v>2004</v>
      </c>
      <c r="J224" s="132">
        <v>73</v>
      </c>
      <c r="K224" s="132">
        <v>13.5</v>
      </c>
      <c r="L224" s="54" t="s">
        <v>29</v>
      </c>
      <c r="M224" s="131">
        <v>40.973816420750424</v>
      </c>
      <c r="N224" s="111">
        <v>21448</v>
      </c>
      <c r="O224" s="111">
        <v>3682</v>
      </c>
      <c r="P224" s="142" t="s">
        <v>585</v>
      </c>
      <c r="Q224" s="142" t="s">
        <v>585</v>
      </c>
      <c r="R224" s="81" t="s">
        <v>497</v>
      </c>
      <c r="S224" s="81" t="s">
        <v>185</v>
      </c>
      <c r="T224" s="81">
        <v>2013</v>
      </c>
      <c r="U224" s="81" t="s">
        <v>199</v>
      </c>
      <c r="V224" s="100" t="s">
        <v>1380</v>
      </c>
      <c r="W224" s="100" t="s">
        <v>1381</v>
      </c>
      <c r="X224" s="140" t="s">
        <v>585</v>
      </c>
      <c r="Y224" s="81"/>
      <c r="Z224" s="81" t="s">
        <v>1493</v>
      </c>
      <c r="AA224" s="81" t="s">
        <v>1493</v>
      </c>
      <c r="AB224" s="81" t="s">
        <v>1493</v>
      </c>
      <c r="AC224" s="54" t="s">
        <v>1504</v>
      </c>
    </row>
    <row r="225" spans="1:29" ht="38.25" customHeight="1" x14ac:dyDescent="0.3">
      <c r="A225" s="122">
        <v>3186</v>
      </c>
      <c r="B225" s="81" t="s">
        <v>140</v>
      </c>
      <c r="C225" s="140" t="s">
        <v>585</v>
      </c>
      <c r="D225" s="146" t="s">
        <v>335</v>
      </c>
      <c r="E225" s="81" t="s">
        <v>171</v>
      </c>
      <c r="F225" s="81" t="s">
        <v>684</v>
      </c>
      <c r="G225" s="81" t="s">
        <v>628</v>
      </c>
      <c r="H225" s="81" t="s">
        <v>3</v>
      </c>
      <c r="I225" s="109">
        <v>2000</v>
      </c>
      <c r="J225" s="132">
        <v>104</v>
      </c>
      <c r="K225" s="132">
        <v>17.7</v>
      </c>
      <c r="L225" s="54" t="s">
        <v>29</v>
      </c>
      <c r="M225" s="131">
        <v>35.739179351579295</v>
      </c>
      <c r="N225" s="111">
        <v>29495</v>
      </c>
      <c r="O225" s="111">
        <v>2566</v>
      </c>
      <c r="P225" s="142" t="s">
        <v>585</v>
      </c>
      <c r="Q225" s="142" t="s">
        <v>585</v>
      </c>
      <c r="R225" s="81" t="s">
        <v>497</v>
      </c>
      <c r="S225" s="81" t="s">
        <v>185</v>
      </c>
      <c r="T225" s="81">
        <v>2013</v>
      </c>
      <c r="U225" s="81" t="s">
        <v>199</v>
      </c>
      <c r="V225" s="100" t="s">
        <v>1382</v>
      </c>
      <c r="W225" s="100" t="s">
        <v>1383</v>
      </c>
      <c r="X225" s="140" t="s">
        <v>585</v>
      </c>
      <c r="Y225" s="81"/>
      <c r="Z225" s="81" t="s">
        <v>1493</v>
      </c>
      <c r="AA225" s="81" t="s">
        <v>1493</v>
      </c>
      <c r="AB225" s="81" t="s">
        <v>1493</v>
      </c>
      <c r="AC225" s="54" t="s">
        <v>1504</v>
      </c>
    </row>
    <row r="226" spans="1:29" ht="38.25" customHeight="1" x14ac:dyDescent="0.3">
      <c r="A226" s="122">
        <v>3178</v>
      </c>
      <c r="B226" s="81" t="s">
        <v>140</v>
      </c>
      <c r="C226" s="140" t="s">
        <v>585</v>
      </c>
      <c r="D226" s="146" t="s">
        <v>336</v>
      </c>
      <c r="E226" s="81" t="s">
        <v>172</v>
      </c>
      <c r="F226" s="81" t="s">
        <v>684</v>
      </c>
      <c r="G226" s="81" t="s">
        <v>628</v>
      </c>
      <c r="H226" s="81" t="s">
        <v>3</v>
      </c>
      <c r="I226" s="109">
        <v>2007</v>
      </c>
      <c r="J226" s="132">
        <v>17</v>
      </c>
      <c r="K226" s="132">
        <v>2</v>
      </c>
      <c r="L226" s="54" t="s">
        <v>29</v>
      </c>
      <c r="M226" s="131">
        <v>13.182457592484651</v>
      </c>
      <c r="N226" s="111">
        <v>52529</v>
      </c>
      <c r="O226" s="111">
        <v>2555</v>
      </c>
      <c r="P226" s="142" t="s">
        <v>585</v>
      </c>
      <c r="Q226" s="142" t="s">
        <v>585</v>
      </c>
      <c r="R226" s="81" t="s">
        <v>497</v>
      </c>
      <c r="S226" s="81" t="s">
        <v>185</v>
      </c>
      <c r="T226" s="81">
        <v>2013</v>
      </c>
      <c r="U226" s="81" t="s">
        <v>199</v>
      </c>
      <c r="V226" s="100" t="s">
        <v>1384</v>
      </c>
      <c r="W226" s="100" t="s">
        <v>1385</v>
      </c>
      <c r="X226" s="140" t="s">
        <v>585</v>
      </c>
      <c r="Y226" s="81"/>
      <c r="Z226" s="81" t="s">
        <v>1493</v>
      </c>
      <c r="AA226" s="81" t="s">
        <v>1493</v>
      </c>
      <c r="AB226" s="81" t="s">
        <v>1493</v>
      </c>
      <c r="AC226" s="54" t="s">
        <v>1504</v>
      </c>
    </row>
    <row r="227" spans="1:29" ht="70.5" customHeight="1" x14ac:dyDescent="0.3">
      <c r="A227" s="122">
        <v>3188</v>
      </c>
      <c r="B227" s="81" t="s">
        <v>140</v>
      </c>
      <c r="C227" s="140" t="s">
        <v>585</v>
      </c>
      <c r="D227" s="146" t="s">
        <v>337</v>
      </c>
      <c r="E227" s="81" t="s">
        <v>173</v>
      </c>
      <c r="F227" s="81" t="s">
        <v>684</v>
      </c>
      <c r="G227" s="81" t="s">
        <v>628</v>
      </c>
      <c r="H227" s="81" t="s">
        <v>3</v>
      </c>
      <c r="I227" s="109">
        <v>2004</v>
      </c>
      <c r="J227" s="132">
        <v>16</v>
      </c>
      <c r="K227" s="132">
        <v>1.9</v>
      </c>
      <c r="L227" s="54" t="s">
        <v>29</v>
      </c>
      <c r="M227" s="131">
        <v>11.869761643550452</v>
      </c>
      <c r="N227" s="111">
        <v>60000</v>
      </c>
      <c r="O227" s="111">
        <v>2555</v>
      </c>
      <c r="P227" s="142" t="s">
        <v>585</v>
      </c>
      <c r="Q227" s="142" t="s">
        <v>585</v>
      </c>
      <c r="R227" s="81" t="s">
        <v>497</v>
      </c>
      <c r="S227" s="81" t="s">
        <v>185</v>
      </c>
      <c r="T227" s="81">
        <v>2013</v>
      </c>
      <c r="U227" s="81" t="s">
        <v>199</v>
      </c>
      <c r="V227" s="100" t="s">
        <v>1386</v>
      </c>
      <c r="W227" s="100" t="s">
        <v>1387</v>
      </c>
      <c r="X227" s="140" t="s">
        <v>585</v>
      </c>
      <c r="Y227" s="81"/>
      <c r="Z227" s="81" t="s">
        <v>1493</v>
      </c>
      <c r="AA227" s="81" t="s">
        <v>1493</v>
      </c>
      <c r="AB227" s="81" t="s">
        <v>1493</v>
      </c>
      <c r="AC227" s="54" t="s">
        <v>1504</v>
      </c>
    </row>
    <row r="228" spans="1:29" ht="39.6" x14ac:dyDescent="0.3">
      <c r="A228" s="122">
        <v>3189</v>
      </c>
      <c r="B228" s="81" t="s">
        <v>140</v>
      </c>
      <c r="C228" s="140" t="s">
        <v>585</v>
      </c>
      <c r="D228" s="146" t="s">
        <v>338</v>
      </c>
      <c r="E228" s="81" t="s">
        <v>174</v>
      </c>
      <c r="F228" s="81" t="s">
        <v>684</v>
      </c>
      <c r="G228" s="81" t="s">
        <v>628</v>
      </c>
      <c r="H228" s="81" t="s">
        <v>3</v>
      </c>
      <c r="I228" s="141" t="s">
        <v>712</v>
      </c>
      <c r="J228" s="132">
        <v>14</v>
      </c>
      <c r="K228" s="132">
        <v>1.6</v>
      </c>
      <c r="L228" s="54" t="s">
        <v>29</v>
      </c>
      <c r="M228" s="131">
        <v>12.880904086636283</v>
      </c>
      <c r="N228" s="111">
        <v>55750</v>
      </c>
      <c r="O228" s="142" t="s">
        <v>585</v>
      </c>
      <c r="P228" s="142" t="s">
        <v>585</v>
      </c>
      <c r="Q228" s="142" t="s">
        <v>585</v>
      </c>
      <c r="R228" s="81" t="s">
        <v>497</v>
      </c>
      <c r="S228" s="81" t="s">
        <v>185</v>
      </c>
      <c r="T228" s="81">
        <v>2013</v>
      </c>
      <c r="U228" s="81" t="s">
        <v>199</v>
      </c>
      <c r="V228" s="100" t="s">
        <v>1388</v>
      </c>
      <c r="W228" s="100" t="s">
        <v>1389</v>
      </c>
      <c r="X228" s="140" t="s">
        <v>585</v>
      </c>
      <c r="Y228" s="81"/>
      <c r="Z228" s="81" t="s">
        <v>1493</v>
      </c>
      <c r="AA228" s="81" t="s">
        <v>1493</v>
      </c>
      <c r="AB228" s="81" t="s">
        <v>1493</v>
      </c>
      <c r="AC228" s="54" t="s">
        <v>1504</v>
      </c>
    </row>
    <row r="229" spans="1:29" ht="52.8" x14ac:dyDescent="0.3">
      <c r="A229" s="122">
        <v>3190</v>
      </c>
      <c r="B229" s="81" t="s">
        <v>140</v>
      </c>
      <c r="C229" s="140" t="s">
        <v>585</v>
      </c>
      <c r="D229" s="146" t="s">
        <v>339</v>
      </c>
      <c r="E229" s="81" t="s">
        <v>175</v>
      </c>
      <c r="F229" s="81" t="s">
        <v>684</v>
      </c>
      <c r="G229" s="81" t="s">
        <v>628</v>
      </c>
      <c r="H229" s="81" t="s">
        <v>3</v>
      </c>
      <c r="I229" s="109">
        <v>2008</v>
      </c>
      <c r="J229" s="132">
        <v>38</v>
      </c>
      <c r="K229" s="132">
        <v>5.8</v>
      </c>
      <c r="L229" s="54" t="s">
        <v>29</v>
      </c>
      <c r="M229" s="131">
        <v>22.878503267697543</v>
      </c>
      <c r="N229" s="111">
        <v>58960</v>
      </c>
      <c r="O229" s="111">
        <v>2555</v>
      </c>
      <c r="P229" s="142" t="s">
        <v>585</v>
      </c>
      <c r="Q229" s="142" t="s">
        <v>585</v>
      </c>
      <c r="R229" s="81" t="s">
        <v>497</v>
      </c>
      <c r="S229" s="81" t="s">
        <v>185</v>
      </c>
      <c r="T229" s="81">
        <v>2013</v>
      </c>
      <c r="U229" s="81" t="s">
        <v>199</v>
      </c>
      <c r="V229" s="100" t="s">
        <v>1390</v>
      </c>
      <c r="W229" s="100" t="s">
        <v>1391</v>
      </c>
      <c r="X229" s="140" t="s">
        <v>585</v>
      </c>
      <c r="Y229" s="81"/>
      <c r="Z229" s="81" t="s">
        <v>1493</v>
      </c>
      <c r="AA229" s="81" t="s">
        <v>1493</v>
      </c>
      <c r="AB229" s="81" t="s">
        <v>1493</v>
      </c>
      <c r="AC229" s="54" t="s">
        <v>1504</v>
      </c>
    </row>
    <row r="230" spans="1:29" ht="39.6" x14ac:dyDescent="0.3">
      <c r="A230" s="122">
        <v>3191</v>
      </c>
      <c r="B230" s="81" t="s">
        <v>140</v>
      </c>
      <c r="C230" s="140" t="s">
        <v>585</v>
      </c>
      <c r="D230" s="146" t="s">
        <v>142</v>
      </c>
      <c r="E230" s="81" t="s">
        <v>143</v>
      </c>
      <c r="F230" s="81" t="s">
        <v>684</v>
      </c>
      <c r="G230" s="81" t="s">
        <v>628</v>
      </c>
      <c r="H230" s="81" t="s">
        <v>3</v>
      </c>
      <c r="I230" s="109">
        <v>2002</v>
      </c>
      <c r="J230" s="132">
        <v>26</v>
      </c>
      <c r="K230" s="132">
        <v>3</v>
      </c>
      <c r="L230" s="54" t="s">
        <v>29</v>
      </c>
      <c r="M230" s="131">
        <v>24.3</v>
      </c>
      <c r="N230" s="111">
        <v>68248</v>
      </c>
      <c r="O230" s="111">
        <v>3682</v>
      </c>
      <c r="P230" s="142" t="s">
        <v>585</v>
      </c>
      <c r="Q230" s="142" t="s">
        <v>585</v>
      </c>
      <c r="R230" s="81" t="s">
        <v>497</v>
      </c>
      <c r="S230" s="81" t="s">
        <v>185</v>
      </c>
      <c r="T230" s="81">
        <v>2013</v>
      </c>
      <c r="U230" s="81" t="s">
        <v>199</v>
      </c>
      <c r="V230" s="100" t="s">
        <v>1392</v>
      </c>
      <c r="W230" s="100" t="s">
        <v>1393</v>
      </c>
      <c r="X230" s="140" t="s">
        <v>585</v>
      </c>
      <c r="Y230" s="81"/>
      <c r="Z230" s="81" t="s">
        <v>1493</v>
      </c>
      <c r="AA230" s="81" t="s">
        <v>1493</v>
      </c>
      <c r="AB230" s="81" t="s">
        <v>1493</v>
      </c>
      <c r="AC230" s="54" t="s">
        <v>1504</v>
      </c>
    </row>
    <row r="231" spans="1:29" ht="58.5" customHeight="1" x14ac:dyDescent="0.3">
      <c r="A231" s="122">
        <v>3192</v>
      </c>
      <c r="B231" s="81" t="s">
        <v>140</v>
      </c>
      <c r="C231" s="140" t="s">
        <v>585</v>
      </c>
      <c r="D231" s="146" t="s">
        <v>144</v>
      </c>
      <c r="E231" s="81" t="s">
        <v>145</v>
      </c>
      <c r="F231" s="81" t="s">
        <v>684</v>
      </c>
      <c r="G231" s="81" t="s">
        <v>628</v>
      </c>
      <c r="H231" s="81" t="s">
        <v>3</v>
      </c>
      <c r="I231" s="109">
        <v>2011</v>
      </c>
      <c r="J231" s="132">
        <v>9</v>
      </c>
      <c r="K231" s="132">
        <v>1</v>
      </c>
      <c r="L231" s="54" t="s">
        <v>29</v>
      </c>
      <c r="M231" s="131">
        <v>8</v>
      </c>
      <c r="N231" s="142" t="s">
        <v>585</v>
      </c>
      <c r="O231" s="142" t="s">
        <v>585</v>
      </c>
      <c r="P231" s="142" t="s">
        <v>585</v>
      </c>
      <c r="Q231" s="142" t="s">
        <v>585</v>
      </c>
      <c r="R231" s="81" t="s">
        <v>497</v>
      </c>
      <c r="S231" s="81" t="s">
        <v>185</v>
      </c>
      <c r="T231" s="81">
        <v>2013</v>
      </c>
      <c r="U231" s="81" t="s">
        <v>199</v>
      </c>
      <c r="V231" s="100" t="s">
        <v>1394</v>
      </c>
      <c r="W231" s="100" t="s">
        <v>1395</v>
      </c>
      <c r="X231" s="140" t="s">
        <v>585</v>
      </c>
      <c r="Y231" s="81"/>
      <c r="Z231" s="81" t="s">
        <v>1493</v>
      </c>
      <c r="AA231" s="81" t="s">
        <v>1493</v>
      </c>
      <c r="AB231" s="81" t="s">
        <v>1493</v>
      </c>
      <c r="AC231" s="54" t="s">
        <v>1504</v>
      </c>
    </row>
    <row r="232" spans="1:29" ht="45.75" customHeight="1" x14ac:dyDescent="0.3">
      <c r="A232" s="122">
        <v>3193</v>
      </c>
      <c r="B232" s="81" t="s">
        <v>140</v>
      </c>
      <c r="C232" s="140" t="s">
        <v>585</v>
      </c>
      <c r="D232" s="146" t="s">
        <v>146</v>
      </c>
      <c r="E232" s="81" t="s">
        <v>147</v>
      </c>
      <c r="F232" s="81" t="s">
        <v>684</v>
      </c>
      <c r="G232" s="81" t="s">
        <v>628</v>
      </c>
      <c r="H232" s="81" t="s">
        <v>3</v>
      </c>
      <c r="I232" s="109">
        <v>2011</v>
      </c>
      <c r="J232" s="132">
        <v>11</v>
      </c>
      <c r="K232" s="132">
        <v>1</v>
      </c>
      <c r="L232" s="54" t="s">
        <v>29</v>
      </c>
      <c r="M232" s="131">
        <v>7.4</v>
      </c>
      <c r="N232" s="142" t="s">
        <v>585</v>
      </c>
      <c r="O232" s="142" t="s">
        <v>585</v>
      </c>
      <c r="P232" s="142" t="s">
        <v>585</v>
      </c>
      <c r="Q232" s="142" t="s">
        <v>585</v>
      </c>
      <c r="R232" s="81" t="s">
        <v>497</v>
      </c>
      <c r="S232" s="81" t="s">
        <v>185</v>
      </c>
      <c r="T232" s="81">
        <v>2013</v>
      </c>
      <c r="U232" s="81" t="s">
        <v>199</v>
      </c>
      <c r="V232" s="100" t="s">
        <v>1396</v>
      </c>
      <c r="W232" s="100" t="s">
        <v>1397</v>
      </c>
      <c r="X232" s="140" t="s">
        <v>585</v>
      </c>
      <c r="Y232" s="81"/>
      <c r="Z232" s="81" t="s">
        <v>1493</v>
      </c>
      <c r="AA232" s="81" t="s">
        <v>1493</v>
      </c>
      <c r="AB232" s="81" t="s">
        <v>1493</v>
      </c>
      <c r="AC232" s="54" t="s">
        <v>1504</v>
      </c>
    </row>
    <row r="233" spans="1:29" ht="61.5" customHeight="1" x14ac:dyDescent="0.3">
      <c r="A233" s="122">
        <v>3126</v>
      </c>
      <c r="B233" s="81" t="s">
        <v>140</v>
      </c>
      <c r="C233" s="140" t="s">
        <v>585</v>
      </c>
      <c r="D233" s="146" t="s">
        <v>148</v>
      </c>
      <c r="E233" s="81" t="s">
        <v>149</v>
      </c>
      <c r="F233" s="81" t="s">
        <v>684</v>
      </c>
      <c r="G233" s="81" t="s">
        <v>628</v>
      </c>
      <c r="H233" s="81" t="s">
        <v>3</v>
      </c>
      <c r="I233" s="109">
        <v>2011</v>
      </c>
      <c r="J233" s="132">
        <v>7</v>
      </c>
      <c r="K233" s="132">
        <v>0.7</v>
      </c>
      <c r="L233" s="54" t="s">
        <v>29</v>
      </c>
      <c r="M233" s="131">
        <v>9.8000000000000007</v>
      </c>
      <c r="N233" s="111">
        <v>35000</v>
      </c>
      <c r="O233" s="142" t="s">
        <v>585</v>
      </c>
      <c r="P233" s="142" t="s">
        <v>585</v>
      </c>
      <c r="Q233" s="142" t="s">
        <v>585</v>
      </c>
      <c r="R233" s="81" t="s">
        <v>497</v>
      </c>
      <c r="S233" s="81" t="s">
        <v>185</v>
      </c>
      <c r="T233" s="81">
        <v>2013</v>
      </c>
      <c r="U233" s="81" t="s">
        <v>199</v>
      </c>
      <c r="V233" s="100" t="s">
        <v>1398</v>
      </c>
      <c r="W233" s="100" t="s">
        <v>1399</v>
      </c>
      <c r="X233" s="140" t="s">
        <v>585</v>
      </c>
      <c r="Y233" s="81"/>
      <c r="Z233" s="81" t="s">
        <v>1493</v>
      </c>
      <c r="AA233" s="81" t="s">
        <v>1493</v>
      </c>
      <c r="AB233" s="81" t="s">
        <v>1493</v>
      </c>
      <c r="AC233" s="54" t="s">
        <v>1504</v>
      </c>
    </row>
    <row r="234" spans="1:29" ht="64.5" customHeight="1" x14ac:dyDescent="0.3">
      <c r="A234" s="122">
        <v>3075</v>
      </c>
      <c r="B234" s="81" t="s">
        <v>140</v>
      </c>
      <c r="C234" s="140" t="s">
        <v>585</v>
      </c>
      <c r="D234" s="146" t="s">
        <v>150</v>
      </c>
      <c r="E234" s="81" t="s">
        <v>151</v>
      </c>
      <c r="F234" s="81" t="s">
        <v>962</v>
      </c>
      <c r="G234" s="81" t="s">
        <v>683</v>
      </c>
      <c r="H234" s="81" t="s">
        <v>3</v>
      </c>
      <c r="I234" s="109">
        <v>2011</v>
      </c>
      <c r="J234" s="132">
        <v>38</v>
      </c>
      <c r="K234" s="132">
        <v>5.0999999999999996</v>
      </c>
      <c r="L234" s="54" t="s">
        <v>29</v>
      </c>
      <c r="M234" s="131">
        <v>8</v>
      </c>
      <c r="N234" s="111">
        <v>10000</v>
      </c>
      <c r="O234" s="142" t="s">
        <v>585</v>
      </c>
      <c r="P234" s="142" t="s">
        <v>585</v>
      </c>
      <c r="Q234" s="142" t="s">
        <v>585</v>
      </c>
      <c r="R234" s="81" t="s">
        <v>497</v>
      </c>
      <c r="S234" s="81" t="s">
        <v>185</v>
      </c>
      <c r="T234" s="81">
        <v>2013</v>
      </c>
      <c r="U234" s="81" t="s">
        <v>199</v>
      </c>
      <c r="V234" s="100" t="s">
        <v>1400</v>
      </c>
      <c r="W234" s="100" t="s">
        <v>1401</v>
      </c>
      <c r="X234" s="140" t="s">
        <v>585</v>
      </c>
      <c r="Y234" s="81"/>
      <c r="Z234" s="81" t="s">
        <v>1493</v>
      </c>
      <c r="AA234" s="81" t="s">
        <v>1493</v>
      </c>
      <c r="AB234" s="81" t="s">
        <v>1493</v>
      </c>
      <c r="AC234" s="54" t="s">
        <v>1504</v>
      </c>
    </row>
    <row r="235" spans="1:29" ht="66.75" customHeight="1" x14ac:dyDescent="0.3">
      <c r="A235" s="122">
        <v>3158</v>
      </c>
      <c r="B235" s="81" t="s">
        <v>140</v>
      </c>
      <c r="C235" s="140" t="s">
        <v>585</v>
      </c>
      <c r="D235" s="146" t="s">
        <v>152</v>
      </c>
      <c r="E235" s="81" t="s">
        <v>792</v>
      </c>
      <c r="F235" s="81" t="s">
        <v>685</v>
      </c>
      <c r="G235" s="81" t="s">
        <v>229</v>
      </c>
      <c r="H235" s="81" t="s">
        <v>3</v>
      </c>
      <c r="I235" s="109">
        <v>2004</v>
      </c>
      <c r="J235" s="132">
        <v>5</v>
      </c>
      <c r="K235" s="132">
        <v>0.5</v>
      </c>
      <c r="L235" s="54" t="s">
        <v>29</v>
      </c>
      <c r="M235" s="131">
        <v>25.6</v>
      </c>
      <c r="N235" s="111">
        <v>50000</v>
      </c>
      <c r="O235" s="111">
        <v>23974</v>
      </c>
      <c r="P235" s="142" t="s">
        <v>585</v>
      </c>
      <c r="Q235" s="142" t="s">
        <v>585</v>
      </c>
      <c r="R235" s="81" t="s">
        <v>497</v>
      </c>
      <c r="S235" s="81" t="s">
        <v>185</v>
      </c>
      <c r="T235" s="81">
        <v>2013</v>
      </c>
      <c r="U235" s="81" t="s">
        <v>199</v>
      </c>
      <c r="V235" s="100" t="s">
        <v>1402</v>
      </c>
      <c r="W235" s="100" t="s">
        <v>1403</v>
      </c>
      <c r="X235" s="140" t="s">
        <v>585</v>
      </c>
      <c r="Y235" s="81"/>
      <c r="Z235" s="81" t="s">
        <v>1493</v>
      </c>
      <c r="AA235" s="81" t="s">
        <v>1493</v>
      </c>
      <c r="AB235" s="81" t="s">
        <v>1493</v>
      </c>
      <c r="AC235" s="54" t="s">
        <v>1504</v>
      </c>
    </row>
    <row r="236" spans="1:29" ht="62.25" customHeight="1" x14ac:dyDescent="0.3">
      <c r="A236" s="122">
        <v>3093</v>
      </c>
      <c r="B236" s="81" t="s">
        <v>140</v>
      </c>
      <c r="C236" s="140" t="s">
        <v>585</v>
      </c>
      <c r="D236" s="146" t="s">
        <v>153</v>
      </c>
      <c r="E236" s="81" t="s">
        <v>154</v>
      </c>
      <c r="F236" s="81" t="s">
        <v>685</v>
      </c>
      <c r="G236" s="81" t="s">
        <v>229</v>
      </c>
      <c r="H236" s="81" t="s">
        <v>3</v>
      </c>
      <c r="I236" s="109">
        <v>2009</v>
      </c>
      <c r="J236" s="132">
        <v>1</v>
      </c>
      <c r="K236" s="132">
        <v>0.2</v>
      </c>
      <c r="L236" s="54" t="s">
        <v>29</v>
      </c>
      <c r="M236" s="131">
        <v>54.3</v>
      </c>
      <c r="N236" s="111">
        <v>100000</v>
      </c>
      <c r="O236" s="111">
        <v>6234</v>
      </c>
      <c r="P236" s="142" t="s">
        <v>585</v>
      </c>
      <c r="Q236" s="142" t="s">
        <v>585</v>
      </c>
      <c r="R236" s="81" t="s">
        <v>497</v>
      </c>
      <c r="S236" s="81" t="s">
        <v>185</v>
      </c>
      <c r="T236" s="81">
        <v>2013</v>
      </c>
      <c r="U236" s="81" t="s">
        <v>199</v>
      </c>
      <c r="V236" s="100" t="s">
        <v>1404</v>
      </c>
      <c r="W236" s="100" t="s">
        <v>1405</v>
      </c>
      <c r="X236" s="140" t="s">
        <v>585</v>
      </c>
      <c r="Y236" s="81"/>
      <c r="Z236" s="81" t="s">
        <v>1493</v>
      </c>
      <c r="AA236" s="81" t="s">
        <v>1493</v>
      </c>
      <c r="AB236" s="81" t="s">
        <v>1493</v>
      </c>
      <c r="AC236" s="54" t="s">
        <v>1504</v>
      </c>
    </row>
    <row r="237" spans="1:29" ht="58.5" customHeight="1" x14ac:dyDescent="0.3">
      <c r="A237" s="122">
        <v>3094</v>
      </c>
      <c r="B237" s="81" t="s">
        <v>140</v>
      </c>
      <c r="C237" s="81" t="s">
        <v>379</v>
      </c>
      <c r="D237" s="146" t="s">
        <v>155</v>
      </c>
      <c r="E237" s="81" t="s">
        <v>156</v>
      </c>
      <c r="F237" s="81" t="s">
        <v>685</v>
      </c>
      <c r="G237" s="81" t="s">
        <v>229</v>
      </c>
      <c r="H237" s="81" t="s">
        <v>3</v>
      </c>
      <c r="I237" s="109">
        <v>2010</v>
      </c>
      <c r="J237" s="132">
        <v>2823</v>
      </c>
      <c r="K237" s="132">
        <v>1248.9000000000001</v>
      </c>
      <c r="L237" s="54" t="s">
        <v>29</v>
      </c>
      <c r="M237" s="131">
        <v>757</v>
      </c>
      <c r="N237" s="111">
        <v>2600000</v>
      </c>
      <c r="O237" s="111">
        <v>40000</v>
      </c>
      <c r="P237" s="111" t="s">
        <v>379</v>
      </c>
      <c r="Q237" s="142" t="s">
        <v>585</v>
      </c>
      <c r="R237" s="81" t="s">
        <v>192</v>
      </c>
      <c r="S237" s="81" t="s">
        <v>185</v>
      </c>
      <c r="T237" s="81">
        <v>2013</v>
      </c>
      <c r="U237" s="81" t="s">
        <v>199</v>
      </c>
      <c r="V237" s="100" t="s">
        <v>1406</v>
      </c>
      <c r="W237" s="100" t="s">
        <v>1407</v>
      </c>
      <c r="X237" s="140" t="s">
        <v>585</v>
      </c>
      <c r="Y237" s="81"/>
      <c r="Z237" s="81" t="s">
        <v>1493</v>
      </c>
      <c r="AA237" s="81" t="s">
        <v>1493</v>
      </c>
      <c r="AB237" s="81" t="s">
        <v>1493</v>
      </c>
      <c r="AC237" s="54" t="s">
        <v>1504</v>
      </c>
    </row>
    <row r="238" spans="1:29" ht="61.5" customHeight="1" x14ac:dyDescent="0.3">
      <c r="A238" s="122">
        <v>3095</v>
      </c>
      <c r="B238" s="81" t="s">
        <v>140</v>
      </c>
      <c r="C238" s="140" t="s">
        <v>585</v>
      </c>
      <c r="D238" s="146" t="s">
        <v>157</v>
      </c>
      <c r="E238" s="81" t="s">
        <v>158</v>
      </c>
      <c r="F238" s="81" t="s">
        <v>685</v>
      </c>
      <c r="G238" s="81" t="s">
        <v>229</v>
      </c>
      <c r="H238" s="81" t="s">
        <v>3</v>
      </c>
      <c r="I238" s="109">
        <v>2010</v>
      </c>
      <c r="J238" s="132">
        <v>76</v>
      </c>
      <c r="K238" s="132">
        <v>49.5</v>
      </c>
      <c r="L238" s="54" t="s">
        <v>29</v>
      </c>
      <c r="M238" s="131">
        <v>25.2</v>
      </c>
      <c r="N238" s="111">
        <v>435000</v>
      </c>
      <c r="O238" s="111">
        <v>40950</v>
      </c>
      <c r="P238" s="142" t="s">
        <v>585</v>
      </c>
      <c r="Q238" s="142" t="s">
        <v>585</v>
      </c>
      <c r="R238" s="81" t="s">
        <v>497</v>
      </c>
      <c r="S238" s="81" t="s">
        <v>185</v>
      </c>
      <c r="T238" s="81">
        <v>2013</v>
      </c>
      <c r="U238" s="81" t="s">
        <v>199</v>
      </c>
      <c r="V238" s="100" t="s">
        <v>1408</v>
      </c>
      <c r="W238" s="100" t="s">
        <v>1409</v>
      </c>
      <c r="X238" s="140" t="s">
        <v>585</v>
      </c>
      <c r="Y238" s="81"/>
      <c r="Z238" s="81" t="s">
        <v>1493</v>
      </c>
      <c r="AA238" s="81" t="s">
        <v>1493</v>
      </c>
      <c r="AB238" s="81" t="s">
        <v>1493</v>
      </c>
      <c r="AC238" s="54" t="s">
        <v>1504</v>
      </c>
    </row>
    <row r="239" spans="1:29" ht="62.25" customHeight="1" x14ac:dyDescent="0.3">
      <c r="A239" s="122">
        <v>3092</v>
      </c>
      <c r="B239" s="81" t="s">
        <v>140</v>
      </c>
      <c r="C239" s="140" t="s">
        <v>585</v>
      </c>
      <c r="D239" s="146" t="s">
        <v>159</v>
      </c>
      <c r="E239" s="81" t="s">
        <v>160</v>
      </c>
      <c r="F239" s="81" t="s">
        <v>685</v>
      </c>
      <c r="G239" s="81" t="s">
        <v>229</v>
      </c>
      <c r="H239" s="81" t="s">
        <v>3</v>
      </c>
      <c r="I239" s="109">
        <v>2010</v>
      </c>
      <c r="J239" s="132">
        <v>16</v>
      </c>
      <c r="K239" s="132">
        <v>5.0999999999999996</v>
      </c>
      <c r="L239" s="54" t="s">
        <v>29</v>
      </c>
      <c r="M239" s="131">
        <v>39.1</v>
      </c>
      <c r="N239" s="111">
        <v>350000</v>
      </c>
      <c r="O239" s="111">
        <v>7035</v>
      </c>
      <c r="P239" s="142" t="s">
        <v>585</v>
      </c>
      <c r="Q239" s="142" t="s">
        <v>585</v>
      </c>
      <c r="R239" s="81" t="s">
        <v>497</v>
      </c>
      <c r="S239" s="81" t="s">
        <v>185</v>
      </c>
      <c r="T239" s="81">
        <v>2013</v>
      </c>
      <c r="U239" s="81" t="s">
        <v>199</v>
      </c>
      <c r="V239" s="100" t="s">
        <v>1410</v>
      </c>
      <c r="W239" s="100" t="s">
        <v>1411</v>
      </c>
      <c r="X239" s="140" t="s">
        <v>585</v>
      </c>
      <c r="Y239" s="81"/>
      <c r="Z239" s="81" t="s">
        <v>1493</v>
      </c>
      <c r="AA239" s="81" t="s">
        <v>1493</v>
      </c>
      <c r="AB239" s="81" t="s">
        <v>1493</v>
      </c>
      <c r="AC239" s="54" t="s">
        <v>1504</v>
      </c>
    </row>
    <row r="240" spans="1:29" ht="63.75" customHeight="1" x14ac:dyDescent="0.3">
      <c r="A240" s="122">
        <v>3097</v>
      </c>
      <c r="B240" s="81" t="s">
        <v>140</v>
      </c>
      <c r="C240" s="140" t="s">
        <v>585</v>
      </c>
      <c r="D240" s="146" t="s">
        <v>162</v>
      </c>
      <c r="E240" s="81" t="s">
        <v>163</v>
      </c>
      <c r="F240" s="81" t="s">
        <v>685</v>
      </c>
      <c r="G240" s="81" t="s">
        <v>229</v>
      </c>
      <c r="H240" s="81" t="s">
        <v>3</v>
      </c>
      <c r="I240" s="109">
        <v>2014</v>
      </c>
      <c r="J240" s="132">
        <v>7.84</v>
      </c>
      <c r="K240" s="132">
        <v>2</v>
      </c>
      <c r="L240" s="54" t="s">
        <v>29</v>
      </c>
      <c r="M240" s="131">
        <v>36.9</v>
      </c>
      <c r="N240" s="111">
        <v>950000</v>
      </c>
      <c r="O240" s="142" t="s">
        <v>585</v>
      </c>
      <c r="P240" s="142" t="s">
        <v>585</v>
      </c>
      <c r="Q240" s="142" t="s">
        <v>585</v>
      </c>
      <c r="R240" s="81" t="s">
        <v>497</v>
      </c>
      <c r="S240" s="81" t="s">
        <v>185</v>
      </c>
      <c r="T240" s="81">
        <v>2013</v>
      </c>
      <c r="U240" s="81" t="s">
        <v>199</v>
      </c>
      <c r="V240" s="100" t="s">
        <v>1412</v>
      </c>
      <c r="W240" s="100" t="s">
        <v>1413</v>
      </c>
      <c r="X240" s="140" t="s">
        <v>585</v>
      </c>
      <c r="Y240" s="81"/>
      <c r="Z240" s="81" t="s">
        <v>1493</v>
      </c>
      <c r="AA240" s="81" t="s">
        <v>1493</v>
      </c>
      <c r="AB240" s="81" t="s">
        <v>1493</v>
      </c>
      <c r="AC240" s="54" t="s">
        <v>1504</v>
      </c>
    </row>
    <row r="241" spans="1:29" ht="59.25" customHeight="1" x14ac:dyDescent="0.3">
      <c r="A241" s="122">
        <v>3001</v>
      </c>
      <c r="B241" s="81" t="s">
        <v>140</v>
      </c>
      <c r="C241" s="140" t="s">
        <v>585</v>
      </c>
      <c r="D241" s="146" t="s">
        <v>164</v>
      </c>
      <c r="E241" s="81" t="s">
        <v>4</v>
      </c>
      <c r="F241" s="81" t="s">
        <v>686</v>
      </c>
      <c r="G241" s="81" t="s">
        <v>4</v>
      </c>
      <c r="H241" s="81" t="s">
        <v>1517</v>
      </c>
      <c r="I241" s="141" t="s">
        <v>497</v>
      </c>
      <c r="J241" s="132">
        <v>794</v>
      </c>
      <c r="K241" s="132">
        <v>337</v>
      </c>
      <c r="L241" s="54" t="s">
        <v>29</v>
      </c>
      <c r="M241" s="131" t="s">
        <v>497</v>
      </c>
      <c r="N241" s="142" t="s">
        <v>585</v>
      </c>
      <c r="O241" s="111">
        <v>54000</v>
      </c>
      <c r="P241" s="142" t="s">
        <v>585</v>
      </c>
      <c r="Q241" s="142" t="s">
        <v>585</v>
      </c>
      <c r="R241" s="81" t="s">
        <v>497</v>
      </c>
      <c r="S241" s="81" t="s">
        <v>184</v>
      </c>
      <c r="T241" s="81">
        <v>2013</v>
      </c>
      <c r="U241" s="81" t="s">
        <v>199</v>
      </c>
      <c r="V241" s="145" t="s">
        <v>497</v>
      </c>
      <c r="W241" s="145" t="s">
        <v>497</v>
      </c>
      <c r="X241" s="140" t="s">
        <v>585</v>
      </c>
      <c r="Y241" s="81"/>
      <c r="Z241" s="81" t="s">
        <v>1492</v>
      </c>
      <c r="AA241" s="81" t="s">
        <v>1492</v>
      </c>
      <c r="AB241" s="81" t="s">
        <v>1498</v>
      </c>
      <c r="AC241" s="54" t="s">
        <v>1499</v>
      </c>
    </row>
    <row r="242" spans="1:29" ht="60.75" customHeight="1" x14ac:dyDescent="0.3">
      <c r="A242" s="122">
        <v>3107</v>
      </c>
      <c r="B242" s="81" t="s">
        <v>140</v>
      </c>
      <c r="C242" s="140" t="s">
        <v>585</v>
      </c>
      <c r="D242" s="146" t="s">
        <v>165</v>
      </c>
      <c r="E242" s="81" t="s">
        <v>495</v>
      </c>
      <c r="F242" s="81" t="s">
        <v>456</v>
      </c>
      <c r="G242" s="109" t="s">
        <v>1490</v>
      </c>
      <c r="H242" s="81" t="s">
        <v>3</v>
      </c>
      <c r="I242" s="141" t="s">
        <v>712</v>
      </c>
      <c r="J242" s="137">
        <v>1248</v>
      </c>
      <c r="K242" s="137">
        <v>477.3</v>
      </c>
      <c r="L242" s="138" t="s">
        <v>29</v>
      </c>
      <c r="M242" s="139">
        <v>383.2</v>
      </c>
      <c r="N242" s="142" t="s">
        <v>585</v>
      </c>
      <c r="O242" s="142" t="s">
        <v>585</v>
      </c>
      <c r="P242" s="142" t="s">
        <v>585</v>
      </c>
      <c r="Q242" s="142" t="s">
        <v>585</v>
      </c>
      <c r="R242" s="81" t="s">
        <v>497</v>
      </c>
      <c r="S242" s="81" t="s">
        <v>184</v>
      </c>
      <c r="T242" s="81">
        <v>2013</v>
      </c>
      <c r="U242" s="81" t="s">
        <v>199</v>
      </c>
      <c r="V242" s="145" t="s">
        <v>585</v>
      </c>
      <c r="W242" s="145" t="s">
        <v>585</v>
      </c>
      <c r="X242" s="81">
        <v>1986</v>
      </c>
      <c r="Y242" s="81"/>
      <c r="Z242" s="140" t="s">
        <v>1492</v>
      </c>
      <c r="AA242" s="81" t="s">
        <v>1493</v>
      </c>
      <c r="AB242" s="138" t="s">
        <v>1516</v>
      </c>
      <c r="AC242" s="138" t="s">
        <v>497</v>
      </c>
    </row>
    <row r="243" spans="1:29" ht="79.2" x14ac:dyDescent="0.3">
      <c r="A243" s="122">
        <v>3099</v>
      </c>
      <c r="B243" s="81" t="s">
        <v>140</v>
      </c>
      <c r="C243" s="140" t="s">
        <v>585</v>
      </c>
      <c r="D243" s="146" t="s">
        <v>166</v>
      </c>
      <c r="E243" s="81" t="s">
        <v>1</v>
      </c>
      <c r="F243" s="81" t="s">
        <v>600</v>
      </c>
      <c r="G243" s="81" t="s">
        <v>1</v>
      </c>
      <c r="H243" s="81" t="s">
        <v>1517</v>
      </c>
      <c r="I243" s="141" t="s">
        <v>497</v>
      </c>
      <c r="J243" s="132">
        <v>1541</v>
      </c>
      <c r="K243" s="132">
        <v>346.5</v>
      </c>
      <c r="L243" s="54" t="s">
        <v>29</v>
      </c>
      <c r="M243" s="131" t="s">
        <v>497</v>
      </c>
      <c r="N243" s="114">
        <v>7385</v>
      </c>
      <c r="O243" s="142">
        <v>0</v>
      </c>
      <c r="P243" s="142" t="s">
        <v>585</v>
      </c>
      <c r="Q243" s="142" t="s">
        <v>585</v>
      </c>
      <c r="R243" s="81" t="s">
        <v>497</v>
      </c>
      <c r="S243" s="81" t="s">
        <v>184</v>
      </c>
      <c r="T243" s="81">
        <v>2013</v>
      </c>
      <c r="U243" s="81" t="s">
        <v>199</v>
      </c>
      <c r="V243" s="145" t="s">
        <v>497</v>
      </c>
      <c r="W243" s="145" t="s">
        <v>497</v>
      </c>
      <c r="X243" s="140" t="s">
        <v>585</v>
      </c>
      <c r="Y243" s="81"/>
      <c r="Z243" s="81" t="s">
        <v>1492</v>
      </c>
      <c r="AA243" s="81" t="s">
        <v>1492</v>
      </c>
      <c r="AB243" s="81" t="s">
        <v>1500</v>
      </c>
      <c r="AC243" s="54" t="s">
        <v>1501</v>
      </c>
    </row>
    <row r="244" spans="1:29" ht="132" x14ac:dyDescent="0.3">
      <c r="A244" s="122">
        <v>3091</v>
      </c>
      <c r="B244" s="81" t="s">
        <v>140</v>
      </c>
      <c r="C244" s="140" t="s">
        <v>585</v>
      </c>
      <c r="D244" s="146" t="s">
        <v>167</v>
      </c>
      <c r="E244" s="81" t="s">
        <v>168</v>
      </c>
      <c r="F244" s="81" t="s">
        <v>687</v>
      </c>
      <c r="G244" s="81" t="s">
        <v>229</v>
      </c>
      <c r="H244" s="81" t="s">
        <v>3</v>
      </c>
      <c r="I244" s="109">
        <v>2016</v>
      </c>
      <c r="J244" s="131">
        <v>40.799999999999997</v>
      </c>
      <c r="K244" s="131">
        <v>72</v>
      </c>
      <c r="L244" s="54" t="s">
        <v>29</v>
      </c>
      <c r="M244" s="131">
        <v>133.5</v>
      </c>
      <c r="N244" s="111">
        <v>900000</v>
      </c>
      <c r="O244" s="111">
        <v>15000</v>
      </c>
      <c r="P244" s="142" t="s">
        <v>585</v>
      </c>
      <c r="Q244" s="142" t="s">
        <v>585</v>
      </c>
      <c r="R244" s="81" t="s">
        <v>497</v>
      </c>
      <c r="S244" s="81" t="s">
        <v>185</v>
      </c>
      <c r="T244" s="81">
        <v>2015</v>
      </c>
      <c r="U244" s="81" t="s">
        <v>199</v>
      </c>
      <c r="V244" s="100" t="s">
        <v>1414</v>
      </c>
      <c r="W244" s="100" t="s">
        <v>1415</v>
      </c>
      <c r="X244" s="140" t="s">
        <v>585</v>
      </c>
      <c r="Y244" s="81"/>
      <c r="Z244" s="81" t="s">
        <v>1493</v>
      </c>
      <c r="AA244" s="81" t="s">
        <v>1493</v>
      </c>
      <c r="AB244" s="81" t="s">
        <v>1493</v>
      </c>
      <c r="AC244" s="54" t="s">
        <v>1504</v>
      </c>
    </row>
    <row r="245" spans="1:29" ht="41.25" customHeight="1" x14ac:dyDescent="0.3">
      <c r="A245" s="122">
        <v>3101</v>
      </c>
      <c r="B245" s="81" t="s">
        <v>140</v>
      </c>
      <c r="C245" s="140" t="s">
        <v>585</v>
      </c>
      <c r="D245" s="146" t="s">
        <v>257</v>
      </c>
      <c r="E245" s="81" t="s">
        <v>413</v>
      </c>
      <c r="F245" s="81" t="s">
        <v>457</v>
      </c>
      <c r="G245" s="81" t="s">
        <v>223</v>
      </c>
      <c r="H245" s="81" t="s">
        <v>3</v>
      </c>
      <c r="I245" s="109">
        <v>2015</v>
      </c>
      <c r="J245" s="120" t="s">
        <v>20</v>
      </c>
      <c r="K245" s="120" t="s">
        <v>20</v>
      </c>
      <c r="L245" s="81" t="s">
        <v>29</v>
      </c>
      <c r="M245" s="120" t="s">
        <v>497</v>
      </c>
      <c r="N245" s="142" t="s">
        <v>585</v>
      </c>
      <c r="O245" s="142" t="s">
        <v>585</v>
      </c>
      <c r="P245" s="142" t="s">
        <v>585</v>
      </c>
      <c r="Q245" s="142" t="s">
        <v>585</v>
      </c>
      <c r="R245" s="81" t="s">
        <v>497</v>
      </c>
      <c r="S245" s="81" t="s">
        <v>184</v>
      </c>
      <c r="T245" s="81">
        <v>2016</v>
      </c>
      <c r="U245" s="81" t="s">
        <v>199</v>
      </c>
      <c r="V245" s="145" t="s">
        <v>585</v>
      </c>
      <c r="W245" s="145" t="s">
        <v>585</v>
      </c>
      <c r="X245" s="140" t="s">
        <v>585</v>
      </c>
      <c r="Y245" s="81"/>
      <c r="Z245" s="81" t="s">
        <v>1492</v>
      </c>
      <c r="AA245" s="81" t="s">
        <v>1492</v>
      </c>
      <c r="AB245" s="81" t="s">
        <v>1502</v>
      </c>
      <c r="AC245" s="81" t="s">
        <v>497</v>
      </c>
    </row>
    <row r="246" spans="1:29" ht="56.25" customHeight="1" x14ac:dyDescent="0.3">
      <c r="A246" s="122">
        <v>3161</v>
      </c>
      <c r="B246" s="81" t="s">
        <v>140</v>
      </c>
      <c r="C246" s="140" t="s">
        <v>585</v>
      </c>
      <c r="D246" s="146" t="s">
        <v>258</v>
      </c>
      <c r="E246" s="81" t="s">
        <v>266</v>
      </c>
      <c r="F246" s="81" t="s">
        <v>601</v>
      </c>
      <c r="G246" s="81" t="s">
        <v>492</v>
      </c>
      <c r="H246" s="81" t="s">
        <v>3</v>
      </c>
      <c r="I246" s="109">
        <v>2017</v>
      </c>
      <c r="J246" s="120" t="s">
        <v>20</v>
      </c>
      <c r="K246" s="120" t="s">
        <v>20</v>
      </c>
      <c r="L246" s="81" t="s">
        <v>29</v>
      </c>
      <c r="M246" s="110">
        <v>39.6</v>
      </c>
      <c r="N246" s="111">
        <v>3700000</v>
      </c>
      <c r="O246" s="111">
        <v>20000</v>
      </c>
      <c r="P246" s="111" t="s">
        <v>834</v>
      </c>
      <c r="Q246" s="111">
        <v>2580000</v>
      </c>
      <c r="R246" s="140" t="s">
        <v>497</v>
      </c>
      <c r="S246" s="81" t="s">
        <v>185</v>
      </c>
      <c r="T246" s="81">
        <v>2016</v>
      </c>
      <c r="U246" s="81" t="s">
        <v>199</v>
      </c>
      <c r="V246" s="145" t="s">
        <v>585</v>
      </c>
      <c r="W246" s="145" t="s">
        <v>585</v>
      </c>
      <c r="X246" s="140" t="s">
        <v>585</v>
      </c>
      <c r="Y246" s="81"/>
      <c r="Z246" s="81" t="s">
        <v>1492</v>
      </c>
      <c r="AA246" s="81" t="s">
        <v>1492</v>
      </c>
      <c r="AB246" s="81" t="s">
        <v>1502</v>
      </c>
      <c r="AC246" s="81" t="s">
        <v>497</v>
      </c>
    </row>
    <row r="247" spans="1:29" ht="50.25" customHeight="1" x14ac:dyDescent="0.3">
      <c r="A247" s="122">
        <v>3123</v>
      </c>
      <c r="B247" s="81" t="s">
        <v>140</v>
      </c>
      <c r="C247" s="140" t="s">
        <v>585</v>
      </c>
      <c r="D247" s="146" t="s">
        <v>259</v>
      </c>
      <c r="E247" s="81" t="s">
        <v>414</v>
      </c>
      <c r="F247" s="81" t="s">
        <v>458</v>
      </c>
      <c r="G247" s="122" t="s">
        <v>224</v>
      </c>
      <c r="H247" s="81" t="s">
        <v>3</v>
      </c>
      <c r="I247" s="109">
        <v>2015</v>
      </c>
      <c r="J247" s="131">
        <v>93.12</v>
      </c>
      <c r="K247" s="131">
        <v>13.75</v>
      </c>
      <c r="L247" s="54" t="s">
        <v>29</v>
      </c>
      <c r="M247" s="131">
        <v>35.259830204997925</v>
      </c>
      <c r="N247" s="142" t="s">
        <v>585</v>
      </c>
      <c r="O247" s="142" t="s">
        <v>585</v>
      </c>
      <c r="P247" s="142" t="s">
        <v>585</v>
      </c>
      <c r="Q247" s="142" t="s">
        <v>585</v>
      </c>
      <c r="R247" s="81" t="s">
        <v>497</v>
      </c>
      <c r="S247" s="81" t="s">
        <v>185</v>
      </c>
      <c r="T247" s="81">
        <v>2016</v>
      </c>
      <c r="U247" s="81" t="s">
        <v>199</v>
      </c>
      <c r="V247" s="100" t="s">
        <v>1416</v>
      </c>
      <c r="W247" s="100" t="s">
        <v>1417</v>
      </c>
      <c r="X247" s="140" t="s">
        <v>585</v>
      </c>
      <c r="Y247" s="81"/>
      <c r="Z247" s="81" t="s">
        <v>1493</v>
      </c>
      <c r="AA247" s="81" t="s">
        <v>1493</v>
      </c>
      <c r="AB247" s="81" t="s">
        <v>1493</v>
      </c>
      <c r="AC247" s="54" t="s">
        <v>1504</v>
      </c>
    </row>
    <row r="248" spans="1:29" ht="39.6" x14ac:dyDescent="0.3">
      <c r="A248" s="122">
        <v>3122</v>
      </c>
      <c r="B248" s="81" t="s">
        <v>140</v>
      </c>
      <c r="C248" s="140" t="s">
        <v>585</v>
      </c>
      <c r="D248" s="81" t="s">
        <v>260</v>
      </c>
      <c r="E248" s="81" t="s">
        <v>267</v>
      </c>
      <c r="F248" s="81" t="s">
        <v>496</v>
      </c>
      <c r="G248" s="81" t="s">
        <v>491</v>
      </c>
      <c r="H248" s="81" t="s">
        <v>28</v>
      </c>
      <c r="I248" s="109">
        <v>2019</v>
      </c>
      <c r="J248" s="120" t="s">
        <v>20</v>
      </c>
      <c r="K248" s="120" t="s">
        <v>20</v>
      </c>
      <c r="L248" s="81" t="s">
        <v>29</v>
      </c>
      <c r="M248" s="110" t="s">
        <v>20</v>
      </c>
      <c r="N248" s="111">
        <v>17000</v>
      </c>
      <c r="O248" s="142" t="s">
        <v>585</v>
      </c>
      <c r="P248" s="142" t="s">
        <v>585</v>
      </c>
      <c r="Q248" s="142" t="s">
        <v>585</v>
      </c>
      <c r="R248" s="81" t="s">
        <v>497</v>
      </c>
      <c r="S248" s="81" t="s">
        <v>185</v>
      </c>
      <c r="T248" s="81">
        <v>2016</v>
      </c>
      <c r="U248" s="81" t="s">
        <v>199</v>
      </c>
      <c r="V248" s="145" t="s">
        <v>585</v>
      </c>
      <c r="W248" s="145" t="s">
        <v>585</v>
      </c>
      <c r="X248" s="81">
        <v>2017</v>
      </c>
      <c r="Y248" s="81"/>
      <c r="Z248" s="140" t="s">
        <v>1492</v>
      </c>
      <c r="AA248" s="81" t="s">
        <v>1493</v>
      </c>
      <c r="AB248" s="81" t="s">
        <v>1502</v>
      </c>
      <c r="AC248" s="10" t="s">
        <v>497</v>
      </c>
    </row>
    <row r="249" spans="1:29" ht="39.6" x14ac:dyDescent="0.3">
      <c r="A249" s="122">
        <v>3121</v>
      </c>
      <c r="B249" s="81" t="s">
        <v>140</v>
      </c>
      <c r="C249" s="140" t="s">
        <v>585</v>
      </c>
      <c r="D249" s="146" t="s">
        <v>261</v>
      </c>
      <c r="E249" s="81" t="s">
        <v>268</v>
      </c>
      <c r="F249" s="81" t="s">
        <v>459</v>
      </c>
      <c r="G249" s="81" t="s">
        <v>229</v>
      </c>
      <c r="H249" s="81" t="s">
        <v>388</v>
      </c>
      <c r="I249" s="141" t="s">
        <v>20</v>
      </c>
      <c r="J249" s="120" t="s">
        <v>20</v>
      </c>
      <c r="K249" s="120" t="s">
        <v>20</v>
      </c>
      <c r="L249" s="81" t="s">
        <v>29</v>
      </c>
      <c r="M249" s="110" t="s">
        <v>20</v>
      </c>
      <c r="N249" s="111">
        <v>335000</v>
      </c>
      <c r="O249" s="142" t="s">
        <v>585</v>
      </c>
      <c r="P249" s="142" t="s">
        <v>585</v>
      </c>
      <c r="Q249" s="142" t="s">
        <v>585</v>
      </c>
      <c r="R249" s="81" t="s">
        <v>497</v>
      </c>
      <c r="S249" s="81" t="s">
        <v>185</v>
      </c>
      <c r="T249" s="81">
        <v>2016</v>
      </c>
      <c r="U249" s="81" t="s">
        <v>199</v>
      </c>
      <c r="V249" s="145" t="s">
        <v>585</v>
      </c>
      <c r="W249" s="145" t="s">
        <v>585</v>
      </c>
      <c r="X249" s="140" t="s">
        <v>20</v>
      </c>
      <c r="Y249" s="81"/>
      <c r="Z249" s="140" t="s">
        <v>1492</v>
      </c>
      <c r="AA249" s="81" t="s">
        <v>1493</v>
      </c>
      <c r="AB249" s="81" t="s">
        <v>1502</v>
      </c>
      <c r="AC249" s="10" t="s">
        <v>497</v>
      </c>
    </row>
    <row r="250" spans="1:29" ht="90.75" customHeight="1" x14ac:dyDescent="0.3">
      <c r="A250" s="122">
        <v>3120</v>
      </c>
      <c r="B250" s="81" t="s">
        <v>140</v>
      </c>
      <c r="C250" s="140" t="s">
        <v>585</v>
      </c>
      <c r="D250" s="146" t="s">
        <v>262</v>
      </c>
      <c r="E250" s="81" t="s">
        <v>269</v>
      </c>
      <c r="F250" s="81" t="s">
        <v>460</v>
      </c>
      <c r="G250" s="81" t="s">
        <v>225</v>
      </c>
      <c r="H250" s="81" t="s">
        <v>3</v>
      </c>
      <c r="I250" s="109">
        <v>2017</v>
      </c>
      <c r="J250" s="132" t="s">
        <v>20</v>
      </c>
      <c r="K250" s="132">
        <v>0.98</v>
      </c>
      <c r="L250" s="54" t="s">
        <v>29</v>
      </c>
      <c r="M250" s="131">
        <v>5.6879289296432489</v>
      </c>
      <c r="N250" s="111">
        <v>5000</v>
      </c>
      <c r="O250" s="111">
        <v>600</v>
      </c>
      <c r="P250" s="142" t="s">
        <v>585</v>
      </c>
      <c r="Q250" s="142" t="s">
        <v>585</v>
      </c>
      <c r="R250" s="81" t="s">
        <v>497</v>
      </c>
      <c r="S250" s="81" t="s">
        <v>185</v>
      </c>
      <c r="T250" s="81">
        <v>2016</v>
      </c>
      <c r="U250" s="81" t="s">
        <v>199</v>
      </c>
      <c r="V250" s="100" t="s">
        <v>1418</v>
      </c>
      <c r="W250" s="100" t="s">
        <v>1419</v>
      </c>
      <c r="X250" s="81">
        <v>2017</v>
      </c>
      <c r="Y250" s="81"/>
      <c r="Z250" s="81" t="s">
        <v>1493</v>
      </c>
      <c r="AA250" s="81" t="s">
        <v>1493</v>
      </c>
      <c r="AB250" s="81" t="s">
        <v>1493</v>
      </c>
      <c r="AC250" s="54" t="s">
        <v>1504</v>
      </c>
    </row>
    <row r="251" spans="1:29" ht="51" customHeight="1" x14ac:dyDescent="0.3">
      <c r="A251" s="122">
        <v>3119</v>
      </c>
      <c r="B251" s="81" t="s">
        <v>140</v>
      </c>
      <c r="C251" s="140" t="s">
        <v>585</v>
      </c>
      <c r="D251" s="146" t="s">
        <v>263</v>
      </c>
      <c r="E251" s="81" t="s">
        <v>270</v>
      </c>
      <c r="F251" s="81" t="s">
        <v>460</v>
      </c>
      <c r="G251" s="81" t="s">
        <v>225</v>
      </c>
      <c r="H251" s="81" t="s">
        <v>3</v>
      </c>
      <c r="I251" s="109">
        <v>2017</v>
      </c>
      <c r="J251" s="132">
        <v>12.600000000000001</v>
      </c>
      <c r="K251" s="132">
        <v>3.39</v>
      </c>
      <c r="L251" s="54" t="s">
        <v>29</v>
      </c>
      <c r="M251" s="131">
        <v>6.9616296387169498</v>
      </c>
      <c r="N251" s="111">
        <v>10000</v>
      </c>
      <c r="O251" s="111">
        <v>600</v>
      </c>
      <c r="P251" s="142" t="s">
        <v>585</v>
      </c>
      <c r="Q251" s="142" t="s">
        <v>585</v>
      </c>
      <c r="R251" s="81" t="s">
        <v>497</v>
      </c>
      <c r="S251" s="81" t="s">
        <v>185</v>
      </c>
      <c r="T251" s="81">
        <v>2016</v>
      </c>
      <c r="U251" s="81" t="s">
        <v>199</v>
      </c>
      <c r="V251" s="100" t="s">
        <v>1420</v>
      </c>
      <c r="W251" s="100" t="s">
        <v>1421</v>
      </c>
      <c r="X251" s="81">
        <v>2018</v>
      </c>
      <c r="Y251" s="81"/>
      <c r="Z251" s="81" t="s">
        <v>1493</v>
      </c>
      <c r="AA251" s="81" t="s">
        <v>1493</v>
      </c>
      <c r="AB251" s="81" t="s">
        <v>1493</v>
      </c>
      <c r="AC251" s="54" t="s">
        <v>1504</v>
      </c>
    </row>
    <row r="252" spans="1:29" ht="52.5" customHeight="1" x14ac:dyDescent="0.3">
      <c r="A252" s="122">
        <v>3118</v>
      </c>
      <c r="B252" s="81" t="s">
        <v>140</v>
      </c>
      <c r="C252" s="140" t="s">
        <v>585</v>
      </c>
      <c r="D252" s="146" t="s">
        <v>264</v>
      </c>
      <c r="E252" s="81" t="s">
        <v>271</v>
      </c>
      <c r="F252" s="81" t="s">
        <v>461</v>
      </c>
      <c r="G252" s="81" t="s">
        <v>225</v>
      </c>
      <c r="H252" s="81" t="s">
        <v>3</v>
      </c>
      <c r="I252" s="109">
        <v>2017</v>
      </c>
      <c r="J252" s="132" t="s">
        <v>20</v>
      </c>
      <c r="K252" s="132" t="s">
        <v>20</v>
      </c>
      <c r="L252" s="54" t="s">
        <v>29</v>
      </c>
      <c r="M252" s="131">
        <v>1.2199594036496</v>
      </c>
      <c r="N252" s="111">
        <v>20300</v>
      </c>
      <c r="O252" s="111">
        <v>1000</v>
      </c>
      <c r="P252" s="142" t="s">
        <v>585</v>
      </c>
      <c r="Q252" s="142" t="s">
        <v>585</v>
      </c>
      <c r="R252" s="81" t="s">
        <v>497</v>
      </c>
      <c r="S252" s="81" t="s">
        <v>185</v>
      </c>
      <c r="T252" s="81">
        <v>2016</v>
      </c>
      <c r="U252" s="81" t="s">
        <v>199</v>
      </c>
      <c r="V252" s="100" t="s">
        <v>1422</v>
      </c>
      <c r="W252" s="100" t="s">
        <v>1423</v>
      </c>
      <c r="X252" s="81">
        <v>2018</v>
      </c>
      <c r="Y252" s="81"/>
      <c r="Z252" s="81" t="s">
        <v>1493</v>
      </c>
      <c r="AA252" s="81" t="s">
        <v>1493</v>
      </c>
      <c r="AB252" s="81" t="s">
        <v>1493</v>
      </c>
      <c r="AC252" s="54" t="s">
        <v>1504</v>
      </c>
    </row>
    <row r="253" spans="1:29" ht="48.75" customHeight="1" x14ac:dyDescent="0.3">
      <c r="A253" s="122">
        <v>3108</v>
      </c>
      <c r="B253" s="81" t="s">
        <v>140</v>
      </c>
      <c r="C253" s="140" t="s">
        <v>585</v>
      </c>
      <c r="D253" s="146" t="s">
        <v>265</v>
      </c>
      <c r="E253" s="81" t="s">
        <v>272</v>
      </c>
      <c r="F253" s="81" t="s">
        <v>462</v>
      </c>
      <c r="G253" s="81" t="s">
        <v>228</v>
      </c>
      <c r="H253" s="81" t="s">
        <v>388</v>
      </c>
      <c r="I253" s="141" t="s">
        <v>20</v>
      </c>
      <c r="J253" s="120" t="s">
        <v>20</v>
      </c>
      <c r="K253" s="120" t="s">
        <v>20</v>
      </c>
      <c r="L253" s="81" t="s">
        <v>29</v>
      </c>
      <c r="M253" s="110" t="s">
        <v>20</v>
      </c>
      <c r="N253" s="142" t="s">
        <v>20</v>
      </c>
      <c r="O253" s="142" t="s">
        <v>20</v>
      </c>
      <c r="P253" s="142" t="s">
        <v>20</v>
      </c>
      <c r="Q253" s="142" t="s">
        <v>20</v>
      </c>
      <c r="R253" s="81" t="s">
        <v>497</v>
      </c>
      <c r="S253" s="81" t="s">
        <v>185</v>
      </c>
      <c r="T253" s="81">
        <v>2016</v>
      </c>
      <c r="U253" s="81" t="s">
        <v>199</v>
      </c>
      <c r="V253" s="145" t="s">
        <v>20</v>
      </c>
      <c r="W253" s="145" t="s">
        <v>20</v>
      </c>
      <c r="X253" s="143" t="s">
        <v>20</v>
      </c>
      <c r="Y253" s="81"/>
      <c r="Z253" s="140" t="s">
        <v>1492</v>
      </c>
      <c r="AA253" s="81" t="s">
        <v>1493</v>
      </c>
      <c r="AB253" s="81" t="s">
        <v>1502</v>
      </c>
      <c r="AC253" s="10" t="s">
        <v>497</v>
      </c>
    </row>
    <row r="254" spans="1:29" ht="43.5" customHeight="1" x14ac:dyDescent="0.3">
      <c r="A254" s="122">
        <v>3116</v>
      </c>
      <c r="B254" s="81" t="s">
        <v>140</v>
      </c>
      <c r="C254" s="140" t="s">
        <v>585</v>
      </c>
      <c r="D254" s="146" t="s">
        <v>307</v>
      </c>
      <c r="E254" s="81" t="s">
        <v>415</v>
      </c>
      <c r="F254" s="81" t="s">
        <v>458</v>
      </c>
      <c r="G254" s="122" t="s">
        <v>224</v>
      </c>
      <c r="H254" s="81" t="s">
        <v>3</v>
      </c>
      <c r="I254" s="109">
        <v>2015</v>
      </c>
      <c r="J254" s="132" t="s">
        <v>20</v>
      </c>
      <c r="K254" s="132">
        <v>1.6</v>
      </c>
      <c r="L254" s="54" t="s">
        <v>29</v>
      </c>
      <c r="M254" s="131">
        <v>1.9</v>
      </c>
      <c r="N254" s="142" t="s">
        <v>585</v>
      </c>
      <c r="O254" s="142" t="s">
        <v>585</v>
      </c>
      <c r="P254" s="142" t="s">
        <v>585</v>
      </c>
      <c r="Q254" s="142" t="s">
        <v>585</v>
      </c>
      <c r="R254" s="81" t="s">
        <v>497</v>
      </c>
      <c r="S254" s="81" t="s">
        <v>185</v>
      </c>
      <c r="T254" s="81">
        <v>2016</v>
      </c>
      <c r="U254" s="81" t="s">
        <v>199</v>
      </c>
      <c r="V254" s="100" t="s">
        <v>1424</v>
      </c>
      <c r="W254" s="100" t="s">
        <v>1425</v>
      </c>
      <c r="X254" s="140" t="s">
        <v>585</v>
      </c>
      <c r="Y254" s="81"/>
      <c r="Z254" s="81" t="s">
        <v>1493</v>
      </c>
      <c r="AA254" s="81" t="s">
        <v>1493</v>
      </c>
      <c r="AB254" s="81" t="s">
        <v>1493</v>
      </c>
      <c r="AC254" s="54" t="s">
        <v>1504</v>
      </c>
    </row>
    <row r="255" spans="1:29" ht="44.25" customHeight="1" x14ac:dyDescent="0.3">
      <c r="A255" s="122">
        <v>4462</v>
      </c>
      <c r="B255" s="81" t="s">
        <v>140</v>
      </c>
      <c r="C255" s="140" t="s">
        <v>585</v>
      </c>
      <c r="D255" s="146" t="s">
        <v>688</v>
      </c>
      <c r="E255" s="81" t="s">
        <v>689</v>
      </c>
      <c r="F255" s="81" t="s">
        <v>690</v>
      </c>
      <c r="G255" s="81" t="s">
        <v>691</v>
      </c>
      <c r="H255" s="81" t="s">
        <v>3</v>
      </c>
      <c r="I255" s="109">
        <v>2018</v>
      </c>
      <c r="J255" s="131">
        <v>63.31</v>
      </c>
      <c r="K255" s="131">
        <v>10.62</v>
      </c>
      <c r="L255" s="54" t="s">
        <v>29</v>
      </c>
      <c r="M255" s="131">
        <v>9.6</v>
      </c>
      <c r="N255" s="111">
        <v>5000</v>
      </c>
      <c r="O255" s="142" t="s">
        <v>585</v>
      </c>
      <c r="P255" s="142" t="s">
        <v>585</v>
      </c>
      <c r="Q255" s="142" t="s">
        <v>585</v>
      </c>
      <c r="R255" s="81" t="s">
        <v>497</v>
      </c>
      <c r="S255" s="81" t="s">
        <v>185</v>
      </c>
      <c r="T255" s="81">
        <v>2018</v>
      </c>
      <c r="U255" s="81" t="s">
        <v>199</v>
      </c>
      <c r="V255" s="100" t="s">
        <v>1426</v>
      </c>
      <c r="W255" s="100" t="s">
        <v>1427</v>
      </c>
      <c r="X255" s="140" t="s">
        <v>585</v>
      </c>
      <c r="Y255" s="81"/>
      <c r="Z255" s="81" t="s">
        <v>1493</v>
      </c>
      <c r="AA255" s="81" t="s">
        <v>1493</v>
      </c>
      <c r="AB255" s="81" t="s">
        <v>1493</v>
      </c>
      <c r="AC255" s="54" t="s">
        <v>1504</v>
      </c>
    </row>
    <row r="256" spans="1:29" ht="25.5" customHeight="1" x14ac:dyDescent="0.3">
      <c r="A256" s="81">
        <v>5367</v>
      </c>
      <c r="B256" s="81" t="s">
        <v>140</v>
      </c>
      <c r="C256" s="140" t="s">
        <v>585</v>
      </c>
      <c r="D256" s="146" t="s">
        <v>835</v>
      </c>
      <c r="E256" s="81" t="s">
        <v>836</v>
      </c>
      <c r="F256" s="81" t="s">
        <v>897</v>
      </c>
      <c r="G256" s="81" t="s">
        <v>565</v>
      </c>
      <c r="H256" s="81" t="s">
        <v>388</v>
      </c>
      <c r="I256" s="141" t="s">
        <v>20</v>
      </c>
      <c r="J256" s="110" t="s">
        <v>20</v>
      </c>
      <c r="K256" s="110" t="s">
        <v>20</v>
      </c>
      <c r="L256" s="81" t="s">
        <v>29</v>
      </c>
      <c r="M256" s="110" t="s">
        <v>20</v>
      </c>
      <c r="N256" s="142" t="s">
        <v>585</v>
      </c>
      <c r="O256" s="142" t="s">
        <v>585</v>
      </c>
      <c r="P256" s="142" t="s">
        <v>585</v>
      </c>
      <c r="Q256" s="142" t="s">
        <v>585</v>
      </c>
      <c r="R256" s="81" t="s">
        <v>497</v>
      </c>
      <c r="S256" s="81" t="s">
        <v>185</v>
      </c>
      <c r="T256" s="81">
        <v>2019</v>
      </c>
      <c r="U256" s="81" t="s">
        <v>199</v>
      </c>
      <c r="V256" s="145" t="s">
        <v>585</v>
      </c>
      <c r="W256" s="145" t="s">
        <v>585</v>
      </c>
      <c r="X256" s="140" t="s">
        <v>585</v>
      </c>
      <c r="Y256" s="81"/>
      <c r="Z256" s="81" t="s">
        <v>1492</v>
      </c>
      <c r="AA256" s="81" t="s">
        <v>1492</v>
      </c>
      <c r="AB256" s="81" t="s">
        <v>1502</v>
      </c>
      <c r="AC256" s="10" t="s">
        <v>497</v>
      </c>
    </row>
    <row r="257" spans="1:29" ht="25.5" customHeight="1" x14ac:dyDescent="0.3">
      <c r="A257" s="81">
        <v>5368</v>
      </c>
      <c r="B257" s="81" t="s">
        <v>140</v>
      </c>
      <c r="C257" s="140" t="s">
        <v>585</v>
      </c>
      <c r="D257" s="146" t="s">
        <v>837</v>
      </c>
      <c r="E257" s="81" t="s">
        <v>838</v>
      </c>
      <c r="F257" s="81" t="s">
        <v>897</v>
      </c>
      <c r="G257" s="81" t="s">
        <v>565</v>
      </c>
      <c r="H257" s="81" t="s">
        <v>388</v>
      </c>
      <c r="I257" s="141" t="s">
        <v>20</v>
      </c>
      <c r="J257" s="110" t="s">
        <v>20</v>
      </c>
      <c r="K257" s="110" t="s">
        <v>20</v>
      </c>
      <c r="L257" s="81" t="s">
        <v>29</v>
      </c>
      <c r="M257" s="110" t="s">
        <v>20</v>
      </c>
      <c r="N257" s="142" t="s">
        <v>585</v>
      </c>
      <c r="O257" s="142" t="s">
        <v>585</v>
      </c>
      <c r="P257" s="142" t="s">
        <v>585</v>
      </c>
      <c r="Q257" s="142" t="s">
        <v>585</v>
      </c>
      <c r="R257" s="81" t="s">
        <v>497</v>
      </c>
      <c r="S257" s="81" t="s">
        <v>185</v>
      </c>
      <c r="T257" s="81">
        <v>2019</v>
      </c>
      <c r="U257" s="81" t="s">
        <v>199</v>
      </c>
      <c r="V257" s="145" t="s">
        <v>585</v>
      </c>
      <c r="W257" s="145" t="s">
        <v>585</v>
      </c>
      <c r="X257" s="140" t="s">
        <v>585</v>
      </c>
      <c r="Y257" s="81"/>
      <c r="Z257" s="81" t="s">
        <v>1492</v>
      </c>
      <c r="AA257" s="81" t="s">
        <v>1492</v>
      </c>
      <c r="AB257" s="81" t="s">
        <v>1502</v>
      </c>
      <c r="AC257" s="10" t="s">
        <v>497</v>
      </c>
    </row>
    <row r="258" spans="1:29" s="17" customFormat="1" ht="64.5" customHeight="1" x14ac:dyDescent="0.3">
      <c r="A258" s="81">
        <v>5369</v>
      </c>
      <c r="B258" s="81" t="s">
        <v>140</v>
      </c>
      <c r="C258" s="140" t="s">
        <v>585</v>
      </c>
      <c r="D258" s="146" t="s">
        <v>839</v>
      </c>
      <c r="E258" s="81" t="s">
        <v>840</v>
      </c>
      <c r="F258" s="81" t="s">
        <v>898</v>
      </c>
      <c r="G258" s="81" t="s">
        <v>492</v>
      </c>
      <c r="H258" s="81" t="s">
        <v>388</v>
      </c>
      <c r="I258" s="141" t="s">
        <v>20</v>
      </c>
      <c r="J258" s="110" t="s">
        <v>20</v>
      </c>
      <c r="K258" s="110" t="s">
        <v>20</v>
      </c>
      <c r="L258" s="81" t="s">
        <v>29</v>
      </c>
      <c r="M258" s="110" t="s">
        <v>20</v>
      </c>
      <c r="N258" s="142" t="s">
        <v>585</v>
      </c>
      <c r="O258" s="142" t="s">
        <v>585</v>
      </c>
      <c r="P258" s="142" t="s">
        <v>585</v>
      </c>
      <c r="Q258" s="142" t="s">
        <v>585</v>
      </c>
      <c r="R258" s="81" t="s">
        <v>497</v>
      </c>
      <c r="S258" s="81" t="s">
        <v>185</v>
      </c>
      <c r="T258" s="81">
        <v>2019</v>
      </c>
      <c r="U258" s="81" t="s">
        <v>199</v>
      </c>
      <c r="V258" s="145" t="s">
        <v>585</v>
      </c>
      <c r="W258" s="145" t="s">
        <v>585</v>
      </c>
      <c r="X258" s="140" t="s">
        <v>585</v>
      </c>
      <c r="Y258" s="81"/>
      <c r="Z258" s="81" t="s">
        <v>1492</v>
      </c>
      <c r="AA258" s="81" t="s">
        <v>1492</v>
      </c>
      <c r="AB258" s="81" t="s">
        <v>1502</v>
      </c>
      <c r="AC258" s="10" t="s">
        <v>497</v>
      </c>
    </row>
    <row r="259" spans="1:29" s="17" customFormat="1" ht="51" customHeight="1" x14ac:dyDescent="0.3">
      <c r="A259" s="81">
        <v>2782</v>
      </c>
      <c r="B259" s="81" t="s">
        <v>176</v>
      </c>
      <c r="C259" s="140" t="s">
        <v>585</v>
      </c>
      <c r="D259" s="146" t="s">
        <v>367</v>
      </c>
      <c r="E259" s="81" t="s">
        <v>420</v>
      </c>
      <c r="F259" s="140" t="s">
        <v>586</v>
      </c>
      <c r="G259" s="81" t="s">
        <v>683</v>
      </c>
      <c r="H259" s="81" t="s">
        <v>3</v>
      </c>
      <c r="I259" s="109">
        <v>2001</v>
      </c>
      <c r="J259" s="132">
        <v>297</v>
      </c>
      <c r="K259" s="132">
        <v>51.7</v>
      </c>
      <c r="L259" s="54" t="s">
        <v>29</v>
      </c>
      <c r="M259" s="131">
        <v>29.2</v>
      </c>
      <c r="N259" s="142" t="s">
        <v>585</v>
      </c>
      <c r="O259" s="142" t="s">
        <v>585</v>
      </c>
      <c r="P259" s="142" t="s">
        <v>585</v>
      </c>
      <c r="Q259" s="142" t="s">
        <v>585</v>
      </c>
      <c r="R259" s="81" t="s">
        <v>497</v>
      </c>
      <c r="S259" s="81" t="s">
        <v>185</v>
      </c>
      <c r="T259" s="81">
        <v>2013</v>
      </c>
      <c r="U259" s="81" t="s">
        <v>199</v>
      </c>
      <c r="V259" s="100" t="s">
        <v>1428</v>
      </c>
      <c r="W259" s="100" t="s">
        <v>1429</v>
      </c>
      <c r="X259" s="140" t="s">
        <v>585</v>
      </c>
      <c r="Y259" s="81"/>
      <c r="Z259" s="81" t="s">
        <v>1493</v>
      </c>
      <c r="AA259" s="81" t="s">
        <v>1493</v>
      </c>
      <c r="AB259" s="81" t="s">
        <v>1493</v>
      </c>
      <c r="AC259" s="54" t="s">
        <v>1504</v>
      </c>
    </row>
    <row r="260" spans="1:29" s="17" customFormat="1" ht="78" customHeight="1" x14ac:dyDescent="0.3">
      <c r="A260" s="81">
        <v>2781</v>
      </c>
      <c r="B260" s="81" t="s">
        <v>176</v>
      </c>
      <c r="C260" s="140" t="s">
        <v>585</v>
      </c>
      <c r="D260" s="146" t="s">
        <v>368</v>
      </c>
      <c r="E260" s="122" t="s">
        <v>177</v>
      </c>
      <c r="F260" s="140" t="s">
        <v>586</v>
      </c>
      <c r="G260" s="122" t="s">
        <v>224</v>
      </c>
      <c r="H260" s="81" t="s">
        <v>3</v>
      </c>
      <c r="I260" s="109">
        <v>2001</v>
      </c>
      <c r="J260" s="132">
        <v>35</v>
      </c>
      <c r="K260" s="132">
        <v>6.1</v>
      </c>
      <c r="L260" s="54" t="s">
        <v>29</v>
      </c>
      <c r="M260" s="131">
        <v>3.5</v>
      </c>
      <c r="N260" s="142" t="s">
        <v>585</v>
      </c>
      <c r="O260" s="142" t="s">
        <v>585</v>
      </c>
      <c r="P260" s="142" t="s">
        <v>585</v>
      </c>
      <c r="Q260" s="142" t="s">
        <v>585</v>
      </c>
      <c r="R260" s="81" t="s">
        <v>497</v>
      </c>
      <c r="S260" s="81" t="s">
        <v>185</v>
      </c>
      <c r="T260" s="81">
        <v>2013</v>
      </c>
      <c r="U260" s="81" t="s">
        <v>199</v>
      </c>
      <c r="V260" s="100" t="s">
        <v>1428</v>
      </c>
      <c r="W260" s="100" t="s">
        <v>1429</v>
      </c>
      <c r="X260" s="140" t="s">
        <v>585</v>
      </c>
      <c r="Y260" s="81"/>
      <c r="Z260" s="81" t="s">
        <v>1493</v>
      </c>
      <c r="AA260" s="81" t="s">
        <v>1493</v>
      </c>
      <c r="AB260" s="81" t="s">
        <v>1493</v>
      </c>
      <c r="AC260" s="54" t="s">
        <v>1504</v>
      </c>
    </row>
    <row r="261" spans="1:29" s="19" customFormat="1" ht="60" customHeight="1" x14ac:dyDescent="0.3">
      <c r="A261" s="81">
        <v>2780</v>
      </c>
      <c r="B261" s="81" t="s">
        <v>176</v>
      </c>
      <c r="C261" s="140" t="s">
        <v>585</v>
      </c>
      <c r="D261" s="146" t="s">
        <v>369</v>
      </c>
      <c r="E261" s="81" t="s">
        <v>1</v>
      </c>
      <c r="F261" s="81" t="s">
        <v>795</v>
      </c>
      <c r="G261" s="81" t="s">
        <v>1</v>
      </c>
      <c r="H261" s="81" t="s">
        <v>1517</v>
      </c>
      <c r="I261" s="141" t="s">
        <v>497</v>
      </c>
      <c r="J261" s="132">
        <v>18</v>
      </c>
      <c r="K261" s="132">
        <v>3.2</v>
      </c>
      <c r="L261" s="54" t="s">
        <v>29</v>
      </c>
      <c r="M261" s="131" t="s">
        <v>497</v>
      </c>
      <c r="N261" s="142" t="s">
        <v>585</v>
      </c>
      <c r="O261" s="142" t="s">
        <v>585</v>
      </c>
      <c r="P261" s="142" t="s">
        <v>585</v>
      </c>
      <c r="Q261" s="142" t="s">
        <v>585</v>
      </c>
      <c r="R261" s="81" t="s">
        <v>497</v>
      </c>
      <c r="S261" s="81" t="s">
        <v>184</v>
      </c>
      <c r="T261" s="81">
        <v>2013</v>
      </c>
      <c r="U261" s="81" t="s">
        <v>199</v>
      </c>
      <c r="V261" s="145" t="s">
        <v>497</v>
      </c>
      <c r="W261" s="145" t="s">
        <v>497</v>
      </c>
      <c r="X261" s="140" t="s">
        <v>585</v>
      </c>
      <c r="Y261" s="81"/>
      <c r="Z261" s="81" t="s">
        <v>1492</v>
      </c>
      <c r="AA261" s="81" t="s">
        <v>1492</v>
      </c>
      <c r="AB261" s="81" t="s">
        <v>1500</v>
      </c>
      <c r="AC261" s="54" t="s">
        <v>1501</v>
      </c>
    </row>
    <row r="262" spans="1:29" s="19" customFormat="1" ht="41.25" customHeight="1" x14ac:dyDescent="0.3">
      <c r="A262" s="81">
        <v>3068</v>
      </c>
      <c r="B262" s="81" t="s">
        <v>176</v>
      </c>
      <c r="C262" s="81" t="s">
        <v>379</v>
      </c>
      <c r="D262" s="146" t="s">
        <v>513</v>
      </c>
      <c r="E262" s="81" t="s">
        <v>796</v>
      </c>
      <c r="F262" s="81" t="s">
        <v>797</v>
      </c>
      <c r="G262" s="81" t="s">
        <v>229</v>
      </c>
      <c r="H262" s="81" t="s">
        <v>3</v>
      </c>
      <c r="I262" s="109">
        <v>2016</v>
      </c>
      <c r="J262" s="120" t="s">
        <v>20</v>
      </c>
      <c r="K262" s="120" t="s">
        <v>20</v>
      </c>
      <c r="L262" s="81" t="s">
        <v>30</v>
      </c>
      <c r="M262" s="110">
        <v>1.93</v>
      </c>
      <c r="N262" s="111">
        <v>173000</v>
      </c>
      <c r="O262" s="111">
        <v>500</v>
      </c>
      <c r="P262" s="111" t="s">
        <v>379</v>
      </c>
      <c r="Q262" s="111" t="s">
        <v>826</v>
      </c>
      <c r="R262" s="81" t="s">
        <v>514</v>
      </c>
      <c r="S262" s="81" t="s">
        <v>185</v>
      </c>
      <c r="T262" s="81">
        <v>2017</v>
      </c>
      <c r="U262" s="81" t="s">
        <v>199</v>
      </c>
      <c r="V262" s="100" t="s">
        <v>1485</v>
      </c>
      <c r="W262" s="100" t="s">
        <v>1486</v>
      </c>
      <c r="X262" s="140" t="s">
        <v>585</v>
      </c>
      <c r="Y262" s="81"/>
      <c r="Z262" s="140" t="s">
        <v>1492</v>
      </c>
      <c r="AA262" s="81" t="s">
        <v>1493</v>
      </c>
      <c r="AB262" s="81" t="s">
        <v>1502</v>
      </c>
      <c r="AC262" s="81" t="s">
        <v>497</v>
      </c>
    </row>
    <row r="263" spans="1:29" s="19" customFormat="1" ht="47.25" customHeight="1" x14ac:dyDescent="0.3">
      <c r="A263" s="81">
        <v>3124</v>
      </c>
      <c r="B263" s="81" t="s">
        <v>51</v>
      </c>
      <c r="C263" s="81" t="s">
        <v>0</v>
      </c>
      <c r="D263" s="81" t="s">
        <v>340</v>
      </c>
      <c r="E263" s="81" t="s">
        <v>52</v>
      </c>
      <c r="F263" s="81" t="s">
        <v>463</v>
      </c>
      <c r="G263" s="81" t="s">
        <v>229</v>
      </c>
      <c r="H263" s="81" t="s">
        <v>3</v>
      </c>
      <c r="I263" s="109">
        <v>2010</v>
      </c>
      <c r="J263" s="132">
        <v>1019</v>
      </c>
      <c r="K263" s="132">
        <v>411.8</v>
      </c>
      <c r="L263" s="54" t="s">
        <v>30</v>
      </c>
      <c r="M263" s="131">
        <v>432.2</v>
      </c>
      <c r="N263" s="111">
        <v>2151510</v>
      </c>
      <c r="O263" s="111">
        <v>4797</v>
      </c>
      <c r="P263" s="111" t="s">
        <v>556</v>
      </c>
      <c r="Q263" s="111" t="s">
        <v>632</v>
      </c>
      <c r="R263" s="81" t="s">
        <v>497</v>
      </c>
      <c r="S263" s="81" t="s">
        <v>185</v>
      </c>
      <c r="T263" s="81">
        <v>2013</v>
      </c>
      <c r="U263" s="81" t="s">
        <v>199</v>
      </c>
      <c r="V263" s="100" t="s">
        <v>1430</v>
      </c>
      <c r="W263" s="100" t="s">
        <v>1431</v>
      </c>
      <c r="X263" s="81">
        <v>2010</v>
      </c>
      <c r="Y263" s="81"/>
      <c r="Z263" s="81" t="s">
        <v>1493</v>
      </c>
      <c r="AA263" s="81" t="s">
        <v>1493</v>
      </c>
      <c r="AB263" s="81" t="s">
        <v>1493</v>
      </c>
      <c r="AC263" s="54" t="s">
        <v>1504</v>
      </c>
    </row>
    <row r="264" spans="1:29" s="19" customFormat="1" ht="51.75" customHeight="1" x14ac:dyDescent="0.3">
      <c r="A264" s="81">
        <v>3114</v>
      </c>
      <c r="B264" s="81" t="s">
        <v>51</v>
      </c>
      <c r="C264" s="81" t="s">
        <v>602</v>
      </c>
      <c r="D264" s="81" t="s">
        <v>341</v>
      </c>
      <c r="E264" s="81" t="s">
        <v>53</v>
      </c>
      <c r="F264" s="81" t="s">
        <v>464</v>
      </c>
      <c r="G264" s="81" t="s">
        <v>465</v>
      </c>
      <c r="H264" s="81" t="s">
        <v>3</v>
      </c>
      <c r="I264" s="109">
        <v>2010</v>
      </c>
      <c r="J264" s="133">
        <v>360</v>
      </c>
      <c r="K264" s="133">
        <v>159.6</v>
      </c>
      <c r="L264" s="54" t="s">
        <v>30</v>
      </c>
      <c r="M264" s="134">
        <v>339.8</v>
      </c>
      <c r="N264" s="111">
        <v>3521489</v>
      </c>
      <c r="O264" s="126">
        <v>15620</v>
      </c>
      <c r="P264" s="111" t="s">
        <v>603</v>
      </c>
      <c r="Q264" s="111" t="s">
        <v>824</v>
      </c>
      <c r="R264" s="81" t="s">
        <v>497</v>
      </c>
      <c r="S264" s="81" t="s">
        <v>185</v>
      </c>
      <c r="T264" s="81">
        <v>2013</v>
      </c>
      <c r="U264" s="81" t="s">
        <v>199</v>
      </c>
      <c r="V264" s="100" t="s">
        <v>1432</v>
      </c>
      <c r="W264" s="100" t="s">
        <v>1433</v>
      </c>
      <c r="X264" s="81">
        <v>2002</v>
      </c>
      <c r="Y264" s="81"/>
      <c r="Z264" s="81" t="s">
        <v>1493</v>
      </c>
      <c r="AA264" s="81" t="s">
        <v>1493</v>
      </c>
      <c r="AB264" s="81" t="s">
        <v>1493</v>
      </c>
      <c r="AC264" s="107" t="s">
        <v>1503</v>
      </c>
    </row>
    <row r="265" spans="1:29" s="17" customFormat="1" ht="50.25" customHeight="1" x14ac:dyDescent="0.3">
      <c r="A265" s="81">
        <v>3113</v>
      </c>
      <c r="B265" s="81" t="s">
        <v>51</v>
      </c>
      <c r="C265" s="81" t="s">
        <v>555</v>
      </c>
      <c r="D265" s="81" t="s">
        <v>342</v>
      </c>
      <c r="E265" s="81" t="s">
        <v>54</v>
      </c>
      <c r="F265" s="81" t="s">
        <v>466</v>
      </c>
      <c r="G265" s="81" t="s">
        <v>229</v>
      </c>
      <c r="H265" s="81" t="s">
        <v>3</v>
      </c>
      <c r="I265" s="109">
        <v>2016</v>
      </c>
      <c r="J265" s="132">
        <v>771</v>
      </c>
      <c r="K265" s="132">
        <v>312</v>
      </c>
      <c r="L265" s="54" t="s">
        <v>30</v>
      </c>
      <c r="M265" s="131">
        <v>105.074653</v>
      </c>
      <c r="N265" s="111">
        <v>1810000</v>
      </c>
      <c r="O265" s="111">
        <v>15000</v>
      </c>
      <c r="P265" s="111" t="s">
        <v>557</v>
      </c>
      <c r="Q265" s="111" t="s">
        <v>633</v>
      </c>
      <c r="R265" s="128" t="s">
        <v>187</v>
      </c>
      <c r="S265" s="81" t="s">
        <v>185</v>
      </c>
      <c r="T265" s="81">
        <v>2013</v>
      </c>
      <c r="U265" s="81" t="s">
        <v>199</v>
      </c>
      <c r="V265" s="100" t="s">
        <v>1434</v>
      </c>
      <c r="W265" s="100" t="s">
        <v>1435</v>
      </c>
      <c r="X265" s="81">
        <v>2015</v>
      </c>
      <c r="Y265" s="81"/>
      <c r="Z265" s="81" t="s">
        <v>1493</v>
      </c>
      <c r="AA265" s="81" t="s">
        <v>1493</v>
      </c>
      <c r="AB265" s="81" t="s">
        <v>1493</v>
      </c>
      <c r="AC265" s="54" t="s">
        <v>1504</v>
      </c>
    </row>
    <row r="266" spans="1:29" s="17" customFormat="1" ht="60.75" customHeight="1" x14ac:dyDescent="0.3">
      <c r="A266" s="81">
        <v>3112</v>
      </c>
      <c r="B266" s="81" t="s">
        <v>51</v>
      </c>
      <c r="C266" s="81" t="s">
        <v>555</v>
      </c>
      <c r="D266" s="81" t="s">
        <v>343</v>
      </c>
      <c r="E266" s="81" t="s">
        <v>55</v>
      </c>
      <c r="F266" s="81" t="s">
        <v>467</v>
      </c>
      <c r="G266" s="81" t="s">
        <v>229</v>
      </c>
      <c r="H266" s="81" t="s">
        <v>3</v>
      </c>
      <c r="I266" s="109">
        <v>2014</v>
      </c>
      <c r="J266" s="132">
        <v>317</v>
      </c>
      <c r="K266" s="132">
        <v>1155.9000000000001</v>
      </c>
      <c r="L266" s="54" t="s">
        <v>30</v>
      </c>
      <c r="M266" s="131">
        <v>882.1</v>
      </c>
      <c r="N266" s="111">
        <v>2024000</v>
      </c>
      <c r="O266" s="111">
        <v>8000</v>
      </c>
      <c r="P266" s="111" t="s">
        <v>558</v>
      </c>
      <c r="Q266" s="111" t="s">
        <v>634</v>
      </c>
      <c r="R266" s="129" t="s">
        <v>188</v>
      </c>
      <c r="S266" s="81" t="s">
        <v>185</v>
      </c>
      <c r="T266" s="81">
        <v>2013</v>
      </c>
      <c r="U266" s="81" t="s">
        <v>199</v>
      </c>
      <c r="V266" s="100" t="s">
        <v>1436</v>
      </c>
      <c r="W266" s="100" t="s">
        <v>1437</v>
      </c>
      <c r="X266" s="81">
        <v>2012</v>
      </c>
      <c r="Y266" s="81"/>
      <c r="Z266" s="81" t="s">
        <v>1493</v>
      </c>
      <c r="AA266" s="81" t="s">
        <v>1493</v>
      </c>
      <c r="AB266" s="81" t="s">
        <v>1493</v>
      </c>
      <c r="AC266" s="54" t="s">
        <v>1504</v>
      </c>
    </row>
    <row r="267" spans="1:29" s="17" customFormat="1" ht="48.75" customHeight="1" x14ac:dyDescent="0.3">
      <c r="A267" s="81">
        <v>3111</v>
      </c>
      <c r="B267" s="81" t="s">
        <v>51</v>
      </c>
      <c r="C267" s="81" t="s">
        <v>555</v>
      </c>
      <c r="D267" s="81" t="s">
        <v>344</v>
      </c>
      <c r="E267" s="81" t="s">
        <v>55</v>
      </c>
      <c r="F267" s="81" t="s">
        <v>468</v>
      </c>
      <c r="G267" s="81" t="s">
        <v>628</v>
      </c>
      <c r="H267" s="81" t="s">
        <v>3</v>
      </c>
      <c r="I267" s="109">
        <v>2011</v>
      </c>
      <c r="J267" s="132">
        <v>1510</v>
      </c>
      <c r="K267" s="132">
        <v>215.9</v>
      </c>
      <c r="L267" s="54" t="s">
        <v>30</v>
      </c>
      <c r="M267" s="131">
        <v>882.1</v>
      </c>
      <c r="N267" s="111">
        <v>167343</v>
      </c>
      <c r="O267" s="111">
        <v>8000</v>
      </c>
      <c r="P267" s="111" t="s">
        <v>604</v>
      </c>
      <c r="Q267" s="111" t="s">
        <v>635</v>
      </c>
      <c r="R267" s="129" t="s">
        <v>188</v>
      </c>
      <c r="S267" s="81" t="s">
        <v>185</v>
      </c>
      <c r="T267" s="81">
        <v>2013</v>
      </c>
      <c r="U267" s="81" t="s">
        <v>199</v>
      </c>
      <c r="V267" s="100" t="s">
        <v>1436</v>
      </c>
      <c r="W267" s="100" t="s">
        <v>1437</v>
      </c>
      <c r="X267" s="81">
        <v>2011</v>
      </c>
      <c r="Y267" s="81"/>
      <c r="Z267" s="81" t="s">
        <v>1493</v>
      </c>
      <c r="AA267" s="81" t="s">
        <v>1493</v>
      </c>
      <c r="AB267" s="81" t="s">
        <v>1493</v>
      </c>
      <c r="AC267" s="54" t="s">
        <v>1504</v>
      </c>
    </row>
    <row r="268" spans="1:29" s="17" customFormat="1" ht="47.25" customHeight="1" x14ac:dyDescent="0.3">
      <c r="A268" s="81">
        <v>3110</v>
      </c>
      <c r="B268" s="81" t="s">
        <v>51</v>
      </c>
      <c r="C268" s="81" t="s">
        <v>605</v>
      </c>
      <c r="D268" s="81" t="s">
        <v>345</v>
      </c>
      <c r="E268" s="81" t="s">
        <v>56</v>
      </c>
      <c r="F268" s="81" t="s">
        <v>469</v>
      </c>
      <c r="G268" s="81" t="s">
        <v>629</v>
      </c>
      <c r="H268" s="81" t="s">
        <v>3</v>
      </c>
      <c r="I268" s="109">
        <v>2007</v>
      </c>
      <c r="J268" s="132">
        <v>1153</v>
      </c>
      <c r="K268" s="132">
        <v>377.9</v>
      </c>
      <c r="L268" s="54" t="s">
        <v>30</v>
      </c>
      <c r="M268" s="131">
        <v>110.6</v>
      </c>
      <c r="N268" s="111">
        <v>2727394</v>
      </c>
      <c r="O268" s="111">
        <v>15000</v>
      </c>
      <c r="P268" s="111" t="s">
        <v>793</v>
      </c>
      <c r="Q268" s="111" t="s">
        <v>636</v>
      </c>
      <c r="R268" s="129" t="s">
        <v>189</v>
      </c>
      <c r="S268" s="81" t="s">
        <v>185</v>
      </c>
      <c r="T268" s="81">
        <v>2013</v>
      </c>
      <c r="U268" s="81" t="s">
        <v>199</v>
      </c>
      <c r="V268" s="100" t="s">
        <v>1438</v>
      </c>
      <c r="W268" s="100" t="s">
        <v>1439</v>
      </c>
      <c r="X268" s="81">
        <v>2006</v>
      </c>
      <c r="Y268" s="81"/>
      <c r="Z268" s="81" t="s">
        <v>1493</v>
      </c>
      <c r="AA268" s="81" t="s">
        <v>1493</v>
      </c>
      <c r="AB268" s="81" t="s">
        <v>1493</v>
      </c>
      <c r="AC268" s="54" t="s">
        <v>1504</v>
      </c>
    </row>
    <row r="269" spans="1:29" s="17" customFormat="1" ht="36.75" customHeight="1" x14ac:dyDescent="0.3">
      <c r="A269" s="81">
        <v>3109</v>
      </c>
      <c r="B269" s="81" t="s">
        <v>51</v>
      </c>
      <c r="C269" s="140" t="s">
        <v>497</v>
      </c>
      <c r="D269" s="146" t="s">
        <v>346</v>
      </c>
      <c r="E269" s="81" t="s">
        <v>1</v>
      </c>
      <c r="F269" s="81" t="s">
        <v>597</v>
      </c>
      <c r="G269" s="81" t="s">
        <v>1</v>
      </c>
      <c r="H269" s="81" t="s">
        <v>1517</v>
      </c>
      <c r="I269" s="141" t="s">
        <v>497</v>
      </c>
      <c r="J269" s="132">
        <v>1522</v>
      </c>
      <c r="K269" s="132">
        <v>292</v>
      </c>
      <c r="L269" s="54" t="s">
        <v>30</v>
      </c>
      <c r="M269" s="131" t="s">
        <v>497</v>
      </c>
      <c r="N269" s="142" t="s">
        <v>497</v>
      </c>
      <c r="O269" s="111">
        <v>5000</v>
      </c>
      <c r="P269" s="111" t="s">
        <v>552</v>
      </c>
      <c r="Q269" s="142" t="s">
        <v>497</v>
      </c>
      <c r="R269" s="81" t="s">
        <v>497</v>
      </c>
      <c r="S269" s="81" t="s">
        <v>184</v>
      </c>
      <c r="T269" s="81">
        <v>2013</v>
      </c>
      <c r="U269" s="81" t="s">
        <v>199</v>
      </c>
      <c r="V269" s="145" t="s">
        <v>497</v>
      </c>
      <c r="W269" s="145" t="s">
        <v>497</v>
      </c>
      <c r="X269" s="81">
        <v>2013</v>
      </c>
      <c r="Y269" s="81"/>
      <c r="Z269" s="81" t="s">
        <v>1492</v>
      </c>
      <c r="AA269" s="81" t="s">
        <v>1492</v>
      </c>
      <c r="AB269" s="81" t="s">
        <v>1500</v>
      </c>
      <c r="AC269" s="54" t="s">
        <v>1501</v>
      </c>
    </row>
    <row r="270" spans="1:29" s="17" customFormat="1" ht="25.5" customHeight="1" x14ac:dyDescent="0.3">
      <c r="A270" s="81">
        <v>3132</v>
      </c>
      <c r="B270" s="81" t="s">
        <v>51</v>
      </c>
      <c r="C270" s="140" t="s">
        <v>497</v>
      </c>
      <c r="D270" s="146" t="s">
        <v>347</v>
      </c>
      <c r="E270" s="81" t="s">
        <v>4</v>
      </c>
      <c r="F270" s="81" t="s">
        <v>758</v>
      </c>
      <c r="G270" s="81" t="s">
        <v>4</v>
      </c>
      <c r="H270" s="81" t="s">
        <v>1517</v>
      </c>
      <c r="I270" s="141" t="s">
        <v>497</v>
      </c>
      <c r="J270" s="132">
        <v>1130</v>
      </c>
      <c r="K270" s="132">
        <v>724</v>
      </c>
      <c r="L270" s="54" t="s">
        <v>30</v>
      </c>
      <c r="M270" s="131" t="s">
        <v>497</v>
      </c>
      <c r="N270" s="111">
        <v>188120</v>
      </c>
      <c r="O270" s="111">
        <v>63106</v>
      </c>
      <c r="P270" s="111" t="s">
        <v>552</v>
      </c>
      <c r="Q270" s="142" t="s">
        <v>585</v>
      </c>
      <c r="R270" s="81" t="s">
        <v>497</v>
      </c>
      <c r="S270" s="81" t="s">
        <v>184</v>
      </c>
      <c r="T270" s="81">
        <v>2013</v>
      </c>
      <c r="U270" s="81" t="s">
        <v>199</v>
      </c>
      <c r="V270" s="145" t="s">
        <v>497</v>
      </c>
      <c r="W270" s="145" t="s">
        <v>497</v>
      </c>
      <c r="X270" s="81">
        <v>2013</v>
      </c>
      <c r="Y270" s="81"/>
      <c r="Z270" s="81" t="s">
        <v>1492</v>
      </c>
      <c r="AA270" s="81" t="s">
        <v>1492</v>
      </c>
      <c r="AB270" s="81" t="s">
        <v>1498</v>
      </c>
      <c r="AC270" s="54" t="s">
        <v>1499</v>
      </c>
    </row>
    <row r="271" spans="1:29" s="17" customFormat="1" ht="25.5" customHeight="1" x14ac:dyDescent="0.3">
      <c r="A271" s="81">
        <v>3134</v>
      </c>
      <c r="B271" s="81" t="s">
        <v>51</v>
      </c>
      <c r="C271" s="140" t="s">
        <v>497</v>
      </c>
      <c r="D271" s="146" t="s">
        <v>348</v>
      </c>
      <c r="E271" s="81" t="s">
        <v>1</v>
      </c>
      <c r="F271" s="81" t="s">
        <v>444</v>
      </c>
      <c r="G271" s="81" t="s">
        <v>1</v>
      </c>
      <c r="H271" s="81" t="s">
        <v>1517</v>
      </c>
      <c r="I271" s="141" t="s">
        <v>497</v>
      </c>
      <c r="J271" s="132">
        <v>56</v>
      </c>
      <c r="K271" s="132">
        <v>5.8</v>
      </c>
      <c r="L271" s="54" t="s">
        <v>29</v>
      </c>
      <c r="M271" s="131" t="s">
        <v>497</v>
      </c>
      <c r="N271" s="142" t="s">
        <v>497</v>
      </c>
      <c r="O271" s="111">
        <v>5000</v>
      </c>
      <c r="P271" s="111" t="s">
        <v>552</v>
      </c>
      <c r="Q271" s="142" t="s">
        <v>497</v>
      </c>
      <c r="R271" s="81" t="s">
        <v>497</v>
      </c>
      <c r="S271" s="81" t="s">
        <v>184</v>
      </c>
      <c r="T271" s="81">
        <v>2013</v>
      </c>
      <c r="U271" s="81" t="s">
        <v>199</v>
      </c>
      <c r="V271" s="145" t="s">
        <v>497</v>
      </c>
      <c r="W271" s="145" t="s">
        <v>497</v>
      </c>
      <c r="X271" s="81">
        <v>2013</v>
      </c>
      <c r="Y271" s="81"/>
      <c r="Z271" s="81" t="s">
        <v>1492</v>
      </c>
      <c r="AA271" s="81" t="s">
        <v>1492</v>
      </c>
      <c r="AB271" s="81" t="s">
        <v>1500</v>
      </c>
      <c r="AC271" s="54" t="s">
        <v>1501</v>
      </c>
    </row>
    <row r="272" spans="1:29" s="20" customFormat="1" ht="51.75" customHeight="1" x14ac:dyDescent="0.3">
      <c r="A272" s="81">
        <v>3117</v>
      </c>
      <c r="B272" s="81" t="s">
        <v>51</v>
      </c>
      <c r="C272" s="140" t="s">
        <v>497</v>
      </c>
      <c r="D272" s="146" t="s">
        <v>178</v>
      </c>
      <c r="E272" s="81" t="s">
        <v>4</v>
      </c>
      <c r="F272" s="81" t="s">
        <v>759</v>
      </c>
      <c r="G272" s="81" t="s">
        <v>4</v>
      </c>
      <c r="H272" s="81" t="s">
        <v>1517</v>
      </c>
      <c r="I272" s="141" t="s">
        <v>497</v>
      </c>
      <c r="J272" s="132">
        <v>116</v>
      </c>
      <c r="K272" s="132">
        <v>74</v>
      </c>
      <c r="L272" s="54" t="s">
        <v>29</v>
      </c>
      <c r="M272" s="131" t="s">
        <v>497</v>
      </c>
      <c r="N272" s="111">
        <v>188120</v>
      </c>
      <c r="O272" s="111">
        <v>63106</v>
      </c>
      <c r="P272" s="111" t="s">
        <v>552</v>
      </c>
      <c r="Q272" s="142" t="s">
        <v>585</v>
      </c>
      <c r="R272" s="81" t="s">
        <v>497</v>
      </c>
      <c r="S272" s="81" t="s">
        <v>184</v>
      </c>
      <c r="T272" s="81">
        <v>2013</v>
      </c>
      <c r="U272" s="81" t="s">
        <v>199</v>
      </c>
      <c r="V272" s="145" t="s">
        <v>497</v>
      </c>
      <c r="W272" s="145" t="s">
        <v>497</v>
      </c>
      <c r="X272" s="81">
        <v>2013</v>
      </c>
      <c r="Y272" s="81"/>
      <c r="Z272" s="81" t="s">
        <v>1492</v>
      </c>
      <c r="AA272" s="81" t="s">
        <v>1492</v>
      </c>
      <c r="AB272" s="81" t="s">
        <v>1498</v>
      </c>
      <c r="AC272" s="54" t="s">
        <v>1499</v>
      </c>
    </row>
    <row r="273" spans="1:29" s="17" customFormat="1" ht="45.75" customHeight="1" x14ac:dyDescent="0.3">
      <c r="A273" s="81">
        <v>3140</v>
      </c>
      <c r="B273" s="81" t="s">
        <v>51</v>
      </c>
      <c r="C273" s="140" t="s">
        <v>497</v>
      </c>
      <c r="D273" s="146" t="s">
        <v>234</v>
      </c>
      <c r="E273" s="81" t="s">
        <v>244</v>
      </c>
      <c r="F273" s="81" t="s">
        <v>470</v>
      </c>
      <c r="G273" s="81" t="s">
        <v>630</v>
      </c>
      <c r="H273" s="81" t="s">
        <v>3</v>
      </c>
      <c r="I273" s="109">
        <v>2015</v>
      </c>
      <c r="J273" s="131">
        <v>719.41</v>
      </c>
      <c r="K273" s="131">
        <v>87.08</v>
      </c>
      <c r="L273" s="54" t="s">
        <v>30</v>
      </c>
      <c r="M273" s="131">
        <v>624</v>
      </c>
      <c r="N273" s="126">
        <v>52536</v>
      </c>
      <c r="O273" s="126">
        <v>43720</v>
      </c>
      <c r="P273" s="111" t="s">
        <v>552</v>
      </c>
      <c r="Q273" s="126" t="s">
        <v>825</v>
      </c>
      <c r="R273" s="81" t="s">
        <v>497</v>
      </c>
      <c r="S273" s="81" t="s">
        <v>185</v>
      </c>
      <c r="T273" s="81">
        <v>2016</v>
      </c>
      <c r="U273" s="81" t="s">
        <v>199</v>
      </c>
      <c r="V273" s="100" t="s">
        <v>1440</v>
      </c>
      <c r="W273" s="100" t="s">
        <v>1441</v>
      </c>
      <c r="X273" s="81">
        <v>2015</v>
      </c>
      <c r="Y273" s="81"/>
      <c r="Z273" s="81" t="s">
        <v>1493</v>
      </c>
      <c r="AA273" s="81" t="s">
        <v>1493</v>
      </c>
      <c r="AB273" s="81" t="s">
        <v>1493</v>
      </c>
      <c r="AC273" s="54" t="s">
        <v>1504</v>
      </c>
    </row>
    <row r="274" spans="1:29" s="17" customFormat="1" ht="67.5" customHeight="1" x14ac:dyDescent="0.3">
      <c r="A274" s="81">
        <v>3139</v>
      </c>
      <c r="B274" s="81" t="s">
        <v>51</v>
      </c>
      <c r="C274" s="81" t="s">
        <v>379</v>
      </c>
      <c r="D274" s="81" t="s">
        <v>235</v>
      </c>
      <c r="E274" s="81" t="s">
        <v>245</v>
      </c>
      <c r="F274" s="81" t="s">
        <v>471</v>
      </c>
      <c r="G274" s="81" t="s">
        <v>491</v>
      </c>
      <c r="H274" s="81" t="s">
        <v>3</v>
      </c>
      <c r="I274" s="109">
        <v>2016</v>
      </c>
      <c r="J274" s="131">
        <v>189.4</v>
      </c>
      <c r="K274" s="131">
        <v>90.1</v>
      </c>
      <c r="L274" s="54" t="s">
        <v>30</v>
      </c>
      <c r="M274" s="131">
        <v>413.6</v>
      </c>
      <c r="N274" s="126">
        <v>50000</v>
      </c>
      <c r="O274" s="126">
        <v>2000</v>
      </c>
      <c r="P274" s="111" t="s">
        <v>604</v>
      </c>
      <c r="Q274" s="111" t="s">
        <v>637</v>
      </c>
      <c r="R274" s="81" t="s">
        <v>248</v>
      </c>
      <c r="S274" s="81" t="s">
        <v>185</v>
      </c>
      <c r="T274" s="81">
        <v>2016</v>
      </c>
      <c r="U274" s="81" t="s">
        <v>199</v>
      </c>
      <c r="V274" s="100" t="s">
        <v>1440</v>
      </c>
      <c r="W274" s="100" t="s">
        <v>1441</v>
      </c>
      <c r="X274" s="81">
        <v>2016</v>
      </c>
      <c r="Y274" s="81"/>
      <c r="Z274" s="81" t="s">
        <v>1493</v>
      </c>
      <c r="AA274" s="81" t="s">
        <v>1493</v>
      </c>
      <c r="AB274" s="81" t="s">
        <v>1493</v>
      </c>
      <c r="AC274" s="54" t="s">
        <v>1504</v>
      </c>
    </row>
    <row r="275" spans="1:29" s="17" customFormat="1" ht="25.5" customHeight="1" x14ac:dyDescent="0.3">
      <c r="A275" s="81">
        <v>3138</v>
      </c>
      <c r="B275" s="81" t="s">
        <v>51</v>
      </c>
      <c r="C275" s="81" t="s">
        <v>379</v>
      </c>
      <c r="D275" s="81" t="s">
        <v>236</v>
      </c>
      <c r="E275" s="81" t="s">
        <v>246</v>
      </c>
      <c r="F275" s="81" t="s">
        <v>471</v>
      </c>
      <c r="G275" s="81" t="s">
        <v>491</v>
      </c>
      <c r="H275" s="81" t="s">
        <v>3</v>
      </c>
      <c r="I275" s="109">
        <v>2016</v>
      </c>
      <c r="J275" s="131">
        <v>79.099999999999994</v>
      </c>
      <c r="K275" s="131">
        <v>18.8</v>
      </c>
      <c r="L275" s="54" t="s">
        <v>30</v>
      </c>
      <c r="M275" s="131">
        <v>123.1</v>
      </c>
      <c r="N275" s="126">
        <v>50000</v>
      </c>
      <c r="O275" s="126">
        <v>2000</v>
      </c>
      <c r="P275" s="111" t="s">
        <v>604</v>
      </c>
      <c r="Q275" s="111" t="s">
        <v>637</v>
      </c>
      <c r="R275" s="81" t="s">
        <v>248</v>
      </c>
      <c r="S275" s="81" t="s">
        <v>185</v>
      </c>
      <c r="T275" s="81">
        <v>2016</v>
      </c>
      <c r="U275" s="81" t="s">
        <v>199</v>
      </c>
      <c r="V275" s="100" t="s">
        <v>1442</v>
      </c>
      <c r="W275" s="100" t="s">
        <v>1443</v>
      </c>
      <c r="X275" s="81">
        <v>2016</v>
      </c>
      <c r="Y275" s="81"/>
      <c r="Z275" s="81" t="s">
        <v>1493</v>
      </c>
      <c r="AA275" s="81" t="s">
        <v>1493</v>
      </c>
      <c r="AB275" s="81" t="s">
        <v>1493</v>
      </c>
      <c r="AC275" s="54" t="s">
        <v>1504</v>
      </c>
    </row>
    <row r="276" spans="1:29" s="17" customFormat="1" ht="41.25" customHeight="1" x14ac:dyDescent="0.3">
      <c r="A276" s="81">
        <v>3137</v>
      </c>
      <c r="B276" s="81" t="s">
        <v>51</v>
      </c>
      <c r="C276" s="81" t="s">
        <v>379</v>
      </c>
      <c r="D276" s="81" t="s">
        <v>237</v>
      </c>
      <c r="E276" s="81" t="s">
        <v>416</v>
      </c>
      <c r="F276" s="122" t="s">
        <v>606</v>
      </c>
      <c r="G276" s="100" t="s">
        <v>732</v>
      </c>
      <c r="H276" s="81" t="s">
        <v>3</v>
      </c>
      <c r="I276" s="109">
        <v>2018</v>
      </c>
      <c r="J276" s="131">
        <v>876</v>
      </c>
      <c r="K276" s="131">
        <v>136</v>
      </c>
      <c r="L276" s="54" t="s">
        <v>30</v>
      </c>
      <c r="M276" s="131">
        <v>295.95999999999998</v>
      </c>
      <c r="N276" s="130">
        <v>393363</v>
      </c>
      <c r="O276" s="130">
        <v>4000</v>
      </c>
      <c r="P276" s="111" t="s">
        <v>604</v>
      </c>
      <c r="Q276" s="111" t="s">
        <v>638</v>
      </c>
      <c r="R276" s="81" t="s">
        <v>249</v>
      </c>
      <c r="S276" s="81" t="s">
        <v>185</v>
      </c>
      <c r="T276" s="81">
        <v>2016</v>
      </c>
      <c r="U276" s="81" t="s">
        <v>199</v>
      </c>
      <c r="V276" s="100" t="s">
        <v>1444</v>
      </c>
      <c r="W276" s="100" t="s">
        <v>1445</v>
      </c>
      <c r="X276" s="81">
        <v>2017</v>
      </c>
      <c r="Y276" s="81"/>
      <c r="Z276" s="81" t="s">
        <v>1493</v>
      </c>
      <c r="AA276" s="81" t="s">
        <v>1493</v>
      </c>
      <c r="AB276" s="81" t="s">
        <v>1493</v>
      </c>
      <c r="AC276" s="54" t="s">
        <v>1504</v>
      </c>
    </row>
    <row r="277" spans="1:29" ht="39.6" x14ac:dyDescent="0.3">
      <c r="A277" s="81">
        <v>3136</v>
      </c>
      <c r="B277" s="81" t="s">
        <v>51</v>
      </c>
      <c r="C277" s="81" t="s">
        <v>379</v>
      </c>
      <c r="D277" s="81" t="s">
        <v>238</v>
      </c>
      <c r="E277" s="81" t="s">
        <v>417</v>
      </c>
      <c r="F277" s="122" t="s">
        <v>606</v>
      </c>
      <c r="G277" s="100" t="s">
        <v>732</v>
      </c>
      <c r="H277" s="81" t="s">
        <v>3</v>
      </c>
      <c r="I277" s="109">
        <v>2018</v>
      </c>
      <c r="J277" s="131">
        <v>686</v>
      </c>
      <c r="K277" s="131">
        <v>102</v>
      </c>
      <c r="L277" s="54" t="s">
        <v>30</v>
      </c>
      <c r="M277" s="131">
        <v>300.07</v>
      </c>
      <c r="N277" s="130">
        <v>570517.72</v>
      </c>
      <c r="O277" s="130">
        <v>4000</v>
      </c>
      <c r="P277" s="111" t="s">
        <v>604</v>
      </c>
      <c r="Q277" s="111" t="s">
        <v>639</v>
      </c>
      <c r="R277" s="81" t="s">
        <v>249</v>
      </c>
      <c r="S277" s="81" t="s">
        <v>185</v>
      </c>
      <c r="T277" s="81">
        <v>2016</v>
      </c>
      <c r="U277" s="81" t="s">
        <v>199</v>
      </c>
      <c r="V277" s="100" t="s">
        <v>1446</v>
      </c>
      <c r="W277" s="100" t="s">
        <v>1447</v>
      </c>
      <c r="X277" s="81">
        <v>2017</v>
      </c>
      <c r="Y277" s="81"/>
      <c r="Z277" s="81" t="s">
        <v>1493</v>
      </c>
      <c r="AA277" s="81" t="s">
        <v>1493</v>
      </c>
      <c r="AB277" s="81" t="s">
        <v>1493</v>
      </c>
      <c r="AC277" s="54" t="s">
        <v>1504</v>
      </c>
    </row>
    <row r="278" spans="1:29" ht="39.6" x14ac:dyDescent="0.3">
      <c r="A278" s="81">
        <v>3135</v>
      </c>
      <c r="B278" s="81" t="s">
        <v>51</v>
      </c>
      <c r="C278" s="140" t="s">
        <v>497</v>
      </c>
      <c r="D278" s="146" t="s">
        <v>239</v>
      </c>
      <c r="E278" s="81" t="s">
        <v>247</v>
      </c>
      <c r="F278" s="122" t="s">
        <v>606</v>
      </c>
      <c r="G278" s="100" t="s">
        <v>732</v>
      </c>
      <c r="H278" s="81" t="s">
        <v>3</v>
      </c>
      <c r="I278" s="109">
        <v>2018</v>
      </c>
      <c r="J278" s="131">
        <v>173</v>
      </c>
      <c r="K278" s="131">
        <v>27</v>
      </c>
      <c r="L278" s="54" t="s">
        <v>30</v>
      </c>
      <c r="M278" s="131">
        <v>37.9</v>
      </c>
      <c r="N278" s="111">
        <v>225000</v>
      </c>
      <c r="O278" s="130">
        <v>4000</v>
      </c>
      <c r="P278" s="111" t="s">
        <v>559</v>
      </c>
      <c r="Q278" s="111" t="s">
        <v>640</v>
      </c>
      <c r="R278" s="81" t="s">
        <v>377</v>
      </c>
      <c r="S278" s="81" t="s">
        <v>185</v>
      </c>
      <c r="T278" s="81">
        <v>2016</v>
      </c>
      <c r="U278" s="81" t="s">
        <v>199</v>
      </c>
      <c r="V278" s="100" t="s">
        <v>1448</v>
      </c>
      <c r="W278" s="100" t="s">
        <v>1449</v>
      </c>
      <c r="X278" s="81">
        <v>2017</v>
      </c>
      <c r="Y278" s="81"/>
      <c r="Z278" s="81" t="s">
        <v>1493</v>
      </c>
      <c r="AA278" s="81" t="s">
        <v>1493</v>
      </c>
      <c r="AB278" s="81" t="s">
        <v>1493</v>
      </c>
      <c r="AC278" s="54" t="s">
        <v>1504</v>
      </c>
    </row>
    <row r="279" spans="1:29" ht="39.6" x14ac:dyDescent="0.3">
      <c r="A279" s="81">
        <v>3125</v>
      </c>
      <c r="B279" s="81" t="s">
        <v>51</v>
      </c>
      <c r="C279" s="81" t="s">
        <v>0</v>
      </c>
      <c r="D279" s="146" t="s">
        <v>240</v>
      </c>
      <c r="E279" s="81" t="s">
        <v>287</v>
      </c>
      <c r="F279" s="81" t="s">
        <v>631</v>
      </c>
      <c r="G279" s="81" t="s">
        <v>630</v>
      </c>
      <c r="H279" s="81" t="s">
        <v>3</v>
      </c>
      <c r="I279" s="109">
        <v>2019</v>
      </c>
      <c r="J279" s="131" t="s">
        <v>20</v>
      </c>
      <c r="K279" s="131" t="s">
        <v>20</v>
      </c>
      <c r="L279" s="54" t="s">
        <v>30</v>
      </c>
      <c r="M279" s="131">
        <v>107</v>
      </c>
      <c r="N279" s="111">
        <v>11437.5</v>
      </c>
      <c r="O279" s="111">
        <v>12000</v>
      </c>
      <c r="P279" s="111" t="s">
        <v>547</v>
      </c>
      <c r="Q279" s="111" t="s">
        <v>760</v>
      </c>
      <c r="R279" s="81" t="s">
        <v>497</v>
      </c>
      <c r="S279" s="81" t="s">
        <v>185</v>
      </c>
      <c r="T279" s="81">
        <v>2019</v>
      </c>
      <c r="U279" s="81" t="s">
        <v>199</v>
      </c>
      <c r="V279" s="100" t="s">
        <v>1227</v>
      </c>
      <c r="W279" s="100" t="s">
        <v>1228</v>
      </c>
      <c r="X279" s="140" t="s">
        <v>20</v>
      </c>
      <c r="Y279" s="81"/>
      <c r="Z279" s="81" t="s">
        <v>1493</v>
      </c>
      <c r="AA279" s="81" t="s">
        <v>1493</v>
      </c>
      <c r="AB279" s="81" t="s">
        <v>1493</v>
      </c>
      <c r="AC279" s="54" t="s">
        <v>1504</v>
      </c>
    </row>
    <row r="280" spans="1:29" ht="39.6" x14ac:dyDescent="0.3">
      <c r="A280" s="81">
        <v>3133</v>
      </c>
      <c r="B280" s="81" t="s">
        <v>51</v>
      </c>
      <c r="C280" s="81" t="s">
        <v>554</v>
      </c>
      <c r="D280" s="81" t="s">
        <v>241</v>
      </c>
      <c r="E280" s="81" t="s">
        <v>288</v>
      </c>
      <c r="F280" s="81" t="s">
        <v>608</v>
      </c>
      <c r="G280" s="100" t="s">
        <v>732</v>
      </c>
      <c r="H280" s="81" t="s">
        <v>3</v>
      </c>
      <c r="I280" s="109">
        <v>2019</v>
      </c>
      <c r="J280" s="131" t="s">
        <v>20</v>
      </c>
      <c r="K280" s="131" t="s">
        <v>20</v>
      </c>
      <c r="L280" s="54" t="s">
        <v>30</v>
      </c>
      <c r="M280" s="131">
        <v>235</v>
      </c>
      <c r="N280" s="111">
        <v>450000</v>
      </c>
      <c r="O280" s="111">
        <v>12000</v>
      </c>
      <c r="P280" s="111" t="s">
        <v>799</v>
      </c>
      <c r="Q280" s="111" t="s">
        <v>641</v>
      </c>
      <c r="R280" s="81" t="s">
        <v>497</v>
      </c>
      <c r="S280" s="81" t="s">
        <v>185</v>
      </c>
      <c r="T280" s="81">
        <v>2016</v>
      </c>
      <c r="U280" s="81" t="s">
        <v>199</v>
      </c>
      <c r="V280" s="100" t="s">
        <v>1450</v>
      </c>
      <c r="W280" s="100" t="s">
        <v>1451</v>
      </c>
      <c r="X280" s="81">
        <v>2018</v>
      </c>
      <c r="Y280" s="81"/>
      <c r="Z280" s="81" t="s">
        <v>1493</v>
      </c>
      <c r="AA280" s="81" t="s">
        <v>1493</v>
      </c>
      <c r="AB280" s="81" t="s">
        <v>1493</v>
      </c>
      <c r="AC280" s="54" t="s">
        <v>1504</v>
      </c>
    </row>
    <row r="281" spans="1:29" ht="52.8" x14ac:dyDescent="0.3">
      <c r="A281" s="81">
        <v>3142</v>
      </c>
      <c r="B281" s="81" t="s">
        <v>51</v>
      </c>
      <c r="C281" s="81" t="s">
        <v>0</v>
      </c>
      <c r="D281" s="81" t="s">
        <v>242</v>
      </c>
      <c r="E281" s="81" t="s">
        <v>418</v>
      </c>
      <c r="F281" s="122" t="s">
        <v>606</v>
      </c>
      <c r="G281" s="100" t="s">
        <v>732</v>
      </c>
      <c r="H281" s="81" t="s">
        <v>3</v>
      </c>
      <c r="I281" s="109">
        <v>2019</v>
      </c>
      <c r="J281" s="131" t="s">
        <v>20</v>
      </c>
      <c r="K281" s="131" t="s">
        <v>20</v>
      </c>
      <c r="L281" s="54" t="s">
        <v>30</v>
      </c>
      <c r="M281" s="131">
        <v>314</v>
      </c>
      <c r="N281" s="111">
        <v>375000</v>
      </c>
      <c r="O281" s="111">
        <v>4000</v>
      </c>
      <c r="P281" s="111" t="s">
        <v>611</v>
      </c>
      <c r="Q281" s="111" t="s">
        <v>642</v>
      </c>
      <c r="R281" s="81" t="s">
        <v>497</v>
      </c>
      <c r="S281" s="81" t="s">
        <v>185</v>
      </c>
      <c r="T281" s="81">
        <v>2016</v>
      </c>
      <c r="U281" s="81" t="s">
        <v>199</v>
      </c>
      <c r="V281" s="100" t="s">
        <v>1452</v>
      </c>
      <c r="W281" s="100" t="s">
        <v>1453</v>
      </c>
      <c r="X281" s="81">
        <v>2018</v>
      </c>
      <c r="Y281" s="81"/>
      <c r="Z281" s="81" t="s">
        <v>1493</v>
      </c>
      <c r="AA281" s="81" t="s">
        <v>1493</v>
      </c>
      <c r="AB281" s="81" t="s">
        <v>1493</v>
      </c>
      <c r="AC281" s="54" t="s">
        <v>1504</v>
      </c>
    </row>
    <row r="282" spans="1:29" ht="52.8" x14ac:dyDescent="0.3">
      <c r="A282" s="81">
        <v>3131</v>
      </c>
      <c r="B282" s="81" t="s">
        <v>51</v>
      </c>
      <c r="C282" s="81" t="s">
        <v>0</v>
      </c>
      <c r="D282" s="81" t="s">
        <v>243</v>
      </c>
      <c r="E282" s="81" t="s">
        <v>289</v>
      </c>
      <c r="F282" s="122" t="s">
        <v>606</v>
      </c>
      <c r="G282" s="100" t="s">
        <v>732</v>
      </c>
      <c r="H282" s="81" t="s">
        <v>3</v>
      </c>
      <c r="I282" s="109">
        <v>2019</v>
      </c>
      <c r="J282" s="131" t="s">
        <v>20</v>
      </c>
      <c r="K282" s="131" t="s">
        <v>20</v>
      </c>
      <c r="L282" s="54" t="s">
        <v>30</v>
      </c>
      <c r="M282" s="131">
        <v>488</v>
      </c>
      <c r="N282" s="111">
        <v>375000</v>
      </c>
      <c r="O282" s="111">
        <v>4000</v>
      </c>
      <c r="P282" s="111" t="s">
        <v>611</v>
      </c>
      <c r="Q282" s="111" t="s">
        <v>643</v>
      </c>
      <c r="R282" s="81" t="s">
        <v>497</v>
      </c>
      <c r="S282" s="81" t="s">
        <v>185</v>
      </c>
      <c r="T282" s="81">
        <v>2016</v>
      </c>
      <c r="U282" s="81" t="s">
        <v>199</v>
      </c>
      <c r="V282" s="100" t="s">
        <v>1454</v>
      </c>
      <c r="W282" s="100" t="s">
        <v>1455</v>
      </c>
      <c r="X282" s="81">
        <v>2018</v>
      </c>
      <c r="Y282" s="81"/>
      <c r="Z282" s="81" t="s">
        <v>1493</v>
      </c>
      <c r="AA282" s="81" t="s">
        <v>1493</v>
      </c>
      <c r="AB282" s="81" t="s">
        <v>1493</v>
      </c>
      <c r="AC282" s="54" t="s">
        <v>1504</v>
      </c>
    </row>
    <row r="283" spans="1:29" ht="39.6" x14ac:dyDescent="0.3">
      <c r="A283" s="81">
        <v>3130</v>
      </c>
      <c r="B283" s="81" t="s">
        <v>51</v>
      </c>
      <c r="C283" s="140" t="s">
        <v>20</v>
      </c>
      <c r="D283" s="81" t="s">
        <v>250</v>
      </c>
      <c r="E283" s="81" t="s">
        <v>290</v>
      </c>
      <c r="F283" s="81" t="s">
        <v>607</v>
      </c>
      <c r="G283" s="100" t="s">
        <v>732</v>
      </c>
      <c r="H283" s="81" t="s">
        <v>388</v>
      </c>
      <c r="I283" s="109">
        <v>2020</v>
      </c>
      <c r="J283" s="131" t="s">
        <v>20</v>
      </c>
      <c r="K283" s="131" t="s">
        <v>20</v>
      </c>
      <c r="L283" s="54" t="s">
        <v>30</v>
      </c>
      <c r="M283" s="131">
        <v>239.65</v>
      </c>
      <c r="N283" s="142" t="s">
        <v>20</v>
      </c>
      <c r="O283" s="142" t="s">
        <v>20</v>
      </c>
      <c r="P283" s="142" t="s">
        <v>20</v>
      </c>
      <c r="Q283" s="142" t="s">
        <v>20</v>
      </c>
      <c r="R283" s="81" t="s">
        <v>497</v>
      </c>
      <c r="S283" s="81" t="s">
        <v>185</v>
      </c>
      <c r="T283" s="81">
        <v>2016</v>
      </c>
      <c r="U283" s="81" t="s">
        <v>199</v>
      </c>
      <c r="V283" s="100" t="s">
        <v>1456</v>
      </c>
      <c r="W283" s="100" t="s">
        <v>1457</v>
      </c>
      <c r="X283" s="81">
        <v>2019</v>
      </c>
      <c r="Y283" s="81"/>
      <c r="Z283" s="81" t="s">
        <v>1493</v>
      </c>
      <c r="AA283" s="81" t="s">
        <v>1493</v>
      </c>
      <c r="AB283" s="81" t="s">
        <v>1493</v>
      </c>
      <c r="AC283" s="54" t="s">
        <v>1504</v>
      </c>
    </row>
    <row r="284" spans="1:29" ht="39.6" x14ac:dyDescent="0.3">
      <c r="A284" s="81">
        <v>3129</v>
      </c>
      <c r="B284" s="81" t="s">
        <v>51</v>
      </c>
      <c r="C284" s="140" t="s">
        <v>20</v>
      </c>
      <c r="D284" s="81" t="s">
        <v>251</v>
      </c>
      <c r="E284" s="81" t="s">
        <v>291</v>
      </c>
      <c r="F284" s="81" t="s">
        <v>607</v>
      </c>
      <c r="G284" s="81" t="s">
        <v>491</v>
      </c>
      <c r="H284" s="81" t="s">
        <v>388</v>
      </c>
      <c r="I284" s="141" t="s">
        <v>20</v>
      </c>
      <c r="J284" s="131" t="s">
        <v>20</v>
      </c>
      <c r="K284" s="131" t="s">
        <v>20</v>
      </c>
      <c r="L284" s="54" t="s">
        <v>30</v>
      </c>
      <c r="M284" s="131">
        <v>17.71</v>
      </c>
      <c r="N284" s="142" t="s">
        <v>20</v>
      </c>
      <c r="O284" s="142" t="s">
        <v>20</v>
      </c>
      <c r="P284" s="142" t="s">
        <v>20</v>
      </c>
      <c r="Q284" s="142" t="s">
        <v>20</v>
      </c>
      <c r="R284" s="81" t="s">
        <v>497</v>
      </c>
      <c r="S284" s="81" t="s">
        <v>185</v>
      </c>
      <c r="T284" s="81">
        <v>2016</v>
      </c>
      <c r="U284" s="81" t="s">
        <v>199</v>
      </c>
      <c r="V284" s="100" t="s">
        <v>1458</v>
      </c>
      <c r="W284" s="100" t="s">
        <v>1459</v>
      </c>
      <c r="X284" s="140" t="s">
        <v>20</v>
      </c>
      <c r="Y284" s="81"/>
      <c r="Z284" s="81" t="s">
        <v>1493</v>
      </c>
      <c r="AA284" s="81" t="s">
        <v>1493</v>
      </c>
      <c r="AB284" s="81" t="s">
        <v>1493</v>
      </c>
      <c r="AC284" s="54" t="s">
        <v>1504</v>
      </c>
    </row>
    <row r="285" spans="1:29" ht="39.6" x14ac:dyDescent="0.3">
      <c r="A285" s="81">
        <v>3128</v>
      </c>
      <c r="B285" s="81" t="s">
        <v>51</v>
      </c>
      <c r="C285" s="140" t="s">
        <v>20</v>
      </c>
      <c r="D285" s="81" t="s">
        <v>277</v>
      </c>
      <c r="E285" s="81" t="s">
        <v>419</v>
      </c>
      <c r="F285" s="81" t="s">
        <v>607</v>
      </c>
      <c r="G285" s="81" t="s">
        <v>491</v>
      </c>
      <c r="H285" s="81" t="s">
        <v>388</v>
      </c>
      <c r="I285" s="141" t="s">
        <v>20</v>
      </c>
      <c r="J285" s="131" t="s">
        <v>20</v>
      </c>
      <c r="K285" s="131" t="s">
        <v>20</v>
      </c>
      <c r="L285" s="54" t="s">
        <v>30</v>
      </c>
      <c r="M285" s="131">
        <v>882.1</v>
      </c>
      <c r="N285" s="142" t="s">
        <v>20</v>
      </c>
      <c r="O285" s="142" t="s">
        <v>20</v>
      </c>
      <c r="P285" s="142" t="s">
        <v>20</v>
      </c>
      <c r="Q285" s="142" t="s">
        <v>20</v>
      </c>
      <c r="R285" s="81" t="s">
        <v>497</v>
      </c>
      <c r="S285" s="81" t="s">
        <v>185</v>
      </c>
      <c r="T285" s="81">
        <v>2016</v>
      </c>
      <c r="U285" s="81" t="s">
        <v>199</v>
      </c>
      <c r="V285" s="100" t="s">
        <v>1460</v>
      </c>
      <c r="W285" s="100" t="s">
        <v>1461</v>
      </c>
      <c r="X285" s="140" t="s">
        <v>20</v>
      </c>
      <c r="Y285" s="81"/>
      <c r="Z285" s="81" t="s">
        <v>1493</v>
      </c>
      <c r="AA285" s="81" t="s">
        <v>1493</v>
      </c>
      <c r="AB285" s="81" t="s">
        <v>1493</v>
      </c>
      <c r="AC285" s="54" t="s">
        <v>1504</v>
      </c>
    </row>
    <row r="286" spans="1:29" ht="66" x14ac:dyDescent="0.3">
      <c r="A286" s="81">
        <v>3127</v>
      </c>
      <c r="B286" s="81" t="s">
        <v>51</v>
      </c>
      <c r="C286" s="81" t="s">
        <v>1488</v>
      </c>
      <c r="D286" s="81" t="s">
        <v>278</v>
      </c>
      <c r="E286" s="81" t="s">
        <v>761</v>
      </c>
      <c r="F286" s="81" t="s">
        <v>1489</v>
      </c>
      <c r="G286" s="81" t="s">
        <v>630</v>
      </c>
      <c r="H286" s="81" t="s">
        <v>388</v>
      </c>
      <c r="I286" s="109">
        <v>2021</v>
      </c>
      <c r="J286" s="131" t="s">
        <v>20</v>
      </c>
      <c r="K286" s="131" t="s">
        <v>20</v>
      </c>
      <c r="L286" s="54" t="s">
        <v>30</v>
      </c>
      <c r="M286" s="131">
        <v>271.17</v>
      </c>
      <c r="N286" s="111">
        <v>60000</v>
      </c>
      <c r="O286" s="111">
        <v>30000</v>
      </c>
      <c r="P286" s="111" t="s">
        <v>547</v>
      </c>
      <c r="Q286" s="111" t="s">
        <v>762</v>
      </c>
      <c r="R286" s="81" t="s">
        <v>497</v>
      </c>
      <c r="S286" s="81" t="s">
        <v>185</v>
      </c>
      <c r="T286" s="81">
        <v>2016</v>
      </c>
      <c r="U286" s="81" t="s">
        <v>199</v>
      </c>
      <c r="V286" s="100" t="s">
        <v>1462</v>
      </c>
      <c r="W286" s="100" t="s">
        <v>1463</v>
      </c>
      <c r="X286" s="140" t="s">
        <v>20</v>
      </c>
      <c r="Y286" s="81">
        <v>2</v>
      </c>
      <c r="Z286" s="81" t="s">
        <v>1493</v>
      </c>
      <c r="AA286" s="81" t="s">
        <v>1493</v>
      </c>
      <c r="AB286" s="81" t="s">
        <v>1493</v>
      </c>
      <c r="AC286" s="54" t="s">
        <v>1504</v>
      </c>
    </row>
    <row r="287" spans="1:29" ht="39.6" x14ac:dyDescent="0.3">
      <c r="A287" s="81">
        <v>3100</v>
      </c>
      <c r="B287" s="81" t="s">
        <v>51</v>
      </c>
      <c r="C287" s="140" t="s">
        <v>20</v>
      </c>
      <c r="D287" s="81" t="s">
        <v>279</v>
      </c>
      <c r="E287" s="81" t="s">
        <v>292</v>
      </c>
      <c r="F287" s="81" t="s">
        <v>607</v>
      </c>
      <c r="G287" s="81" t="s">
        <v>491</v>
      </c>
      <c r="H287" s="81" t="s">
        <v>388</v>
      </c>
      <c r="I287" s="141" t="s">
        <v>20</v>
      </c>
      <c r="J287" s="131" t="s">
        <v>20</v>
      </c>
      <c r="K287" s="131" t="s">
        <v>20</v>
      </c>
      <c r="L287" s="54" t="s">
        <v>30</v>
      </c>
      <c r="M287" s="131">
        <v>17.73</v>
      </c>
      <c r="N287" s="142" t="s">
        <v>20</v>
      </c>
      <c r="O287" s="142" t="s">
        <v>20</v>
      </c>
      <c r="P287" s="142" t="s">
        <v>20</v>
      </c>
      <c r="Q287" s="142" t="s">
        <v>20</v>
      </c>
      <c r="R287" s="81" t="s">
        <v>497</v>
      </c>
      <c r="S287" s="81" t="s">
        <v>185</v>
      </c>
      <c r="T287" s="81">
        <v>2016</v>
      </c>
      <c r="U287" s="81" t="s">
        <v>199</v>
      </c>
      <c r="V287" s="100" t="s">
        <v>1464</v>
      </c>
      <c r="W287" s="100" t="s">
        <v>1465</v>
      </c>
      <c r="X287" s="140" t="s">
        <v>20</v>
      </c>
      <c r="Y287" s="81"/>
      <c r="Z287" s="81" t="s">
        <v>1493</v>
      </c>
      <c r="AA287" s="81" t="s">
        <v>1493</v>
      </c>
      <c r="AB287" s="81" t="s">
        <v>1493</v>
      </c>
      <c r="AC287" s="54" t="s">
        <v>1504</v>
      </c>
    </row>
    <row r="288" spans="1:29" ht="39.6" x14ac:dyDescent="0.3">
      <c r="A288" s="81">
        <v>3141</v>
      </c>
      <c r="B288" s="81" t="s">
        <v>51</v>
      </c>
      <c r="C288" s="81" t="s">
        <v>509</v>
      </c>
      <c r="D288" s="146" t="s">
        <v>280</v>
      </c>
      <c r="E288" s="81" t="s">
        <v>293</v>
      </c>
      <c r="F288" s="122" t="s">
        <v>609</v>
      </c>
      <c r="G288" s="81" t="s">
        <v>628</v>
      </c>
      <c r="H288" s="81" t="s">
        <v>3</v>
      </c>
      <c r="I288" s="109">
        <v>2018</v>
      </c>
      <c r="J288" s="131" t="s">
        <v>20</v>
      </c>
      <c r="K288" s="131" t="s">
        <v>20</v>
      </c>
      <c r="L288" s="54" t="s">
        <v>30</v>
      </c>
      <c r="M288" s="131">
        <v>2.448</v>
      </c>
      <c r="N288" s="142" t="s">
        <v>20</v>
      </c>
      <c r="O288" s="111">
        <v>4000</v>
      </c>
      <c r="P288" s="111" t="s">
        <v>509</v>
      </c>
      <c r="Q288" s="142" t="s">
        <v>20</v>
      </c>
      <c r="R288" s="81" t="s">
        <v>497</v>
      </c>
      <c r="S288" s="81" t="s">
        <v>185</v>
      </c>
      <c r="T288" s="81">
        <v>2016</v>
      </c>
      <c r="U288" s="81" t="s">
        <v>199</v>
      </c>
      <c r="V288" s="100" t="s">
        <v>1466</v>
      </c>
      <c r="W288" s="100" t="s">
        <v>1467</v>
      </c>
      <c r="X288" s="81">
        <v>2017</v>
      </c>
      <c r="Y288" s="81"/>
      <c r="Z288" s="81" t="s">
        <v>1493</v>
      </c>
      <c r="AA288" s="81" t="s">
        <v>1493</v>
      </c>
      <c r="AB288" s="81" t="s">
        <v>1493</v>
      </c>
      <c r="AC288" s="54" t="s">
        <v>1504</v>
      </c>
    </row>
    <row r="289" spans="1:29" ht="39.6" x14ac:dyDescent="0.3">
      <c r="A289" s="81">
        <v>3115</v>
      </c>
      <c r="B289" s="81" t="s">
        <v>51</v>
      </c>
      <c r="C289" s="140" t="s">
        <v>20</v>
      </c>
      <c r="D289" s="81" t="s">
        <v>281</v>
      </c>
      <c r="E289" s="81" t="s">
        <v>294</v>
      </c>
      <c r="F289" s="81" t="s">
        <v>607</v>
      </c>
      <c r="G289" s="81" t="s">
        <v>491</v>
      </c>
      <c r="H289" s="81" t="s">
        <v>388</v>
      </c>
      <c r="I289" s="141" t="s">
        <v>20</v>
      </c>
      <c r="J289" s="131" t="s">
        <v>20</v>
      </c>
      <c r="K289" s="131" t="s">
        <v>20</v>
      </c>
      <c r="L289" s="54" t="s">
        <v>30</v>
      </c>
      <c r="M289" s="131">
        <v>322.88</v>
      </c>
      <c r="N289" s="142" t="s">
        <v>20</v>
      </c>
      <c r="O289" s="142" t="s">
        <v>20</v>
      </c>
      <c r="P289" s="142" t="s">
        <v>20</v>
      </c>
      <c r="Q289" s="142" t="s">
        <v>20</v>
      </c>
      <c r="R289" s="81" t="s">
        <v>497</v>
      </c>
      <c r="S289" s="81" t="s">
        <v>185</v>
      </c>
      <c r="T289" s="81">
        <v>2016</v>
      </c>
      <c r="U289" s="81" t="s">
        <v>199</v>
      </c>
      <c r="V289" s="100" t="s">
        <v>1468</v>
      </c>
      <c r="W289" s="100" t="s">
        <v>1469</v>
      </c>
      <c r="X289" s="140" t="s">
        <v>20</v>
      </c>
      <c r="Y289" s="81"/>
      <c r="Z289" s="81" t="s">
        <v>1493</v>
      </c>
      <c r="AA289" s="81" t="s">
        <v>1493</v>
      </c>
      <c r="AB289" s="81" t="s">
        <v>1493</v>
      </c>
      <c r="AC289" s="54" t="s">
        <v>1504</v>
      </c>
    </row>
    <row r="290" spans="1:29" ht="39.6" x14ac:dyDescent="0.3">
      <c r="A290" s="81">
        <v>3089</v>
      </c>
      <c r="B290" s="81" t="s">
        <v>51</v>
      </c>
      <c r="C290" s="140" t="s">
        <v>20</v>
      </c>
      <c r="D290" s="81" t="s">
        <v>282</v>
      </c>
      <c r="E290" s="81" t="s">
        <v>295</v>
      </c>
      <c r="F290" s="81" t="s">
        <v>607</v>
      </c>
      <c r="G290" s="81" t="s">
        <v>491</v>
      </c>
      <c r="H290" s="81" t="s">
        <v>388</v>
      </c>
      <c r="I290" s="141" t="s">
        <v>20</v>
      </c>
      <c r="J290" s="131" t="s">
        <v>20</v>
      </c>
      <c r="K290" s="131" t="s">
        <v>20</v>
      </c>
      <c r="L290" s="54" t="s">
        <v>30</v>
      </c>
      <c r="M290" s="131">
        <v>131.09</v>
      </c>
      <c r="N290" s="142" t="s">
        <v>20</v>
      </c>
      <c r="O290" s="142" t="s">
        <v>20</v>
      </c>
      <c r="P290" s="142" t="s">
        <v>20</v>
      </c>
      <c r="Q290" s="142" t="s">
        <v>20</v>
      </c>
      <c r="R290" s="81" t="s">
        <v>497</v>
      </c>
      <c r="S290" s="81" t="s">
        <v>185</v>
      </c>
      <c r="T290" s="81">
        <v>2016</v>
      </c>
      <c r="U290" s="81" t="s">
        <v>199</v>
      </c>
      <c r="V290" s="100" t="s">
        <v>1470</v>
      </c>
      <c r="W290" s="100" t="s">
        <v>1471</v>
      </c>
      <c r="X290" s="140" t="s">
        <v>20</v>
      </c>
      <c r="Y290" s="81"/>
      <c r="Z290" s="81" t="s">
        <v>1493</v>
      </c>
      <c r="AA290" s="81" t="s">
        <v>1493</v>
      </c>
      <c r="AB290" s="81" t="s">
        <v>1493</v>
      </c>
      <c r="AC290" s="54" t="s">
        <v>1504</v>
      </c>
    </row>
    <row r="291" spans="1:29" ht="39.6" x14ac:dyDescent="0.3">
      <c r="A291" s="81">
        <v>3088</v>
      </c>
      <c r="B291" s="81" t="s">
        <v>51</v>
      </c>
      <c r="C291" s="140" t="s">
        <v>20</v>
      </c>
      <c r="D291" s="81" t="s">
        <v>283</v>
      </c>
      <c r="E291" s="81" t="s">
        <v>296</v>
      </c>
      <c r="F291" s="81" t="s">
        <v>607</v>
      </c>
      <c r="G291" s="81" t="s">
        <v>491</v>
      </c>
      <c r="H291" s="81" t="s">
        <v>388</v>
      </c>
      <c r="I291" s="141" t="s">
        <v>20</v>
      </c>
      <c r="J291" s="131" t="s">
        <v>20</v>
      </c>
      <c r="K291" s="131" t="s">
        <v>20</v>
      </c>
      <c r="L291" s="54" t="s">
        <v>30</v>
      </c>
      <c r="M291" s="131">
        <v>4.37</v>
      </c>
      <c r="N291" s="142" t="s">
        <v>20</v>
      </c>
      <c r="O291" s="142" t="s">
        <v>20</v>
      </c>
      <c r="P291" s="142" t="s">
        <v>20</v>
      </c>
      <c r="Q291" s="142" t="s">
        <v>20</v>
      </c>
      <c r="R291" s="81" t="s">
        <v>497</v>
      </c>
      <c r="S291" s="81" t="s">
        <v>185</v>
      </c>
      <c r="T291" s="81">
        <v>2016</v>
      </c>
      <c r="U291" s="81" t="s">
        <v>199</v>
      </c>
      <c r="V291" s="100" t="s">
        <v>1472</v>
      </c>
      <c r="W291" s="100" t="s">
        <v>1473</v>
      </c>
      <c r="X291" s="140" t="s">
        <v>20</v>
      </c>
      <c r="Y291" s="81"/>
      <c r="Z291" s="81" t="s">
        <v>1493</v>
      </c>
      <c r="AA291" s="81" t="s">
        <v>1493</v>
      </c>
      <c r="AB291" s="81" t="s">
        <v>1493</v>
      </c>
      <c r="AC291" s="54" t="s">
        <v>1504</v>
      </c>
    </row>
    <row r="292" spans="1:29" ht="39.6" x14ac:dyDescent="0.3">
      <c r="A292" s="81">
        <v>3087</v>
      </c>
      <c r="B292" s="81" t="s">
        <v>51</v>
      </c>
      <c r="C292" s="140" t="s">
        <v>20</v>
      </c>
      <c r="D292" s="81" t="s">
        <v>284</v>
      </c>
      <c r="E292" s="81" t="s">
        <v>297</v>
      </c>
      <c r="F292" s="81" t="s">
        <v>607</v>
      </c>
      <c r="G292" s="81" t="s">
        <v>491</v>
      </c>
      <c r="H292" s="81" t="s">
        <v>388</v>
      </c>
      <c r="I292" s="141" t="s">
        <v>20</v>
      </c>
      <c r="J292" s="131" t="s">
        <v>20</v>
      </c>
      <c r="K292" s="131" t="s">
        <v>20</v>
      </c>
      <c r="L292" s="54" t="s">
        <v>30</v>
      </c>
      <c r="M292" s="131">
        <v>13.44</v>
      </c>
      <c r="N292" s="142" t="s">
        <v>20</v>
      </c>
      <c r="O292" s="142" t="s">
        <v>20</v>
      </c>
      <c r="P292" s="142" t="s">
        <v>20</v>
      </c>
      <c r="Q292" s="142" t="s">
        <v>20</v>
      </c>
      <c r="R292" s="81" t="s">
        <v>497</v>
      </c>
      <c r="S292" s="81" t="s">
        <v>185</v>
      </c>
      <c r="T292" s="81">
        <v>2016</v>
      </c>
      <c r="U292" s="81" t="s">
        <v>199</v>
      </c>
      <c r="V292" s="100" t="s">
        <v>1474</v>
      </c>
      <c r="W292" s="100" t="s">
        <v>1475</v>
      </c>
      <c r="X292" s="140" t="s">
        <v>20</v>
      </c>
      <c r="Y292" s="81"/>
      <c r="Z292" s="81" t="s">
        <v>1493</v>
      </c>
      <c r="AA292" s="81" t="s">
        <v>1493</v>
      </c>
      <c r="AB292" s="81" t="s">
        <v>1493</v>
      </c>
      <c r="AC292" s="54" t="s">
        <v>1504</v>
      </c>
    </row>
    <row r="293" spans="1:29" ht="39.6" x14ac:dyDescent="0.3">
      <c r="A293" s="81">
        <v>3086</v>
      </c>
      <c r="B293" s="81" t="s">
        <v>51</v>
      </c>
      <c r="C293" s="140" t="s">
        <v>20</v>
      </c>
      <c r="D293" s="81" t="s">
        <v>285</v>
      </c>
      <c r="E293" s="81" t="s">
        <v>298</v>
      </c>
      <c r="F293" s="81" t="s">
        <v>607</v>
      </c>
      <c r="G293" s="81" t="s">
        <v>491</v>
      </c>
      <c r="H293" s="81" t="s">
        <v>388</v>
      </c>
      <c r="I293" s="141" t="s">
        <v>20</v>
      </c>
      <c r="J293" s="131" t="s">
        <v>20</v>
      </c>
      <c r="K293" s="131" t="s">
        <v>20</v>
      </c>
      <c r="L293" s="54" t="s">
        <v>30</v>
      </c>
      <c r="M293" s="131">
        <v>7.32</v>
      </c>
      <c r="N293" s="142" t="s">
        <v>20</v>
      </c>
      <c r="O293" s="142" t="s">
        <v>20</v>
      </c>
      <c r="P293" s="142" t="s">
        <v>20</v>
      </c>
      <c r="Q293" s="142" t="s">
        <v>20</v>
      </c>
      <c r="R293" s="81" t="s">
        <v>497</v>
      </c>
      <c r="S293" s="81" t="s">
        <v>185</v>
      </c>
      <c r="T293" s="81">
        <v>2016</v>
      </c>
      <c r="U293" s="81" t="s">
        <v>199</v>
      </c>
      <c r="V293" s="100" t="s">
        <v>1476</v>
      </c>
      <c r="W293" s="100" t="s">
        <v>1477</v>
      </c>
      <c r="X293" s="140" t="s">
        <v>20</v>
      </c>
      <c r="Y293" s="81"/>
      <c r="Z293" s="81" t="s">
        <v>1493</v>
      </c>
      <c r="AA293" s="81" t="s">
        <v>1493</v>
      </c>
      <c r="AB293" s="81" t="s">
        <v>1493</v>
      </c>
      <c r="AC293" s="54" t="s">
        <v>1504</v>
      </c>
    </row>
    <row r="294" spans="1:29" ht="39.6" x14ac:dyDescent="0.3">
      <c r="A294" s="81">
        <v>3085</v>
      </c>
      <c r="B294" s="81" t="s">
        <v>51</v>
      </c>
      <c r="C294" s="140" t="s">
        <v>20</v>
      </c>
      <c r="D294" s="81" t="s">
        <v>286</v>
      </c>
      <c r="E294" s="81" t="s">
        <v>299</v>
      </c>
      <c r="F294" s="81" t="s">
        <v>607</v>
      </c>
      <c r="G294" s="81" t="s">
        <v>491</v>
      </c>
      <c r="H294" s="81" t="s">
        <v>388</v>
      </c>
      <c r="I294" s="141" t="s">
        <v>20</v>
      </c>
      <c r="J294" s="131" t="s">
        <v>20</v>
      </c>
      <c r="K294" s="131" t="s">
        <v>20</v>
      </c>
      <c r="L294" s="54" t="s">
        <v>30</v>
      </c>
      <c r="M294" s="131">
        <v>26.54</v>
      </c>
      <c r="N294" s="142" t="s">
        <v>20</v>
      </c>
      <c r="O294" s="142" t="s">
        <v>20</v>
      </c>
      <c r="P294" s="142" t="s">
        <v>20</v>
      </c>
      <c r="Q294" s="142" t="s">
        <v>20</v>
      </c>
      <c r="R294" s="81" t="s">
        <v>497</v>
      </c>
      <c r="S294" s="81" t="s">
        <v>185</v>
      </c>
      <c r="T294" s="81">
        <v>2016</v>
      </c>
      <c r="U294" s="81" t="s">
        <v>199</v>
      </c>
      <c r="V294" s="100" t="s">
        <v>1478</v>
      </c>
      <c r="W294" s="100" t="s">
        <v>1479</v>
      </c>
      <c r="X294" s="140" t="s">
        <v>20</v>
      </c>
      <c r="Y294" s="81"/>
      <c r="Z294" s="81" t="s">
        <v>1493</v>
      </c>
      <c r="AA294" s="81" t="s">
        <v>1493</v>
      </c>
      <c r="AB294" s="81" t="s">
        <v>1493</v>
      </c>
      <c r="AC294" s="54" t="s">
        <v>1504</v>
      </c>
    </row>
    <row r="295" spans="1:29" ht="52.8" x14ac:dyDescent="0.3">
      <c r="A295" s="81">
        <v>3084</v>
      </c>
      <c r="B295" s="81" t="s">
        <v>51</v>
      </c>
      <c r="C295" s="81" t="s">
        <v>0</v>
      </c>
      <c r="D295" s="81" t="s">
        <v>510</v>
      </c>
      <c r="E295" s="81" t="s">
        <v>511</v>
      </c>
      <c r="F295" s="81" t="s">
        <v>610</v>
      </c>
      <c r="G295" s="81" t="s">
        <v>512</v>
      </c>
      <c r="H295" s="81" t="s">
        <v>388</v>
      </c>
      <c r="I295" s="109">
        <v>2022</v>
      </c>
      <c r="J295" s="110" t="s">
        <v>20</v>
      </c>
      <c r="K295" s="110" t="s">
        <v>20</v>
      </c>
      <c r="L295" s="81" t="s">
        <v>30</v>
      </c>
      <c r="M295" s="110" t="s">
        <v>497</v>
      </c>
      <c r="N295" s="114">
        <v>8000000</v>
      </c>
      <c r="O295" s="142" t="s">
        <v>20</v>
      </c>
      <c r="P295" s="111" t="s">
        <v>611</v>
      </c>
      <c r="Q295" s="142" t="s">
        <v>20</v>
      </c>
      <c r="R295" s="81" t="s">
        <v>497</v>
      </c>
      <c r="S295" s="81" t="s">
        <v>185</v>
      </c>
      <c r="T295" s="81">
        <v>2017</v>
      </c>
      <c r="U295" s="81" t="s">
        <v>199</v>
      </c>
      <c r="V295" s="100" t="s">
        <v>1480</v>
      </c>
      <c r="W295" s="100" t="s">
        <v>1481</v>
      </c>
      <c r="X295" s="81">
        <v>2019</v>
      </c>
      <c r="Y295" s="81"/>
      <c r="Z295" s="81" t="s">
        <v>1492</v>
      </c>
      <c r="AA295" s="81" t="s">
        <v>1492</v>
      </c>
      <c r="AB295" s="81" t="s">
        <v>1502</v>
      </c>
      <c r="AC295" s="10" t="s">
        <v>497</v>
      </c>
    </row>
    <row r="296" spans="1:29" ht="52.8" x14ac:dyDescent="0.3">
      <c r="A296" s="81">
        <v>5371</v>
      </c>
      <c r="B296" s="81" t="s">
        <v>51</v>
      </c>
      <c r="C296" s="81" t="s">
        <v>0</v>
      </c>
      <c r="D296" s="81" t="s">
        <v>768</v>
      </c>
      <c r="E296" s="81" t="s">
        <v>763</v>
      </c>
      <c r="F296" s="81" t="s">
        <v>764</v>
      </c>
      <c r="G296" s="81" t="s">
        <v>630</v>
      </c>
      <c r="H296" s="81" t="s">
        <v>388</v>
      </c>
      <c r="I296" s="109">
        <v>2020</v>
      </c>
      <c r="J296" s="110" t="s">
        <v>20</v>
      </c>
      <c r="K296" s="110" t="s">
        <v>20</v>
      </c>
      <c r="L296" s="81" t="s">
        <v>30</v>
      </c>
      <c r="M296" s="110">
        <v>105</v>
      </c>
      <c r="N296" s="114">
        <v>60000</v>
      </c>
      <c r="O296" s="114">
        <v>40000</v>
      </c>
      <c r="P296" s="111" t="s">
        <v>556</v>
      </c>
      <c r="Q296" s="111" t="s">
        <v>765</v>
      </c>
      <c r="R296" s="81" t="s">
        <v>497</v>
      </c>
      <c r="S296" s="81" t="s">
        <v>185</v>
      </c>
      <c r="T296" s="81">
        <v>2019</v>
      </c>
      <c r="U296" s="81" t="s">
        <v>199</v>
      </c>
      <c r="V296" s="100" t="s">
        <v>1482</v>
      </c>
      <c r="W296" s="100" t="s">
        <v>1483</v>
      </c>
      <c r="X296" s="140" t="s">
        <v>497</v>
      </c>
      <c r="Y296" s="81">
        <v>5</v>
      </c>
      <c r="Z296" s="140" t="s">
        <v>1492</v>
      </c>
      <c r="AA296" s="81" t="s">
        <v>1493</v>
      </c>
      <c r="AB296" s="81" t="s">
        <v>1502</v>
      </c>
      <c r="AC296" s="10" t="s">
        <v>497</v>
      </c>
    </row>
    <row r="297" spans="1:29" ht="39.6" x14ac:dyDescent="0.3">
      <c r="A297" s="81">
        <v>5372</v>
      </c>
      <c r="B297" s="81" t="s">
        <v>51</v>
      </c>
      <c r="C297" s="81" t="s">
        <v>0</v>
      </c>
      <c r="D297" s="81" t="s">
        <v>769</v>
      </c>
      <c r="E297" s="81" t="s">
        <v>766</v>
      </c>
      <c r="F297" s="81" t="s">
        <v>767</v>
      </c>
      <c r="G297" s="81" t="s">
        <v>223</v>
      </c>
      <c r="H297" s="81" t="s">
        <v>388</v>
      </c>
      <c r="I297" s="109">
        <v>2020</v>
      </c>
      <c r="J297" s="110" t="s">
        <v>20</v>
      </c>
      <c r="K297" s="110" t="s">
        <v>20</v>
      </c>
      <c r="L297" s="81" t="s">
        <v>30</v>
      </c>
      <c r="M297" s="110">
        <v>3</v>
      </c>
      <c r="N297" s="114">
        <v>50000</v>
      </c>
      <c r="O297" s="144">
        <v>0</v>
      </c>
      <c r="P297" s="111" t="s">
        <v>556</v>
      </c>
      <c r="Q297" s="142" t="s">
        <v>20</v>
      </c>
      <c r="R297" s="81" t="s">
        <v>497</v>
      </c>
      <c r="S297" s="81" t="s">
        <v>184</v>
      </c>
      <c r="T297" s="81">
        <v>2019</v>
      </c>
      <c r="U297" s="81" t="s">
        <v>199</v>
      </c>
      <c r="V297" s="100" t="s">
        <v>1482</v>
      </c>
      <c r="W297" s="100" t="s">
        <v>1483</v>
      </c>
      <c r="X297" s="140" t="s">
        <v>497</v>
      </c>
      <c r="Y297" s="81"/>
      <c r="Z297" s="81" t="s">
        <v>1492</v>
      </c>
      <c r="AA297" s="81" t="s">
        <v>1492</v>
      </c>
      <c r="AB297" s="81" t="s">
        <v>1502</v>
      </c>
      <c r="AC297" s="10" t="s">
        <v>497</v>
      </c>
    </row>
    <row r="298" spans="1:29" ht="66" x14ac:dyDescent="0.3">
      <c r="A298" s="81">
        <v>3066</v>
      </c>
      <c r="B298" s="81" t="s">
        <v>57</v>
      </c>
      <c r="C298" s="140" t="s">
        <v>585</v>
      </c>
      <c r="D298" s="146" t="s">
        <v>371</v>
      </c>
      <c r="E298" s="81" t="s">
        <v>1</v>
      </c>
      <c r="F298" s="81" t="s">
        <v>444</v>
      </c>
      <c r="G298" s="81" t="s">
        <v>1</v>
      </c>
      <c r="H298" s="81" t="s">
        <v>1517</v>
      </c>
      <c r="I298" s="141" t="s">
        <v>497</v>
      </c>
      <c r="J298" s="132">
        <v>588</v>
      </c>
      <c r="K298" s="132">
        <v>67.400000000000006</v>
      </c>
      <c r="L298" s="54" t="s">
        <v>30</v>
      </c>
      <c r="M298" s="131" t="s">
        <v>497</v>
      </c>
      <c r="N298" s="142" t="s">
        <v>585</v>
      </c>
      <c r="O298" s="142" t="s">
        <v>585</v>
      </c>
      <c r="P298" s="142" t="s">
        <v>585</v>
      </c>
      <c r="Q298" s="142" t="s">
        <v>585</v>
      </c>
      <c r="R298" s="81" t="s">
        <v>497</v>
      </c>
      <c r="S298" s="81" t="s">
        <v>184</v>
      </c>
      <c r="T298" s="81">
        <v>2013</v>
      </c>
      <c r="U298" s="81" t="s">
        <v>199</v>
      </c>
      <c r="V298" s="145" t="s">
        <v>497</v>
      </c>
      <c r="W298" s="145" t="s">
        <v>497</v>
      </c>
      <c r="X298" s="140" t="s">
        <v>585</v>
      </c>
      <c r="Y298" s="81"/>
      <c r="Z298" s="81" t="s">
        <v>1492</v>
      </c>
      <c r="AA298" s="81" t="s">
        <v>1492</v>
      </c>
      <c r="AB298" s="81" t="s">
        <v>1500</v>
      </c>
      <c r="AC298" s="54" t="s">
        <v>1501</v>
      </c>
    </row>
    <row r="299" spans="1:29" ht="26.4" x14ac:dyDescent="0.3">
      <c r="A299" s="81">
        <v>3065</v>
      </c>
      <c r="B299" s="81" t="s">
        <v>57</v>
      </c>
      <c r="C299" s="140" t="s">
        <v>585</v>
      </c>
      <c r="D299" s="146" t="s">
        <v>372</v>
      </c>
      <c r="E299" s="81" t="s">
        <v>374</v>
      </c>
      <c r="F299" s="81" t="s">
        <v>489</v>
      </c>
      <c r="G299" s="81" t="s">
        <v>222</v>
      </c>
      <c r="H299" s="81" t="s">
        <v>1517</v>
      </c>
      <c r="I299" s="109">
        <v>2016</v>
      </c>
      <c r="J299" s="132" t="s">
        <v>585</v>
      </c>
      <c r="K299" s="132" t="s">
        <v>585</v>
      </c>
      <c r="L299" s="54" t="s">
        <v>30</v>
      </c>
      <c r="M299" s="132" t="s">
        <v>585</v>
      </c>
      <c r="N299" s="142" t="s">
        <v>585</v>
      </c>
      <c r="O299" s="142" t="s">
        <v>585</v>
      </c>
      <c r="P299" s="142" t="s">
        <v>585</v>
      </c>
      <c r="Q299" s="142" t="s">
        <v>585</v>
      </c>
      <c r="R299" s="81" t="s">
        <v>497</v>
      </c>
      <c r="S299" s="81" t="s">
        <v>184</v>
      </c>
      <c r="T299" s="81">
        <v>2017</v>
      </c>
      <c r="U299" s="81" t="s">
        <v>199</v>
      </c>
      <c r="V299" s="145" t="s">
        <v>497</v>
      </c>
      <c r="W299" s="145" t="s">
        <v>497</v>
      </c>
      <c r="X299" s="140" t="s">
        <v>585</v>
      </c>
      <c r="Y299" s="81"/>
      <c r="Z299" s="81" t="s">
        <v>1492</v>
      </c>
      <c r="AA299" s="81" t="s">
        <v>1492</v>
      </c>
      <c r="AB299" s="81" t="s">
        <v>1498</v>
      </c>
      <c r="AC299" s="54" t="s">
        <v>1499</v>
      </c>
    </row>
    <row r="300" spans="1:29" ht="26.4" x14ac:dyDescent="0.3">
      <c r="A300" s="81">
        <v>3064</v>
      </c>
      <c r="B300" s="81" t="s">
        <v>57</v>
      </c>
      <c r="C300" s="140" t="s">
        <v>585</v>
      </c>
      <c r="D300" s="146" t="s">
        <v>373</v>
      </c>
      <c r="E300" s="81" t="s">
        <v>375</v>
      </c>
      <c r="F300" s="81" t="s">
        <v>490</v>
      </c>
      <c r="G300" s="81" t="s">
        <v>222</v>
      </c>
      <c r="H300" s="81" t="s">
        <v>1517</v>
      </c>
      <c r="I300" s="109">
        <v>2016</v>
      </c>
      <c r="J300" s="132" t="s">
        <v>585</v>
      </c>
      <c r="K300" s="132" t="s">
        <v>585</v>
      </c>
      <c r="L300" s="54" t="s">
        <v>30</v>
      </c>
      <c r="M300" s="132" t="s">
        <v>585</v>
      </c>
      <c r="N300" s="142" t="s">
        <v>585</v>
      </c>
      <c r="O300" s="142" t="s">
        <v>585</v>
      </c>
      <c r="P300" s="142" t="s">
        <v>585</v>
      </c>
      <c r="Q300" s="142" t="s">
        <v>585</v>
      </c>
      <c r="R300" s="81" t="s">
        <v>497</v>
      </c>
      <c r="S300" s="81" t="s">
        <v>184</v>
      </c>
      <c r="T300" s="81">
        <v>2017</v>
      </c>
      <c r="U300" s="81" t="s">
        <v>199</v>
      </c>
      <c r="V300" s="145" t="s">
        <v>497</v>
      </c>
      <c r="W300" s="145" t="s">
        <v>497</v>
      </c>
      <c r="X300" s="140" t="s">
        <v>585</v>
      </c>
      <c r="Y300" s="81"/>
      <c r="Z300" s="81" t="s">
        <v>1492</v>
      </c>
      <c r="AA300" s="81" t="s">
        <v>1492</v>
      </c>
      <c r="AB300" s="81" t="s">
        <v>1498</v>
      </c>
      <c r="AC300" s="54" t="s">
        <v>1499</v>
      </c>
    </row>
    <row r="301" spans="1:29" ht="39.6" x14ac:dyDescent="0.3">
      <c r="A301" s="81">
        <v>5373</v>
      </c>
      <c r="B301" s="81" t="s">
        <v>57</v>
      </c>
      <c r="C301" s="140" t="s">
        <v>497</v>
      </c>
      <c r="D301" s="146" t="s">
        <v>841</v>
      </c>
      <c r="E301" s="81" t="s">
        <v>842</v>
      </c>
      <c r="F301" s="81" t="s">
        <v>843</v>
      </c>
      <c r="G301" s="81" t="s">
        <v>736</v>
      </c>
      <c r="H301" s="81" t="s">
        <v>3</v>
      </c>
      <c r="I301" s="141" t="s">
        <v>497</v>
      </c>
      <c r="J301" s="131" t="s">
        <v>497</v>
      </c>
      <c r="K301" s="131" t="s">
        <v>497</v>
      </c>
      <c r="L301" s="54" t="s">
        <v>30</v>
      </c>
      <c r="M301" s="131" t="s">
        <v>497</v>
      </c>
      <c r="N301" s="142" t="s">
        <v>585</v>
      </c>
      <c r="O301" s="142" t="s">
        <v>585</v>
      </c>
      <c r="P301" s="111" t="s">
        <v>57</v>
      </c>
      <c r="Q301" s="142" t="s">
        <v>497</v>
      </c>
      <c r="R301" s="81" t="s">
        <v>497</v>
      </c>
      <c r="S301" s="81" t="s">
        <v>184</v>
      </c>
      <c r="T301" s="81">
        <v>2019</v>
      </c>
      <c r="U301" s="81" t="s">
        <v>199</v>
      </c>
      <c r="V301" s="145" t="s">
        <v>585</v>
      </c>
      <c r="W301" s="145" t="s">
        <v>585</v>
      </c>
      <c r="X301" s="140" t="s">
        <v>585</v>
      </c>
      <c r="Y301" s="81"/>
      <c r="Z301" s="81" t="s">
        <v>1492</v>
      </c>
      <c r="AA301" s="81" t="s">
        <v>1492</v>
      </c>
      <c r="AB301" s="81" t="s">
        <v>1493</v>
      </c>
      <c r="AC301" s="54" t="s">
        <v>1501</v>
      </c>
    </row>
  </sheetData>
  <autoFilter ref="A1:AC301" xr:uid="{43E6EBE0-E8D2-40AF-8B03-636E30131EDD}">
    <sortState xmlns:xlrd2="http://schemas.microsoft.com/office/spreadsheetml/2017/richdata2" ref="A2:AC301">
      <sortCondition ref="D1:D301"/>
    </sortState>
  </autoFilter>
  <sortState xmlns:xlrd2="http://schemas.microsoft.com/office/spreadsheetml/2017/richdata2" ref="A2:Y301">
    <sortCondition ref="D2:D301"/>
  </sortState>
  <phoneticPr fontId="38" type="noConversion"/>
  <conditionalFormatting sqref="F67:F68">
    <cfRule type="containsText" dxfId="45" priority="1" operator="containsText" text="PLEASE">
      <formula>NOT(ISERROR(SEARCH("PLEASE",F67)))</formula>
    </cfRule>
  </conditionalFormatting>
  <conditionalFormatting sqref="Q31">
    <cfRule type="containsText" dxfId="44" priority="2" operator="containsText" text="PLEASE">
      <formula>NOT(ISERROR(SEARCH("PLEASE",Q31)))</formula>
    </cfRule>
  </conditionalFormatting>
  <dataValidations count="2">
    <dataValidation type="list" allowBlank="1" sqref="C262:C263 N267:Q268 C267:C268 S264 J263:K264 L261:R264 J261:K261 G261:G264 I261:I264 H262:H264" xr:uid="{00000000-0002-0000-0100-000000000000}">
      <formula1>Project_Type</formula1>
    </dataValidation>
    <dataValidation type="textLength" operator="lessThanOrEqual" allowBlank="1" showInputMessage="1" showErrorMessage="1" sqref="F277:F278" xr:uid="{3EA6485B-FA25-4E33-AE63-FDC4A493488E}">
      <formula1>255</formula1>
    </dataValidation>
  </dataValidations>
  <pageMargins left="0.7" right="0.7" top="0.75" bottom="0.75" header="0.3" footer="0.3"/>
  <pageSetup scale="34" fitToHeight="25" orientation="landscape"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A0F09BD-F60F-49AD-8214-BAAC486C5E4D}">
          <x14:formula1>
            <xm:f>'\\fileserver\DATA\FileServer Data\FDEP IRL\01 BMAPs and Annual Reports\NIRL\2019 Annual Report\Received\Titusville\[Copy of Titusville_NIRL_Projects2019_Updated (3).xlsx]Project Types and Menus'!#REF!</xm:f>
          </x14:formula1>
          <xm:sqref>L277:L278 G277:H278</xm:sqref>
        </x14:dataValidation>
      </x14:dataValidations>
    </ext>
    <ext xmlns:x15="http://schemas.microsoft.com/office/spreadsheetml/2010/11/main" uri="{F7C9EE02-42E1-4005-9D12-6889AFFD525C}">
      <x15:webExtensions xmlns:xm="http://schemas.microsoft.com/office/excel/2006/main">
        <x15:webExtension appRef="{51C949FC-53C8-4D7F-A537-8DFDF9487755}">
          <xm:f>'Append Lat Longs'!#REF!</xm:f>
        </x15:webExtension>
      </x15:webExtens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42D295-326A-4393-B07F-4A4FDE5505E3}">
  <dimension ref="A1:E224"/>
  <sheetViews>
    <sheetView workbookViewId="0">
      <selection activeCell="G4" sqref="G4"/>
    </sheetView>
  </sheetViews>
  <sheetFormatPr defaultRowHeight="14.4" x14ac:dyDescent="0.3"/>
  <sheetData>
    <row r="1" spans="1:5" ht="27" x14ac:dyDescent="0.3">
      <c r="A1" s="66" t="s">
        <v>627</v>
      </c>
      <c r="B1" s="66" t="s">
        <v>716</v>
      </c>
      <c r="C1" s="66" t="s">
        <v>717</v>
      </c>
      <c r="D1" s="104" t="s">
        <v>194</v>
      </c>
      <c r="E1" s="104" t="s">
        <v>195</v>
      </c>
    </row>
    <row r="2" spans="1:5" ht="52.8" x14ac:dyDescent="0.3">
      <c r="A2" s="13">
        <v>2797</v>
      </c>
      <c r="B2" s="10" t="s">
        <v>1050</v>
      </c>
      <c r="C2" s="13" t="s">
        <v>33</v>
      </c>
      <c r="D2" s="99" t="s">
        <v>1067</v>
      </c>
      <c r="E2" s="99" t="s">
        <v>1069</v>
      </c>
    </row>
    <row r="3" spans="1:5" ht="52.8" x14ac:dyDescent="0.3">
      <c r="A3" s="13">
        <v>2795</v>
      </c>
      <c r="B3" s="10" t="s">
        <v>1052</v>
      </c>
      <c r="C3" s="13" t="s">
        <v>34</v>
      </c>
      <c r="D3" s="99" t="s">
        <v>1068</v>
      </c>
      <c r="E3" s="99" t="s">
        <v>1070</v>
      </c>
    </row>
    <row r="4" spans="1:5" ht="66" x14ac:dyDescent="0.3">
      <c r="A4" s="13">
        <v>2794</v>
      </c>
      <c r="B4" s="10" t="s">
        <v>1053</v>
      </c>
      <c r="C4" s="13" t="s">
        <v>35</v>
      </c>
      <c r="D4" s="99" t="s">
        <v>1071</v>
      </c>
      <c r="E4" s="99" t="s">
        <v>1072</v>
      </c>
    </row>
    <row r="5" spans="1:5" ht="52.8" x14ac:dyDescent="0.3">
      <c r="A5" s="13">
        <v>2793</v>
      </c>
      <c r="B5" s="10" t="s">
        <v>1054</v>
      </c>
      <c r="C5" s="13" t="s">
        <v>36</v>
      </c>
      <c r="D5" s="99" t="s">
        <v>1067</v>
      </c>
      <c r="E5" s="99" t="s">
        <v>1069</v>
      </c>
    </row>
    <row r="6" spans="1:5" ht="52.8" x14ac:dyDescent="0.3">
      <c r="A6" s="13">
        <v>2792</v>
      </c>
      <c r="B6" s="10" t="s">
        <v>1055</v>
      </c>
      <c r="C6" s="13" t="s">
        <v>37</v>
      </c>
      <c r="D6" s="99" t="s">
        <v>1073</v>
      </c>
      <c r="E6" s="99" t="s">
        <v>1074</v>
      </c>
    </row>
    <row r="7" spans="1:5" ht="52.8" x14ac:dyDescent="0.3">
      <c r="A7" s="13">
        <v>2791</v>
      </c>
      <c r="B7" s="10" t="s">
        <v>1056</v>
      </c>
      <c r="C7" s="13" t="s">
        <v>95</v>
      </c>
      <c r="D7" s="99" t="s">
        <v>1075</v>
      </c>
      <c r="E7" s="99" t="s">
        <v>1076</v>
      </c>
    </row>
    <row r="8" spans="1:5" ht="52.8" x14ac:dyDescent="0.3">
      <c r="A8" s="13">
        <v>2790</v>
      </c>
      <c r="B8" s="10" t="s">
        <v>1057</v>
      </c>
      <c r="C8" s="13" t="s">
        <v>96</v>
      </c>
      <c r="D8" s="99" t="s">
        <v>1077</v>
      </c>
      <c r="E8" s="99" t="s">
        <v>1078</v>
      </c>
    </row>
    <row r="9" spans="1:5" ht="52.8" x14ac:dyDescent="0.3">
      <c r="A9" s="13">
        <v>3058</v>
      </c>
      <c r="B9" s="10" t="s">
        <v>1058</v>
      </c>
      <c r="C9" s="13" t="s">
        <v>58</v>
      </c>
      <c r="D9" s="99" t="s">
        <v>1079</v>
      </c>
      <c r="E9" s="99" t="s">
        <v>1080</v>
      </c>
    </row>
    <row r="10" spans="1:5" ht="52.8" x14ac:dyDescent="0.3">
      <c r="A10" s="13">
        <v>3041</v>
      </c>
      <c r="B10" s="10" t="s">
        <v>969</v>
      </c>
      <c r="C10" s="13" t="s">
        <v>59</v>
      </c>
      <c r="D10" s="99" t="s">
        <v>1081</v>
      </c>
      <c r="E10" s="99" t="s">
        <v>1082</v>
      </c>
    </row>
    <row r="11" spans="1:5" ht="66" x14ac:dyDescent="0.3">
      <c r="A11" s="13">
        <v>3042</v>
      </c>
      <c r="B11" s="10" t="s">
        <v>970</v>
      </c>
      <c r="C11" s="13" t="s">
        <v>60</v>
      </c>
      <c r="D11" s="99" t="s">
        <v>1083</v>
      </c>
      <c r="E11" s="99" t="s">
        <v>1084</v>
      </c>
    </row>
    <row r="12" spans="1:5" ht="52.8" x14ac:dyDescent="0.3">
      <c r="A12" s="13">
        <v>3043</v>
      </c>
      <c r="B12" s="10" t="s">
        <v>971</v>
      </c>
      <c r="C12" s="13" t="s">
        <v>61</v>
      </c>
      <c r="D12" s="99" t="s">
        <v>1085</v>
      </c>
      <c r="E12" s="99" t="s">
        <v>1086</v>
      </c>
    </row>
    <row r="13" spans="1:5" ht="39.6" x14ac:dyDescent="0.3">
      <c r="A13" s="13">
        <v>3044</v>
      </c>
      <c r="B13" s="10" t="s">
        <v>972</v>
      </c>
      <c r="C13" s="13" t="s">
        <v>62</v>
      </c>
      <c r="D13" s="99" t="s">
        <v>1087</v>
      </c>
      <c r="E13" s="99" t="s">
        <v>1088</v>
      </c>
    </row>
    <row r="14" spans="1:5" ht="66" x14ac:dyDescent="0.3">
      <c r="A14" s="13">
        <v>3040</v>
      </c>
      <c r="B14" s="10" t="s">
        <v>973</v>
      </c>
      <c r="C14" s="13" t="s">
        <v>63</v>
      </c>
      <c r="D14" s="99" t="s">
        <v>1089</v>
      </c>
      <c r="E14" s="99" t="s">
        <v>1090</v>
      </c>
    </row>
    <row r="15" spans="1:5" ht="52.8" x14ac:dyDescent="0.3">
      <c r="A15" s="13">
        <v>3039</v>
      </c>
      <c r="B15" s="10" t="s">
        <v>974</v>
      </c>
      <c r="C15" s="13" t="s">
        <v>64</v>
      </c>
      <c r="D15" s="99" t="s">
        <v>1091</v>
      </c>
      <c r="E15" s="99" t="s">
        <v>1092</v>
      </c>
    </row>
    <row r="16" spans="1:5" ht="52.8" x14ac:dyDescent="0.3">
      <c r="A16" s="13">
        <v>3038</v>
      </c>
      <c r="B16" s="10" t="s">
        <v>975</v>
      </c>
      <c r="C16" s="13" t="s">
        <v>65</v>
      </c>
      <c r="D16" s="99" t="s">
        <v>1093</v>
      </c>
      <c r="E16" s="99" t="s">
        <v>1094</v>
      </c>
    </row>
    <row r="17" spans="1:5" ht="52.8" x14ac:dyDescent="0.3">
      <c r="A17" s="13">
        <v>3037</v>
      </c>
      <c r="B17" s="10" t="s">
        <v>976</v>
      </c>
      <c r="C17" s="13" t="s">
        <v>66</v>
      </c>
      <c r="D17" s="99" t="s">
        <v>1095</v>
      </c>
      <c r="E17" s="99" t="s">
        <v>1096</v>
      </c>
    </row>
    <row r="18" spans="1:5" ht="52.8" x14ac:dyDescent="0.3">
      <c r="A18" s="13">
        <v>3036</v>
      </c>
      <c r="B18" s="10" t="s">
        <v>977</v>
      </c>
      <c r="C18" s="13" t="s">
        <v>67</v>
      </c>
      <c r="D18" s="99" t="s">
        <v>1097</v>
      </c>
      <c r="E18" s="99" t="s">
        <v>1098</v>
      </c>
    </row>
    <row r="19" spans="1:5" ht="52.8" x14ac:dyDescent="0.3">
      <c r="A19" s="13">
        <v>3035</v>
      </c>
      <c r="B19" s="10" t="s">
        <v>978</v>
      </c>
      <c r="C19" s="13" t="s">
        <v>68</v>
      </c>
      <c r="D19" s="99" t="s">
        <v>1099</v>
      </c>
      <c r="E19" s="99" t="s">
        <v>1100</v>
      </c>
    </row>
    <row r="20" spans="1:5" ht="52.8" x14ac:dyDescent="0.3">
      <c r="A20" s="13">
        <v>3034</v>
      </c>
      <c r="B20" s="10" t="s">
        <v>979</v>
      </c>
      <c r="C20" s="13" t="s">
        <v>783</v>
      </c>
      <c r="D20" s="99" t="s">
        <v>1101</v>
      </c>
      <c r="E20" s="99" t="s">
        <v>1102</v>
      </c>
    </row>
    <row r="21" spans="1:5" ht="52.8" x14ac:dyDescent="0.3">
      <c r="A21" s="13">
        <v>3031</v>
      </c>
      <c r="B21" s="10" t="s">
        <v>982</v>
      </c>
      <c r="C21" s="13" t="s">
        <v>2</v>
      </c>
      <c r="D21" s="99" t="s">
        <v>1103</v>
      </c>
      <c r="E21" s="99" t="s">
        <v>1104</v>
      </c>
    </row>
    <row r="22" spans="1:5" ht="52.8" x14ac:dyDescent="0.3">
      <c r="A22" s="13">
        <v>3045</v>
      </c>
      <c r="B22" s="10" t="s">
        <v>983</v>
      </c>
      <c r="C22" s="13" t="s">
        <v>784</v>
      </c>
      <c r="D22" s="99" t="s">
        <v>1105</v>
      </c>
      <c r="E22" s="99" t="s">
        <v>1106</v>
      </c>
    </row>
    <row r="23" spans="1:5" ht="52.8" x14ac:dyDescent="0.3">
      <c r="A23" s="13">
        <v>3029</v>
      </c>
      <c r="B23" s="10" t="s">
        <v>984</v>
      </c>
      <c r="C23" s="13" t="s">
        <v>69</v>
      </c>
      <c r="D23" s="99" t="s">
        <v>1107</v>
      </c>
      <c r="E23" s="99" t="s">
        <v>1108</v>
      </c>
    </row>
    <row r="24" spans="1:5" ht="52.8" x14ac:dyDescent="0.3">
      <c r="A24" s="13">
        <v>3028</v>
      </c>
      <c r="B24" s="10" t="s">
        <v>985</v>
      </c>
      <c r="C24" s="13" t="s">
        <v>70</v>
      </c>
      <c r="D24" s="99" t="s">
        <v>1109</v>
      </c>
      <c r="E24" s="99" t="s">
        <v>1110</v>
      </c>
    </row>
    <row r="25" spans="1:5" ht="52.8" x14ac:dyDescent="0.3">
      <c r="A25" s="13">
        <v>3027</v>
      </c>
      <c r="B25" s="10" t="s">
        <v>986</v>
      </c>
      <c r="C25" s="13" t="s">
        <v>17</v>
      </c>
      <c r="D25" s="99" t="s">
        <v>1111</v>
      </c>
      <c r="E25" s="99" t="s">
        <v>1112</v>
      </c>
    </row>
    <row r="26" spans="1:5" ht="52.8" x14ac:dyDescent="0.3">
      <c r="A26" s="13">
        <v>3026</v>
      </c>
      <c r="B26" s="10" t="s">
        <v>987</v>
      </c>
      <c r="C26" s="13" t="s">
        <v>71</v>
      </c>
      <c r="D26" s="99" t="s">
        <v>1095</v>
      </c>
      <c r="E26" s="99" t="s">
        <v>1096</v>
      </c>
    </row>
    <row r="27" spans="1:5" ht="52.8" x14ac:dyDescent="0.3">
      <c r="A27" s="13">
        <v>3025</v>
      </c>
      <c r="B27" s="10" t="s">
        <v>988</v>
      </c>
      <c r="C27" s="13" t="s">
        <v>72</v>
      </c>
      <c r="D27" s="99" t="s">
        <v>1113</v>
      </c>
      <c r="E27" s="99" t="s">
        <v>1114</v>
      </c>
    </row>
    <row r="28" spans="1:5" ht="52.8" x14ac:dyDescent="0.3">
      <c r="A28" s="13">
        <v>3024</v>
      </c>
      <c r="B28" s="10" t="s">
        <v>989</v>
      </c>
      <c r="C28" s="13" t="s">
        <v>785</v>
      </c>
      <c r="D28" s="99" t="s">
        <v>1101</v>
      </c>
      <c r="E28" s="99" t="s">
        <v>1102</v>
      </c>
    </row>
    <row r="29" spans="1:5" ht="52.8" x14ac:dyDescent="0.3">
      <c r="A29" s="13">
        <v>3023</v>
      </c>
      <c r="B29" s="10" t="s">
        <v>990</v>
      </c>
      <c r="C29" s="13" t="s">
        <v>73</v>
      </c>
      <c r="D29" s="99" t="s">
        <v>1115</v>
      </c>
      <c r="E29" s="99" t="s">
        <v>1116</v>
      </c>
    </row>
    <row r="30" spans="1:5" ht="26.4" x14ac:dyDescent="0.3">
      <c r="A30" s="13">
        <v>3022</v>
      </c>
      <c r="B30" s="10" t="s">
        <v>991</v>
      </c>
      <c r="C30" s="13" t="s">
        <v>74</v>
      </c>
      <c r="D30" s="99" t="s">
        <v>1117</v>
      </c>
      <c r="E30" s="99" t="s">
        <v>1118</v>
      </c>
    </row>
    <row r="31" spans="1:5" ht="52.8" x14ac:dyDescent="0.3">
      <c r="A31" s="13">
        <v>3021</v>
      </c>
      <c r="B31" s="10" t="s">
        <v>992</v>
      </c>
      <c r="C31" s="13" t="s">
        <v>75</v>
      </c>
      <c r="D31" s="99" t="s">
        <v>1119</v>
      </c>
      <c r="E31" s="99" t="s">
        <v>1120</v>
      </c>
    </row>
    <row r="32" spans="1:5" ht="52.8" x14ac:dyDescent="0.3">
      <c r="A32" s="13">
        <v>3020</v>
      </c>
      <c r="B32" s="10" t="s">
        <v>993</v>
      </c>
      <c r="C32" s="10" t="s">
        <v>570</v>
      </c>
      <c r="D32" s="99" t="s">
        <v>1121</v>
      </c>
      <c r="E32" s="99" t="s">
        <v>1122</v>
      </c>
    </row>
    <row r="33" spans="1:5" ht="52.8" x14ac:dyDescent="0.3">
      <c r="A33" s="13">
        <v>3071</v>
      </c>
      <c r="B33" s="10" t="s">
        <v>994</v>
      </c>
      <c r="C33" s="13" t="s">
        <v>76</v>
      </c>
      <c r="D33" s="99" t="s">
        <v>1123</v>
      </c>
      <c r="E33" s="99" t="s">
        <v>1124</v>
      </c>
    </row>
    <row r="34" spans="1:5" ht="52.8" x14ac:dyDescent="0.3">
      <c r="A34" s="13">
        <v>3070</v>
      </c>
      <c r="B34" s="10" t="s">
        <v>995</v>
      </c>
      <c r="C34" s="13" t="s">
        <v>77</v>
      </c>
      <c r="D34" s="99" t="s">
        <v>1125</v>
      </c>
      <c r="E34" s="99" t="s">
        <v>1126</v>
      </c>
    </row>
    <row r="35" spans="1:5" ht="92.4" x14ac:dyDescent="0.3">
      <c r="A35" s="13">
        <v>3069</v>
      </c>
      <c r="B35" s="10" t="s">
        <v>996</v>
      </c>
      <c r="C35" s="13" t="s">
        <v>78</v>
      </c>
      <c r="D35" s="99" t="s">
        <v>1083</v>
      </c>
      <c r="E35" s="99" t="s">
        <v>1084</v>
      </c>
    </row>
    <row r="36" spans="1:5" ht="52.8" x14ac:dyDescent="0.3">
      <c r="A36" s="13">
        <v>2990</v>
      </c>
      <c r="B36" s="10" t="s">
        <v>997</v>
      </c>
      <c r="C36" s="13" t="s">
        <v>79</v>
      </c>
      <c r="D36" s="99" t="s">
        <v>1127</v>
      </c>
      <c r="E36" s="99" t="s">
        <v>1128</v>
      </c>
    </row>
    <row r="37" spans="1:5" ht="52.8" x14ac:dyDescent="0.3">
      <c r="A37" s="13">
        <v>2997</v>
      </c>
      <c r="B37" s="10" t="s">
        <v>998</v>
      </c>
      <c r="C37" s="13" t="s">
        <v>80</v>
      </c>
      <c r="D37" s="99" t="s">
        <v>1129</v>
      </c>
      <c r="E37" s="99" t="s">
        <v>1130</v>
      </c>
    </row>
    <row r="38" spans="1:5" ht="52.8" x14ac:dyDescent="0.3">
      <c r="A38" s="13">
        <v>2988</v>
      </c>
      <c r="B38" s="10" t="s">
        <v>999</v>
      </c>
      <c r="C38" s="13" t="s">
        <v>81</v>
      </c>
      <c r="D38" s="99" t="s">
        <v>1131</v>
      </c>
      <c r="E38" s="99" t="s">
        <v>1132</v>
      </c>
    </row>
    <row r="39" spans="1:5" ht="52.8" x14ac:dyDescent="0.3">
      <c r="A39" s="13">
        <v>2987</v>
      </c>
      <c r="B39" s="10" t="s">
        <v>1000</v>
      </c>
      <c r="C39" s="13" t="s">
        <v>82</v>
      </c>
      <c r="D39" s="99" t="s">
        <v>1133</v>
      </c>
      <c r="E39" s="99" t="s">
        <v>1134</v>
      </c>
    </row>
    <row r="40" spans="1:5" ht="52.8" x14ac:dyDescent="0.3">
      <c r="A40" s="13">
        <v>2983</v>
      </c>
      <c r="B40" s="10" t="s">
        <v>1001</v>
      </c>
      <c r="C40" s="13" t="s">
        <v>83</v>
      </c>
      <c r="D40" s="99" t="s">
        <v>1135</v>
      </c>
      <c r="E40" s="99" t="s">
        <v>1136</v>
      </c>
    </row>
    <row r="41" spans="1:5" ht="52.8" x14ac:dyDescent="0.3">
      <c r="A41" s="13">
        <v>2985</v>
      </c>
      <c r="B41" s="10" t="s">
        <v>1002</v>
      </c>
      <c r="C41" s="13" t="s">
        <v>84</v>
      </c>
      <c r="D41" s="99" t="s">
        <v>1137</v>
      </c>
      <c r="E41" s="99" t="s">
        <v>1138</v>
      </c>
    </row>
    <row r="42" spans="1:5" ht="52.8" x14ac:dyDescent="0.3">
      <c r="A42" s="13">
        <v>2984</v>
      </c>
      <c r="B42" s="10" t="s">
        <v>1003</v>
      </c>
      <c r="C42" s="13" t="s">
        <v>85</v>
      </c>
      <c r="D42" s="99" t="s">
        <v>1139</v>
      </c>
      <c r="E42" s="99" t="s">
        <v>1140</v>
      </c>
    </row>
    <row r="43" spans="1:5" ht="52.8" x14ac:dyDescent="0.3">
      <c r="A43" s="13">
        <v>2981</v>
      </c>
      <c r="B43" s="10" t="s">
        <v>1004</v>
      </c>
      <c r="C43" s="13" t="s">
        <v>86</v>
      </c>
      <c r="D43" s="99" t="s">
        <v>1141</v>
      </c>
      <c r="E43" s="99" t="s">
        <v>1142</v>
      </c>
    </row>
    <row r="44" spans="1:5" ht="52.8" x14ac:dyDescent="0.3">
      <c r="A44" s="13">
        <v>2986</v>
      </c>
      <c r="B44" s="10" t="s">
        <v>1006</v>
      </c>
      <c r="C44" s="13" t="s">
        <v>276</v>
      </c>
      <c r="D44" s="99" t="s">
        <v>1143</v>
      </c>
      <c r="E44" s="99" t="s">
        <v>1144</v>
      </c>
    </row>
    <row r="45" spans="1:5" ht="52.8" x14ac:dyDescent="0.3">
      <c r="A45" s="13">
        <v>2989</v>
      </c>
      <c r="B45" s="10" t="s">
        <v>1007</v>
      </c>
      <c r="C45" s="13" t="s">
        <v>67</v>
      </c>
      <c r="D45" s="99" t="s">
        <v>1097</v>
      </c>
      <c r="E45" s="99" t="s">
        <v>1098</v>
      </c>
    </row>
    <row r="46" spans="1:5" ht="52.8" x14ac:dyDescent="0.3">
      <c r="A46" s="13">
        <v>3008</v>
      </c>
      <c r="B46" s="10" t="s">
        <v>1008</v>
      </c>
      <c r="C46" s="13" t="s">
        <v>88</v>
      </c>
      <c r="D46" s="99" t="s">
        <v>1145</v>
      </c>
      <c r="E46" s="99" t="s">
        <v>1146</v>
      </c>
    </row>
    <row r="47" spans="1:5" ht="52.8" x14ac:dyDescent="0.3">
      <c r="A47" s="13">
        <v>3016</v>
      </c>
      <c r="B47" s="10" t="s">
        <v>1009</v>
      </c>
      <c r="C47" s="13" t="s">
        <v>89</v>
      </c>
      <c r="D47" s="99" t="s">
        <v>1147</v>
      </c>
      <c r="E47" s="99" t="s">
        <v>1148</v>
      </c>
    </row>
    <row r="48" spans="1:5" ht="52.8" x14ac:dyDescent="0.3">
      <c r="A48" s="13">
        <v>3015</v>
      </c>
      <c r="B48" s="10" t="s">
        <v>1010</v>
      </c>
      <c r="C48" s="13" t="s">
        <v>90</v>
      </c>
      <c r="D48" s="99" t="s">
        <v>1149</v>
      </c>
      <c r="E48" s="99" t="s">
        <v>1150</v>
      </c>
    </row>
    <row r="49" spans="1:5" ht="52.8" x14ac:dyDescent="0.3">
      <c r="A49" s="13">
        <v>3014</v>
      </c>
      <c r="B49" s="10" t="s">
        <v>1011</v>
      </c>
      <c r="C49" s="13" t="s">
        <v>91</v>
      </c>
      <c r="D49" s="99" t="s">
        <v>1151</v>
      </c>
      <c r="E49" s="99" t="s">
        <v>1152</v>
      </c>
    </row>
    <row r="50" spans="1:5" ht="52.8" x14ac:dyDescent="0.3">
      <c r="A50" s="13">
        <v>3006</v>
      </c>
      <c r="B50" s="10" t="s">
        <v>1012</v>
      </c>
      <c r="C50" s="13" t="s">
        <v>92</v>
      </c>
      <c r="D50" s="99" t="s">
        <v>1153</v>
      </c>
      <c r="E50" s="99" t="s">
        <v>1154</v>
      </c>
    </row>
    <row r="51" spans="1:5" ht="52.8" x14ac:dyDescent="0.3">
      <c r="A51" s="13">
        <v>3013</v>
      </c>
      <c r="B51" s="10" t="s">
        <v>1013</v>
      </c>
      <c r="C51" s="79" t="s">
        <v>93</v>
      </c>
      <c r="D51" s="99" t="s">
        <v>1155</v>
      </c>
      <c r="E51" s="99" t="s">
        <v>1156</v>
      </c>
    </row>
    <row r="52" spans="1:5" ht="52.8" x14ac:dyDescent="0.3">
      <c r="A52" s="13">
        <v>2991</v>
      </c>
      <c r="B52" s="10" t="s">
        <v>1014</v>
      </c>
      <c r="C52" s="13" t="s">
        <v>787</v>
      </c>
      <c r="D52" s="99" t="s">
        <v>1157</v>
      </c>
      <c r="E52" s="99" t="s">
        <v>1158</v>
      </c>
    </row>
    <row r="53" spans="1:5" ht="52.8" x14ac:dyDescent="0.3">
      <c r="A53" s="13">
        <v>3012</v>
      </c>
      <c r="B53" s="10" t="s">
        <v>1015</v>
      </c>
      <c r="C53" s="13" t="s">
        <v>94</v>
      </c>
      <c r="D53" s="99" t="s">
        <v>1159</v>
      </c>
      <c r="E53" s="99" t="s">
        <v>1160</v>
      </c>
    </row>
    <row r="54" spans="1:5" ht="52.8" x14ac:dyDescent="0.3">
      <c r="A54" s="13">
        <v>3003</v>
      </c>
      <c r="B54" s="10" t="s">
        <v>1018</v>
      </c>
      <c r="C54" s="13" t="s">
        <v>255</v>
      </c>
      <c r="D54" s="99" t="s">
        <v>1161</v>
      </c>
      <c r="E54" s="99" t="s">
        <v>1162</v>
      </c>
    </row>
    <row r="55" spans="1:5" ht="52.8" x14ac:dyDescent="0.3">
      <c r="A55" s="13">
        <v>3004</v>
      </c>
      <c r="B55" s="10" t="s">
        <v>1019</v>
      </c>
      <c r="C55" s="13" t="s">
        <v>256</v>
      </c>
      <c r="D55" s="99" t="s">
        <v>1163</v>
      </c>
      <c r="E55" s="99" t="s">
        <v>1164</v>
      </c>
    </row>
    <row r="56" spans="1:5" ht="52.8" x14ac:dyDescent="0.3">
      <c r="A56" s="13">
        <v>3017</v>
      </c>
      <c r="B56" s="10" t="s">
        <v>1020</v>
      </c>
      <c r="C56" s="13" t="s">
        <v>309</v>
      </c>
      <c r="D56" s="99" t="s">
        <v>1165</v>
      </c>
      <c r="E56" s="99" t="s">
        <v>1166</v>
      </c>
    </row>
    <row r="57" spans="1:5" ht="52.8" x14ac:dyDescent="0.3">
      <c r="A57" s="13">
        <v>3007</v>
      </c>
      <c r="B57" s="10" t="s">
        <v>1021</v>
      </c>
      <c r="C57" s="10" t="s">
        <v>571</v>
      </c>
      <c r="D57" s="99" t="s">
        <v>1167</v>
      </c>
      <c r="E57" s="99" t="s">
        <v>1168</v>
      </c>
    </row>
    <row r="58" spans="1:5" ht="52.8" x14ac:dyDescent="0.3">
      <c r="A58" s="13">
        <v>2998</v>
      </c>
      <c r="B58" s="10" t="s">
        <v>1022</v>
      </c>
      <c r="C58" s="13" t="s">
        <v>310</v>
      </c>
      <c r="D58" s="99" t="s">
        <v>1169</v>
      </c>
      <c r="E58" s="99" t="s">
        <v>1170</v>
      </c>
    </row>
    <row r="59" spans="1:5" ht="52.8" x14ac:dyDescent="0.3">
      <c r="A59" s="13">
        <v>3009</v>
      </c>
      <c r="B59" s="10" t="s">
        <v>1023</v>
      </c>
      <c r="C59" s="13" t="s">
        <v>311</v>
      </c>
      <c r="D59" s="99" t="s">
        <v>1171</v>
      </c>
      <c r="E59" s="99" t="s">
        <v>1172</v>
      </c>
    </row>
    <row r="60" spans="1:5" ht="26.4" x14ac:dyDescent="0.3">
      <c r="A60" s="13">
        <v>3010</v>
      </c>
      <c r="B60" s="10" t="s">
        <v>1024</v>
      </c>
      <c r="C60" s="13" t="s">
        <v>312</v>
      </c>
      <c r="D60" s="99" t="s">
        <v>1173</v>
      </c>
      <c r="E60" s="99" t="s">
        <v>1174</v>
      </c>
    </row>
    <row r="61" spans="1:5" ht="66" x14ac:dyDescent="0.3">
      <c r="A61" s="13">
        <v>3011</v>
      </c>
      <c r="B61" s="10" t="s">
        <v>1025</v>
      </c>
      <c r="C61" s="13" t="s">
        <v>788</v>
      </c>
      <c r="D61" s="99" t="s">
        <v>1175</v>
      </c>
      <c r="E61" s="99" t="s">
        <v>1176</v>
      </c>
    </row>
    <row r="62" spans="1:5" ht="52.8" x14ac:dyDescent="0.3">
      <c r="A62" s="13">
        <v>2995</v>
      </c>
      <c r="B62" s="10" t="s">
        <v>1030</v>
      </c>
      <c r="C62" s="13" t="s">
        <v>392</v>
      </c>
      <c r="D62" s="99" t="s">
        <v>1177</v>
      </c>
      <c r="E62" s="99" t="s">
        <v>1178</v>
      </c>
    </row>
    <row r="63" spans="1:5" ht="79.2" x14ac:dyDescent="0.3">
      <c r="A63" s="13">
        <v>3060</v>
      </c>
      <c r="B63" s="10" t="s">
        <v>1033</v>
      </c>
      <c r="C63" s="13" t="s">
        <v>394</v>
      </c>
      <c r="D63" s="99" t="s">
        <v>1179</v>
      </c>
      <c r="E63" s="99" t="s">
        <v>1180</v>
      </c>
    </row>
    <row r="64" spans="1:5" ht="39.6" x14ac:dyDescent="0.3">
      <c r="A64" s="13">
        <v>3048</v>
      </c>
      <c r="B64" s="10" t="s">
        <v>1035</v>
      </c>
      <c r="C64" s="13" t="s">
        <v>397</v>
      </c>
      <c r="D64" s="99" t="s">
        <v>1181</v>
      </c>
      <c r="E64" s="99" t="s">
        <v>1182</v>
      </c>
    </row>
    <row r="65" spans="1:5" ht="39.6" x14ac:dyDescent="0.3">
      <c r="A65" s="13">
        <v>3049</v>
      </c>
      <c r="B65" s="10" t="s">
        <v>1036</v>
      </c>
      <c r="C65" s="13" t="s">
        <v>398</v>
      </c>
      <c r="D65" s="99" t="s">
        <v>1183</v>
      </c>
      <c r="E65" s="99" t="s">
        <v>1184</v>
      </c>
    </row>
    <row r="66" spans="1:5" ht="39.6" x14ac:dyDescent="0.3">
      <c r="A66" s="13">
        <v>3051</v>
      </c>
      <c r="B66" s="11" t="s">
        <v>1037</v>
      </c>
      <c r="C66" s="11" t="s">
        <v>518</v>
      </c>
      <c r="D66" s="99" t="s">
        <v>1185</v>
      </c>
      <c r="E66" s="99" t="s">
        <v>1186</v>
      </c>
    </row>
    <row r="67" spans="1:5" ht="52.8" x14ac:dyDescent="0.3">
      <c r="A67" s="13">
        <v>3059</v>
      </c>
      <c r="B67" s="11" t="s">
        <v>1040</v>
      </c>
      <c r="C67" s="11" t="s">
        <v>532</v>
      </c>
      <c r="D67" s="99" t="s">
        <v>1187</v>
      </c>
      <c r="E67" s="99" t="s">
        <v>1188</v>
      </c>
    </row>
    <row r="68" spans="1:5" ht="39.6" x14ac:dyDescent="0.3">
      <c r="A68" s="13">
        <v>3062</v>
      </c>
      <c r="B68" s="11" t="s">
        <v>1041</v>
      </c>
      <c r="C68" s="11" t="s">
        <v>396</v>
      </c>
      <c r="D68" s="99" t="s">
        <v>1189</v>
      </c>
      <c r="E68" s="99" t="s">
        <v>1190</v>
      </c>
    </row>
    <row r="69" spans="1:5" ht="79.2" x14ac:dyDescent="0.3">
      <c r="A69" s="80">
        <v>4451</v>
      </c>
      <c r="B69" s="53" t="s">
        <v>1043</v>
      </c>
      <c r="C69" s="53" t="s">
        <v>706</v>
      </c>
      <c r="D69" s="99" t="s">
        <v>1191</v>
      </c>
      <c r="E69" s="99" t="s">
        <v>1192</v>
      </c>
    </row>
    <row r="70" spans="1:5" ht="92.4" x14ac:dyDescent="0.3">
      <c r="A70" s="80">
        <v>4452</v>
      </c>
      <c r="B70" s="53" t="s">
        <v>1044</v>
      </c>
      <c r="C70" s="85" t="s">
        <v>878</v>
      </c>
      <c r="D70" s="99" t="s">
        <v>1193</v>
      </c>
      <c r="E70" s="99" t="s">
        <v>1194</v>
      </c>
    </row>
    <row r="71" spans="1:5" ht="39.6" x14ac:dyDescent="0.3">
      <c r="A71" s="80">
        <v>4453</v>
      </c>
      <c r="B71" s="53" t="s">
        <v>1045</v>
      </c>
      <c r="C71" s="85" t="s">
        <v>849</v>
      </c>
      <c r="D71" s="99" t="s">
        <v>1187</v>
      </c>
      <c r="E71" s="99" t="s">
        <v>1188</v>
      </c>
    </row>
    <row r="72" spans="1:5" ht="39.6" x14ac:dyDescent="0.3">
      <c r="A72" s="80">
        <v>4454</v>
      </c>
      <c r="B72" s="53" t="s">
        <v>1046</v>
      </c>
      <c r="C72" s="85" t="s">
        <v>850</v>
      </c>
      <c r="D72" s="99" t="s">
        <v>1195</v>
      </c>
      <c r="E72" s="99" t="s">
        <v>1196</v>
      </c>
    </row>
    <row r="73" spans="1:5" ht="39.6" x14ac:dyDescent="0.3">
      <c r="A73" s="80">
        <v>4455</v>
      </c>
      <c r="B73" s="53" t="s">
        <v>1047</v>
      </c>
      <c r="C73" s="85" t="s">
        <v>851</v>
      </c>
      <c r="D73" s="99" t="s">
        <v>1197</v>
      </c>
      <c r="E73" s="99" t="s">
        <v>1198</v>
      </c>
    </row>
    <row r="74" spans="1:5" ht="52.8" x14ac:dyDescent="0.3">
      <c r="A74" s="80">
        <v>4456</v>
      </c>
      <c r="B74" s="53" t="s">
        <v>1048</v>
      </c>
      <c r="C74" s="85" t="s">
        <v>852</v>
      </c>
      <c r="D74" s="99" t="s">
        <v>1199</v>
      </c>
      <c r="E74" s="99" t="s">
        <v>1200</v>
      </c>
    </row>
    <row r="75" spans="1:5" ht="39.6" x14ac:dyDescent="0.3">
      <c r="A75" s="91">
        <v>5347</v>
      </c>
      <c r="B75" s="85" t="s">
        <v>857</v>
      </c>
      <c r="C75" s="85" t="s">
        <v>858</v>
      </c>
      <c r="D75" s="99" t="s">
        <v>1201</v>
      </c>
      <c r="E75" s="99" t="s">
        <v>1202</v>
      </c>
    </row>
    <row r="76" spans="1:5" ht="52.8" x14ac:dyDescent="0.3">
      <c r="A76" s="91">
        <v>5353</v>
      </c>
      <c r="B76" s="85" t="s">
        <v>864</v>
      </c>
      <c r="C76" s="85" t="s">
        <v>865</v>
      </c>
      <c r="D76" s="99" t="s">
        <v>1203</v>
      </c>
      <c r="E76" s="99" t="s">
        <v>1204</v>
      </c>
    </row>
    <row r="77" spans="1:5" ht="26.4" x14ac:dyDescent="0.3">
      <c r="A77" s="91">
        <v>5354</v>
      </c>
      <c r="B77" s="85" t="s">
        <v>866</v>
      </c>
      <c r="C77" s="85" t="s">
        <v>867</v>
      </c>
      <c r="D77" s="99" t="s">
        <v>1205</v>
      </c>
      <c r="E77" s="99" t="s">
        <v>1206</v>
      </c>
    </row>
    <row r="78" spans="1:5" ht="52.8" x14ac:dyDescent="0.3">
      <c r="A78" s="91">
        <v>5355</v>
      </c>
      <c r="B78" s="85" t="s">
        <v>869</v>
      </c>
      <c r="C78" s="85" t="s">
        <v>870</v>
      </c>
      <c r="D78" s="99" t="s">
        <v>1207</v>
      </c>
      <c r="E78" s="99" t="s">
        <v>1198</v>
      </c>
    </row>
    <row r="79" spans="1:5" ht="39.6" x14ac:dyDescent="0.3">
      <c r="A79" s="91">
        <v>5356</v>
      </c>
      <c r="B79" s="85" t="s">
        <v>871</v>
      </c>
      <c r="C79" s="85" t="s">
        <v>872</v>
      </c>
      <c r="D79" s="99" t="s">
        <v>1208</v>
      </c>
      <c r="E79" s="99" t="s">
        <v>1209</v>
      </c>
    </row>
    <row r="80" spans="1:5" ht="39.6" x14ac:dyDescent="0.3">
      <c r="A80" s="91">
        <v>5358</v>
      </c>
      <c r="B80" s="85" t="s">
        <v>875</v>
      </c>
      <c r="C80" s="85" t="s">
        <v>876</v>
      </c>
      <c r="D80" s="99" t="s">
        <v>1210</v>
      </c>
      <c r="E80" s="99" t="s">
        <v>1211</v>
      </c>
    </row>
    <row r="81" spans="1:5" ht="52.8" x14ac:dyDescent="0.3">
      <c r="A81" s="13">
        <v>3050</v>
      </c>
      <c r="B81" s="11" t="s">
        <v>515</v>
      </c>
      <c r="C81" s="11" t="s">
        <v>517</v>
      </c>
      <c r="D81" s="99" t="s">
        <v>1212</v>
      </c>
      <c r="E81" s="99" t="s">
        <v>1213</v>
      </c>
    </row>
    <row r="82" spans="1:5" ht="105.6" x14ac:dyDescent="0.3">
      <c r="A82" s="13">
        <v>3053</v>
      </c>
      <c r="B82" s="11" t="s">
        <v>519</v>
      </c>
      <c r="C82" s="11" t="s">
        <v>520</v>
      </c>
      <c r="D82" s="99" t="s">
        <v>1214</v>
      </c>
      <c r="E82" s="99" t="s">
        <v>1215</v>
      </c>
    </row>
    <row r="83" spans="1:5" ht="79.2" x14ac:dyDescent="0.3">
      <c r="A83" s="13">
        <v>3054</v>
      </c>
      <c r="B83" s="11" t="s">
        <v>522</v>
      </c>
      <c r="C83" s="11" t="s">
        <v>523</v>
      </c>
      <c r="D83" s="99" t="s">
        <v>1216</v>
      </c>
      <c r="E83" s="99" t="s">
        <v>1217</v>
      </c>
    </row>
    <row r="84" spans="1:5" ht="79.2" x14ac:dyDescent="0.3">
      <c r="A84" s="13">
        <v>3055</v>
      </c>
      <c r="B84" s="11" t="s">
        <v>524</v>
      </c>
      <c r="C84" s="11" t="s">
        <v>525</v>
      </c>
      <c r="D84" s="99" t="s">
        <v>1218</v>
      </c>
      <c r="E84" s="99" t="s">
        <v>1219</v>
      </c>
    </row>
    <row r="85" spans="1:5" ht="92.4" x14ac:dyDescent="0.3">
      <c r="A85" s="13">
        <v>3056</v>
      </c>
      <c r="B85" s="11" t="s">
        <v>526</v>
      </c>
      <c r="C85" s="11" t="s">
        <v>527</v>
      </c>
      <c r="D85" s="99" t="s">
        <v>1220</v>
      </c>
      <c r="E85" s="99" t="s">
        <v>1221</v>
      </c>
    </row>
    <row r="86" spans="1:5" ht="105.6" x14ac:dyDescent="0.3">
      <c r="A86" s="13">
        <v>3057</v>
      </c>
      <c r="B86" s="11" t="s">
        <v>528</v>
      </c>
      <c r="C86" s="11" t="s">
        <v>529</v>
      </c>
      <c r="D86" s="99" t="s">
        <v>1222</v>
      </c>
      <c r="E86" s="99" t="s">
        <v>1223</v>
      </c>
    </row>
    <row r="87" spans="1:5" ht="92.4" x14ac:dyDescent="0.3">
      <c r="A87" s="13">
        <v>3046</v>
      </c>
      <c r="B87" s="11" t="s">
        <v>534</v>
      </c>
      <c r="C87" s="11" t="s">
        <v>535</v>
      </c>
      <c r="D87" s="99" t="s">
        <v>1224</v>
      </c>
      <c r="E87" s="99" t="s">
        <v>1225</v>
      </c>
    </row>
    <row r="88" spans="1:5" ht="39.6" x14ac:dyDescent="0.3">
      <c r="A88" s="13">
        <v>3061</v>
      </c>
      <c r="B88" s="11" t="s">
        <v>536</v>
      </c>
      <c r="C88" s="11" t="s">
        <v>790</v>
      </c>
      <c r="D88" s="99" t="s">
        <v>1226</v>
      </c>
      <c r="E88" s="99" t="s">
        <v>1190</v>
      </c>
    </row>
    <row r="89" spans="1:5" ht="39.6" x14ac:dyDescent="0.3">
      <c r="A89" s="91">
        <v>5370</v>
      </c>
      <c r="B89" s="85" t="s">
        <v>854</v>
      </c>
      <c r="C89" s="85" t="s">
        <v>855</v>
      </c>
      <c r="D89" s="99" t="s">
        <v>1227</v>
      </c>
      <c r="E89" s="99" t="s">
        <v>1228</v>
      </c>
    </row>
    <row r="90" spans="1:5" ht="52.8" x14ac:dyDescent="0.3">
      <c r="A90" s="13">
        <v>3072</v>
      </c>
      <c r="B90" s="13" t="s">
        <v>313</v>
      </c>
      <c r="C90" s="13" t="s">
        <v>98</v>
      </c>
      <c r="D90" s="95" t="s">
        <v>1229</v>
      </c>
      <c r="E90" s="95" t="s">
        <v>1230</v>
      </c>
    </row>
    <row r="91" spans="1:5" ht="52.8" x14ac:dyDescent="0.3">
      <c r="A91" s="13">
        <v>2999</v>
      </c>
      <c r="B91" s="13" t="s">
        <v>314</v>
      </c>
      <c r="C91" s="13" t="s">
        <v>100</v>
      </c>
      <c r="D91" s="95" t="s">
        <v>1231</v>
      </c>
      <c r="E91" s="95" t="s">
        <v>1232</v>
      </c>
    </row>
    <row r="92" spans="1:5" ht="52.8" x14ac:dyDescent="0.3">
      <c r="A92" s="13">
        <v>3204</v>
      </c>
      <c r="B92" s="13" t="s">
        <v>315</v>
      </c>
      <c r="C92" s="13" t="s">
        <v>101</v>
      </c>
      <c r="D92" s="95" t="s">
        <v>1233</v>
      </c>
      <c r="E92" s="95" t="s">
        <v>1234</v>
      </c>
    </row>
    <row r="93" spans="1:5" ht="39.6" x14ac:dyDescent="0.3">
      <c r="A93" s="13">
        <v>3162</v>
      </c>
      <c r="B93" s="13" t="s">
        <v>316</v>
      </c>
      <c r="C93" s="13" t="s">
        <v>102</v>
      </c>
      <c r="D93" s="99" t="s">
        <v>1235</v>
      </c>
      <c r="E93" s="99" t="s">
        <v>1236</v>
      </c>
    </row>
    <row r="94" spans="1:5" ht="92.4" x14ac:dyDescent="0.3">
      <c r="A94" s="13">
        <v>2778</v>
      </c>
      <c r="B94" s="13" t="s">
        <v>317</v>
      </c>
      <c r="C94" s="13" t="s">
        <v>103</v>
      </c>
      <c r="D94" s="99" t="s">
        <v>1237</v>
      </c>
      <c r="E94" s="99" t="s">
        <v>1238</v>
      </c>
    </row>
    <row r="95" spans="1:5" ht="79.2" x14ac:dyDescent="0.3">
      <c r="A95" s="13">
        <v>2766</v>
      </c>
      <c r="B95" s="13" t="s">
        <v>318</v>
      </c>
      <c r="C95" s="13" t="s">
        <v>104</v>
      </c>
      <c r="D95" s="95" t="s">
        <v>1239</v>
      </c>
      <c r="E95" s="95" t="s">
        <v>1240</v>
      </c>
    </row>
    <row r="96" spans="1:5" ht="52.8" x14ac:dyDescent="0.3">
      <c r="A96" s="13">
        <v>2765</v>
      </c>
      <c r="B96" s="13" t="s">
        <v>319</v>
      </c>
      <c r="C96" s="52" t="s">
        <v>657</v>
      </c>
      <c r="D96" s="99" t="s">
        <v>1241</v>
      </c>
      <c r="E96" s="99" t="s">
        <v>1242</v>
      </c>
    </row>
    <row r="97" spans="1:5" ht="52.8" x14ac:dyDescent="0.3">
      <c r="A97" s="13">
        <v>2763</v>
      </c>
      <c r="B97" s="13" t="s">
        <v>321</v>
      </c>
      <c r="C97" s="13" t="s">
        <v>105</v>
      </c>
      <c r="D97" s="95" t="s">
        <v>1243</v>
      </c>
      <c r="E97" s="95" t="s">
        <v>1244</v>
      </c>
    </row>
    <row r="98" spans="1:5" ht="79.2" x14ac:dyDescent="0.3">
      <c r="A98" s="13">
        <v>2762</v>
      </c>
      <c r="B98" s="13" t="s">
        <v>18</v>
      </c>
      <c r="C98" s="13" t="s">
        <v>99</v>
      </c>
      <c r="D98" s="99" t="s">
        <v>1245</v>
      </c>
      <c r="E98" s="99" t="s">
        <v>1246</v>
      </c>
    </row>
    <row r="99" spans="1:5" ht="52.8" x14ac:dyDescent="0.3">
      <c r="A99" s="13">
        <v>2787</v>
      </c>
      <c r="B99" s="13" t="s">
        <v>200</v>
      </c>
      <c r="C99" s="10" t="s">
        <v>596</v>
      </c>
      <c r="D99" s="95" t="s">
        <v>1247</v>
      </c>
      <c r="E99" s="95" t="s">
        <v>1248</v>
      </c>
    </row>
    <row r="100" spans="1:5" ht="39.6" x14ac:dyDescent="0.3">
      <c r="A100" s="13">
        <v>2767</v>
      </c>
      <c r="B100" s="13" t="s">
        <v>201</v>
      </c>
      <c r="C100" s="13" t="s">
        <v>202</v>
      </c>
      <c r="D100" s="95" t="s">
        <v>1249</v>
      </c>
      <c r="E100" s="95" t="s">
        <v>1250</v>
      </c>
    </row>
    <row r="101" spans="1:5" ht="26.4" x14ac:dyDescent="0.3">
      <c r="A101" s="13">
        <v>3163</v>
      </c>
      <c r="B101" s="13" t="s">
        <v>203</v>
      </c>
      <c r="C101" s="13" t="s">
        <v>206</v>
      </c>
      <c r="D101" s="95" t="s">
        <v>1251</v>
      </c>
      <c r="E101" s="95" t="s">
        <v>1252</v>
      </c>
    </row>
    <row r="102" spans="1:5" ht="52.8" x14ac:dyDescent="0.3">
      <c r="A102" s="13">
        <v>3164</v>
      </c>
      <c r="B102" s="13" t="s">
        <v>204</v>
      </c>
      <c r="C102" s="13" t="s">
        <v>408</v>
      </c>
      <c r="D102" s="99" t="s">
        <v>1253</v>
      </c>
      <c r="E102" s="99" t="s">
        <v>1254</v>
      </c>
    </row>
    <row r="103" spans="1:5" ht="52.8" x14ac:dyDescent="0.3">
      <c r="A103" s="13">
        <v>3165</v>
      </c>
      <c r="B103" s="13" t="s">
        <v>205</v>
      </c>
      <c r="C103" s="13" t="s">
        <v>409</v>
      </c>
      <c r="D103" s="99" t="s">
        <v>1255</v>
      </c>
      <c r="E103" s="99" t="s">
        <v>1256</v>
      </c>
    </row>
    <row r="104" spans="1:5" ht="52.8" x14ac:dyDescent="0.3">
      <c r="A104" s="13">
        <v>3166</v>
      </c>
      <c r="B104" s="13" t="s">
        <v>300</v>
      </c>
      <c r="C104" s="13" t="s">
        <v>303</v>
      </c>
      <c r="D104" s="95" t="s">
        <v>1257</v>
      </c>
      <c r="E104" s="95" t="s">
        <v>1258</v>
      </c>
    </row>
    <row r="105" spans="1:5" ht="92.4" x14ac:dyDescent="0.3">
      <c r="A105" s="13">
        <v>3160</v>
      </c>
      <c r="B105" s="13" t="s">
        <v>376</v>
      </c>
      <c r="C105" s="13" t="s">
        <v>411</v>
      </c>
      <c r="D105" s="95" t="s">
        <v>1259</v>
      </c>
      <c r="E105" s="97" t="s">
        <v>1260</v>
      </c>
    </row>
    <row r="106" spans="1:5" ht="92.4" x14ac:dyDescent="0.3">
      <c r="A106" s="79">
        <v>4457</v>
      </c>
      <c r="B106" s="53" t="s">
        <v>653</v>
      </c>
      <c r="C106" s="52" t="s">
        <v>667</v>
      </c>
      <c r="D106" s="95" t="s">
        <v>1261</v>
      </c>
      <c r="E106" s="95" t="s">
        <v>1262</v>
      </c>
    </row>
    <row r="107" spans="1:5" ht="52.8" x14ac:dyDescent="0.3">
      <c r="A107" s="13">
        <v>3080</v>
      </c>
      <c r="B107" s="13" t="s">
        <v>352</v>
      </c>
      <c r="C107" s="86" t="s">
        <v>770</v>
      </c>
      <c r="D107" s="99" t="s">
        <v>1263</v>
      </c>
      <c r="E107" s="99" t="s">
        <v>1264</v>
      </c>
    </row>
    <row r="108" spans="1:5" ht="52.8" x14ac:dyDescent="0.3">
      <c r="A108" s="13">
        <v>3079</v>
      </c>
      <c r="B108" s="13" t="s">
        <v>353</v>
      </c>
      <c r="C108" s="79" t="s">
        <v>221</v>
      </c>
      <c r="D108" s="99" t="s">
        <v>1265</v>
      </c>
      <c r="E108" s="99" t="s">
        <v>1266</v>
      </c>
    </row>
    <row r="109" spans="1:5" ht="52.8" x14ac:dyDescent="0.3">
      <c r="A109" s="13">
        <v>3078</v>
      </c>
      <c r="B109" s="13" t="s">
        <v>354</v>
      </c>
      <c r="C109" s="79" t="s">
        <v>220</v>
      </c>
      <c r="D109" s="99" t="s">
        <v>1267</v>
      </c>
      <c r="E109" s="99" t="s">
        <v>1268</v>
      </c>
    </row>
    <row r="110" spans="1:5" ht="52.8" x14ac:dyDescent="0.3">
      <c r="A110" s="13">
        <v>3077</v>
      </c>
      <c r="B110" s="13" t="s">
        <v>355</v>
      </c>
      <c r="C110" s="79" t="s">
        <v>219</v>
      </c>
      <c r="D110" s="99" t="s">
        <v>1269</v>
      </c>
      <c r="E110" s="99" t="s">
        <v>1270</v>
      </c>
    </row>
    <row r="111" spans="1:5" ht="52.8" x14ac:dyDescent="0.3">
      <c r="A111" s="13">
        <v>3076</v>
      </c>
      <c r="B111" s="13" t="s">
        <v>356</v>
      </c>
      <c r="C111" s="79" t="s">
        <v>218</v>
      </c>
      <c r="D111" s="99" t="s">
        <v>1271</v>
      </c>
      <c r="E111" s="99" t="s">
        <v>1272</v>
      </c>
    </row>
    <row r="112" spans="1:5" ht="52.8" x14ac:dyDescent="0.3">
      <c r="A112" s="13">
        <v>3098</v>
      </c>
      <c r="B112" s="13" t="s">
        <v>357</v>
      </c>
      <c r="C112" s="79" t="s">
        <v>217</v>
      </c>
      <c r="D112" s="99" t="s">
        <v>1273</v>
      </c>
      <c r="E112" s="99" t="s">
        <v>1274</v>
      </c>
    </row>
    <row r="113" spans="1:5" ht="52.8" x14ac:dyDescent="0.3">
      <c r="A113" s="13">
        <v>3081</v>
      </c>
      <c r="B113" s="13" t="s">
        <v>21</v>
      </c>
      <c r="C113" s="79" t="s">
        <v>216</v>
      </c>
      <c r="D113" s="99" t="s">
        <v>1275</v>
      </c>
      <c r="E113" s="99" t="s">
        <v>1276</v>
      </c>
    </row>
    <row r="114" spans="1:5" ht="52.8" x14ac:dyDescent="0.3">
      <c r="A114" s="13">
        <v>3083</v>
      </c>
      <c r="B114" s="13" t="s">
        <v>22</v>
      </c>
      <c r="C114" s="79" t="s">
        <v>215</v>
      </c>
      <c r="D114" s="99" t="s">
        <v>1277</v>
      </c>
      <c r="E114" s="99" t="s">
        <v>1278</v>
      </c>
    </row>
    <row r="115" spans="1:5" ht="52.8" x14ac:dyDescent="0.3">
      <c r="A115" s="13">
        <v>3106</v>
      </c>
      <c r="B115" s="13" t="s">
        <v>23</v>
      </c>
      <c r="C115" s="79" t="s">
        <v>214</v>
      </c>
      <c r="D115" s="99" t="s">
        <v>1279</v>
      </c>
      <c r="E115" s="99" t="s">
        <v>1280</v>
      </c>
    </row>
    <row r="116" spans="1:5" ht="52.8" x14ac:dyDescent="0.3">
      <c r="A116" s="13">
        <v>3105</v>
      </c>
      <c r="B116" s="13" t="s">
        <v>24</v>
      </c>
      <c r="C116" s="79" t="s">
        <v>213</v>
      </c>
      <c r="D116" s="99" t="s">
        <v>1281</v>
      </c>
      <c r="E116" s="99" t="s">
        <v>1282</v>
      </c>
    </row>
    <row r="117" spans="1:5" ht="52.8" x14ac:dyDescent="0.3">
      <c r="A117" s="13">
        <v>3104</v>
      </c>
      <c r="B117" s="13" t="s">
        <v>25</v>
      </c>
      <c r="C117" s="79" t="s">
        <v>212</v>
      </c>
      <c r="D117" s="99" t="s">
        <v>1283</v>
      </c>
      <c r="E117" s="99" t="s">
        <v>1284</v>
      </c>
    </row>
    <row r="118" spans="1:5" ht="52.8" x14ac:dyDescent="0.3">
      <c r="A118" s="13">
        <v>3103</v>
      </c>
      <c r="B118" s="13" t="s">
        <v>26</v>
      </c>
      <c r="C118" s="79" t="s">
        <v>211</v>
      </c>
      <c r="D118" s="99" t="s">
        <v>1285</v>
      </c>
      <c r="E118" s="99" t="s">
        <v>1286</v>
      </c>
    </row>
    <row r="119" spans="1:5" ht="52.8" x14ac:dyDescent="0.3">
      <c r="A119" s="13">
        <v>3102</v>
      </c>
      <c r="B119" s="13" t="s">
        <v>27</v>
      </c>
      <c r="C119" s="79" t="s">
        <v>210</v>
      </c>
      <c r="D119" s="99" t="s">
        <v>1287</v>
      </c>
      <c r="E119" s="99" t="s">
        <v>1288</v>
      </c>
    </row>
    <row r="120" spans="1:5" ht="52.8" x14ac:dyDescent="0.3">
      <c r="A120" s="13">
        <v>3202</v>
      </c>
      <c r="B120" s="13" t="s">
        <v>106</v>
      </c>
      <c r="C120" s="79" t="s">
        <v>209</v>
      </c>
      <c r="D120" s="99" t="s">
        <v>1289</v>
      </c>
      <c r="E120" s="99" t="s">
        <v>1290</v>
      </c>
    </row>
    <row r="121" spans="1:5" ht="52.8" x14ac:dyDescent="0.3">
      <c r="A121" s="13">
        <v>3185</v>
      </c>
      <c r="B121" s="13" t="s">
        <v>107</v>
      </c>
      <c r="C121" s="79" t="s">
        <v>208</v>
      </c>
      <c r="D121" s="99" t="s">
        <v>1291</v>
      </c>
      <c r="E121" s="99" t="s">
        <v>1292</v>
      </c>
    </row>
    <row r="122" spans="1:5" ht="39.6" x14ac:dyDescent="0.3">
      <c r="A122" s="13">
        <v>3187</v>
      </c>
      <c r="B122" s="13" t="s">
        <v>108</v>
      </c>
      <c r="C122" s="79" t="s">
        <v>207</v>
      </c>
      <c r="D122" s="99" t="s">
        <v>1293</v>
      </c>
      <c r="E122" s="99" t="s">
        <v>1294</v>
      </c>
    </row>
    <row r="123" spans="1:5" ht="79.2" x14ac:dyDescent="0.3">
      <c r="A123" s="13">
        <v>3207</v>
      </c>
      <c r="B123" s="13" t="s">
        <v>359</v>
      </c>
      <c r="C123" s="13" t="s">
        <v>43</v>
      </c>
      <c r="D123" s="99" t="s">
        <v>1295</v>
      </c>
      <c r="E123" s="99" t="s">
        <v>1296</v>
      </c>
    </row>
    <row r="124" spans="1:5" ht="79.2" x14ac:dyDescent="0.3">
      <c r="A124" s="13">
        <v>3206</v>
      </c>
      <c r="B124" s="13" t="s">
        <v>360</v>
      </c>
      <c r="C124" s="13" t="s">
        <v>44</v>
      </c>
      <c r="D124" s="99" t="s">
        <v>1297</v>
      </c>
      <c r="E124" s="99" t="s">
        <v>1298</v>
      </c>
    </row>
    <row r="125" spans="1:5" ht="52.8" x14ac:dyDescent="0.3">
      <c r="A125" s="13">
        <v>3205</v>
      </c>
      <c r="B125" s="13" t="s">
        <v>361</v>
      </c>
      <c r="C125" s="13" t="s">
        <v>45</v>
      </c>
      <c r="D125" s="99" t="s">
        <v>1299</v>
      </c>
      <c r="E125" s="99" t="s">
        <v>1300</v>
      </c>
    </row>
    <row r="126" spans="1:5" ht="52.8" x14ac:dyDescent="0.3">
      <c r="A126" s="13">
        <v>3195</v>
      </c>
      <c r="B126" s="13" t="s">
        <v>362</v>
      </c>
      <c r="C126" s="13" t="s">
        <v>46</v>
      </c>
      <c r="D126" s="99" t="s">
        <v>1301</v>
      </c>
      <c r="E126" s="99" t="s">
        <v>1302</v>
      </c>
    </row>
    <row r="127" spans="1:5" ht="79.2" x14ac:dyDescent="0.3">
      <c r="A127" s="13">
        <v>3203</v>
      </c>
      <c r="B127" s="13" t="s">
        <v>363</v>
      </c>
      <c r="C127" s="13" t="s">
        <v>47</v>
      </c>
      <c r="D127" s="99" t="s">
        <v>1303</v>
      </c>
      <c r="E127" s="99" t="s">
        <v>1304</v>
      </c>
    </row>
    <row r="128" spans="1:5" ht="52.8" x14ac:dyDescent="0.3">
      <c r="A128" s="13">
        <v>3201</v>
      </c>
      <c r="B128" s="13" t="s">
        <v>364</v>
      </c>
      <c r="C128" s="13" t="s">
        <v>48</v>
      </c>
      <c r="D128" s="99" t="s">
        <v>1305</v>
      </c>
      <c r="E128" s="99" t="s">
        <v>1306</v>
      </c>
    </row>
    <row r="129" spans="1:5" ht="52.8" x14ac:dyDescent="0.3">
      <c r="A129" s="13">
        <v>3200</v>
      </c>
      <c r="B129" s="13" t="s">
        <v>365</v>
      </c>
      <c r="C129" s="13" t="s">
        <v>49</v>
      </c>
      <c r="D129" s="99" t="s">
        <v>1307</v>
      </c>
      <c r="E129" s="99" t="s">
        <v>1308</v>
      </c>
    </row>
    <row r="130" spans="1:5" ht="92.4" x14ac:dyDescent="0.3">
      <c r="A130" s="13">
        <v>3199</v>
      </c>
      <c r="B130" s="13" t="s">
        <v>366</v>
      </c>
      <c r="C130" s="13" t="s">
        <v>50</v>
      </c>
      <c r="D130" s="99" t="s">
        <v>1309</v>
      </c>
      <c r="E130" s="99" t="s">
        <v>1310</v>
      </c>
    </row>
    <row r="131" spans="1:5" ht="79.2" x14ac:dyDescent="0.3">
      <c r="A131" s="13">
        <v>3198</v>
      </c>
      <c r="B131" s="13" t="s">
        <v>7</v>
      </c>
      <c r="C131" s="13" t="s">
        <v>41</v>
      </c>
      <c r="D131" s="99" t="s">
        <v>1311</v>
      </c>
      <c r="E131" s="99" t="s">
        <v>1312</v>
      </c>
    </row>
    <row r="132" spans="1:5" ht="92.4" x14ac:dyDescent="0.3">
      <c r="A132" s="13">
        <v>3196</v>
      </c>
      <c r="B132" s="13" t="s">
        <v>9</v>
      </c>
      <c r="C132" s="13" t="s">
        <v>112</v>
      </c>
      <c r="D132" s="99" t="s">
        <v>1313</v>
      </c>
      <c r="E132" s="99" t="s">
        <v>1314</v>
      </c>
    </row>
    <row r="133" spans="1:5" ht="66" x14ac:dyDescent="0.3">
      <c r="A133" s="13">
        <v>2779</v>
      </c>
      <c r="B133" s="13" t="s">
        <v>10</v>
      </c>
      <c r="C133" s="13" t="s">
        <v>113</v>
      </c>
      <c r="D133" s="99" t="s">
        <v>1315</v>
      </c>
      <c r="E133" s="99" t="s">
        <v>1316</v>
      </c>
    </row>
    <row r="134" spans="1:5" ht="66" x14ac:dyDescent="0.3">
      <c r="A134" s="13">
        <v>2788</v>
      </c>
      <c r="B134" s="13" t="s">
        <v>11</v>
      </c>
      <c r="C134" s="13" t="s">
        <v>114</v>
      </c>
      <c r="D134" s="99" t="s">
        <v>1317</v>
      </c>
      <c r="E134" s="99" t="s">
        <v>1318</v>
      </c>
    </row>
    <row r="135" spans="1:5" ht="52.8" x14ac:dyDescent="0.3">
      <c r="A135" s="13">
        <v>2798</v>
      </c>
      <c r="B135" s="13" t="s">
        <v>12</v>
      </c>
      <c r="C135" s="13" t="s">
        <v>115</v>
      </c>
      <c r="D135" s="99" t="s">
        <v>1319</v>
      </c>
      <c r="E135" s="99" t="s">
        <v>1320</v>
      </c>
    </row>
    <row r="136" spans="1:5" ht="66" x14ac:dyDescent="0.3">
      <c r="A136" s="13">
        <v>2786</v>
      </c>
      <c r="B136" s="13" t="s">
        <v>13</v>
      </c>
      <c r="C136" s="13" t="s">
        <v>116</v>
      </c>
      <c r="D136" s="99" t="s">
        <v>1321</v>
      </c>
      <c r="E136" s="99" t="s">
        <v>1322</v>
      </c>
    </row>
    <row r="137" spans="1:5" ht="52.8" x14ac:dyDescent="0.3">
      <c r="A137" s="13">
        <v>2785</v>
      </c>
      <c r="B137" s="13" t="s">
        <v>14</v>
      </c>
      <c r="C137" s="13" t="s">
        <v>117</v>
      </c>
      <c r="D137" s="99" t="s">
        <v>1323</v>
      </c>
      <c r="E137" s="99" t="s">
        <v>1324</v>
      </c>
    </row>
    <row r="138" spans="1:5" ht="66" x14ac:dyDescent="0.3">
      <c r="A138" s="13">
        <v>3171</v>
      </c>
      <c r="B138" s="13" t="s">
        <v>322</v>
      </c>
      <c r="C138" s="13" t="s">
        <v>412</v>
      </c>
      <c r="D138" s="96" t="s">
        <v>1325</v>
      </c>
      <c r="E138" s="96" t="s">
        <v>1326</v>
      </c>
    </row>
    <row r="139" spans="1:5" ht="52.8" x14ac:dyDescent="0.3">
      <c r="A139" s="79">
        <v>3172</v>
      </c>
      <c r="B139" s="13" t="s">
        <v>323</v>
      </c>
      <c r="C139" s="13" t="s">
        <v>133</v>
      </c>
      <c r="D139" s="99" t="s">
        <v>1327</v>
      </c>
      <c r="E139" s="99" t="s">
        <v>1328</v>
      </c>
    </row>
    <row r="140" spans="1:5" ht="66" x14ac:dyDescent="0.3">
      <c r="A140" s="79">
        <v>3173</v>
      </c>
      <c r="B140" s="13" t="s">
        <v>324</v>
      </c>
      <c r="C140" s="13" t="s">
        <v>134</v>
      </c>
      <c r="D140" s="99" t="s">
        <v>1329</v>
      </c>
      <c r="E140" s="99" t="s">
        <v>1330</v>
      </c>
    </row>
    <row r="141" spans="1:5" ht="52.8" x14ac:dyDescent="0.3">
      <c r="A141" s="79">
        <v>3174</v>
      </c>
      <c r="B141" s="13" t="s">
        <v>325</v>
      </c>
      <c r="C141" s="13" t="s">
        <v>135</v>
      </c>
      <c r="D141" s="99" t="s">
        <v>1101</v>
      </c>
      <c r="E141" s="99" t="s">
        <v>1102</v>
      </c>
    </row>
    <row r="142" spans="1:5" ht="52.8" x14ac:dyDescent="0.3">
      <c r="A142" s="79">
        <v>3175</v>
      </c>
      <c r="B142" s="13" t="s">
        <v>326</v>
      </c>
      <c r="C142" s="13" t="s">
        <v>136</v>
      </c>
      <c r="D142" s="99" t="s">
        <v>1331</v>
      </c>
      <c r="E142" s="99" t="s">
        <v>1332</v>
      </c>
    </row>
    <row r="143" spans="1:5" ht="66" x14ac:dyDescent="0.3">
      <c r="A143" s="79">
        <v>3152</v>
      </c>
      <c r="B143" s="13" t="s">
        <v>327</v>
      </c>
      <c r="C143" s="13" t="s">
        <v>137</v>
      </c>
      <c r="D143" s="99" t="s">
        <v>1333</v>
      </c>
      <c r="E143" s="99" t="s">
        <v>1334</v>
      </c>
    </row>
    <row r="144" spans="1:5" ht="66" x14ac:dyDescent="0.3">
      <c r="A144" s="79">
        <v>3169</v>
      </c>
      <c r="B144" s="13" t="s">
        <v>328</v>
      </c>
      <c r="C144" s="13" t="s">
        <v>138</v>
      </c>
      <c r="D144" s="99" t="s">
        <v>1335</v>
      </c>
      <c r="E144" s="99" t="s">
        <v>1336</v>
      </c>
    </row>
    <row r="145" spans="1:5" ht="52.8" x14ac:dyDescent="0.3">
      <c r="A145" s="79">
        <v>3145</v>
      </c>
      <c r="B145" s="13" t="s">
        <v>120</v>
      </c>
      <c r="C145" s="13" t="s">
        <v>275</v>
      </c>
      <c r="D145" s="95" t="s">
        <v>1337</v>
      </c>
      <c r="E145" s="95" t="s">
        <v>1338</v>
      </c>
    </row>
    <row r="146" spans="1:5" ht="52.8" x14ac:dyDescent="0.3">
      <c r="A146" s="79">
        <v>3147</v>
      </c>
      <c r="B146" s="13" t="s">
        <v>123</v>
      </c>
      <c r="C146" s="13" t="s">
        <v>124</v>
      </c>
      <c r="D146" s="95" t="s">
        <v>1339</v>
      </c>
      <c r="E146" s="95" t="s">
        <v>1340</v>
      </c>
    </row>
    <row r="147" spans="1:5" ht="52.8" x14ac:dyDescent="0.3">
      <c r="A147" s="79">
        <v>3148</v>
      </c>
      <c r="B147" s="13" t="s">
        <v>125</v>
      </c>
      <c r="C147" s="13" t="s">
        <v>126</v>
      </c>
      <c r="D147" s="95" t="s">
        <v>1341</v>
      </c>
      <c r="E147" s="95" t="s">
        <v>1342</v>
      </c>
    </row>
    <row r="148" spans="1:5" ht="39.6" x14ac:dyDescent="0.3">
      <c r="A148" s="79">
        <v>3149</v>
      </c>
      <c r="B148" s="13" t="s">
        <v>127</v>
      </c>
      <c r="C148" s="13" t="s">
        <v>128</v>
      </c>
      <c r="D148" s="95" t="s">
        <v>1343</v>
      </c>
      <c r="E148" s="95" t="s">
        <v>1344</v>
      </c>
    </row>
    <row r="149" spans="1:5" ht="52.8" x14ac:dyDescent="0.3">
      <c r="A149" s="79">
        <v>3159</v>
      </c>
      <c r="B149" s="13" t="s">
        <v>129</v>
      </c>
      <c r="C149" s="13" t="s">
        <v>130</v>
      </c>
      <c r="D149" s="95" t="s">
        <v>1345</v>
      </c>
      <c r="E149" s="95" t="s">
        <v>1346</v>
      </c>
    </row>
    <row r="150" spans="1:5" ht="52.8" x14ac:dyDescent="0.3">
      <c r="A150" s="79">
        <v>3151</v>
      </c>
      <c r="B150" s="13" t="s">
        <v>131</v>
      </c>
      <c r="C150" s="13" t="s">
        <v>132</v>
      </c>
      <c r="D150" s="95" t="s">
        <v>1347</v>
      </c>
      <c r="E150" s="95" t="s">
        <v>1348</v>
      </c>
    </row>
    <row r="151" spans="1:5" ht="52.8" x14ac:dyDescent="0.3">
      <c r="A151" s="79">
        <v>3143</v>
      </c>
      <c r="B151" s="13" t="s">
        <v>230</v>
      </c>
      <c r="C151" s="13" t="s">
        <v>232</v>
      </c>
      <c r="D151" s="95" t="s">
        <v>1349</v>
      </c>
      <c r="E151" s="95" t="s">
        <v>1350</v>
      </c>
    </row>
    <row r="152" spans="1:5" ht="66" x14ac:dyDescent="0.3">
      <c r="A152" s="79">
        <v>3153</v>
      </c>
      <c r="B152" s="13" t="s">
        <v>306</v>
      </c>
      <c r="C152" s="13" t="s">
        <v>378</v>
      </c>
      <c r="D152" s="99" t="s">
        <v>1351</v>
      </c>
      <c r="E152" s="99" t="s">
        <v>1352</v>
      </c>
    </row>
    <row r="153" spans="1:5" ht="79.2" x14ac:dyDescent="0.3">
      <c r="A153" s="79">
        <v>3154</v>
      </c>
      <c r="B153" s="13" t="s">
        <v>231</v>
      </c>
      <c r="C153" s="13" t="s">
        <v>233</v>
      </c>
      <c r="D153" s="95" t="s">
        <v>1353</v>
      </c>
      <c r="E153" s="95" t="s">
        <v>1346</v>
      </c>
    </row>
    <row r="154" spans="1:5" ht="52.8" x14ac:dyDescent="0.3">
      <c r="A154" s="79">
        <v>3155</v>
      </c>
      <c r="B154" s="13" t="s">
        <v>380</v>
      </c>
      <c r="C154" s="13" t="s">
        <v>384</v>
      </c>
      <c r="D154" s="99" t="s">
        <v>1354</v>
      </c>
      <c r="E154" s="99" t="s">
        <v>1355</v>
      </c>
    </row>
    <row r="155" spans="1:5" ht="52.8" x14ac:dyDescent="0.3">
      <c r="A155" s="79">
        <v>3156</v>
      </c>
      <c r="B155" s="13" t="s">
        <v>382</v>
      </c>
      <c r="C155" s="13" t="s">
        <v>385</v>
      </c>
      <c r="D155" s="99" t="s">
        <v>1356</v>
      </c>
      <c r="E155" s="99" t="s">
        <v>1357</v>
      </c>
    </row>
    <row r="156" spans="1:5" ht="79.2" x14ac:dyDescent="0.3">
      <c r="A156" s="79">
        <v>3157</v>
      </c>
      <c r="B156" s="13" t="s">
        <v>381</v>
      </c>
      <c r="C156" s="13" t="s">
        <v>386</v>
      </c>
      <c r="D156" s="99" t="s">
        <v>1358</v>
      </c>
      <c r="E156" s="99" t="s">
        <v>1359</v>
      </c>
    </row>
    <row r="157" spans="1:5" ht="66" x14ac:dyDescent="0.3">
      <c r="A157" s="79">
        <v>3179</v>
      </c>
      <c r="B157" s="13" t="s">
        <v>383</v>
      </c>
      <c r="C157" s="13" t="s">
        <v>387</v>
      </c>
      <c r="D157" s="99" t="s">
        <v>1360</v>
      </c>
      <c r="E157" s="99" t="s">
        <v>1361</v>
      </c>
    </row>
    <row r="158" spans="1:5" ht="66" x14ac:dyDescent="0.3">
      <c r="A158" s="79">
        <v>3150</v>
      </c>
      <c r="B158" s="11" t="s">
        <v>498</v>
      </c>
      <c r="C158" s="11" t="s">
        <v>573</v>
      </c>
      <c r="D158" s="97" t="s">
        <v>1362</v>
      </c>
      <c r="E158" s="97" t="s">
        <v>1363</v>
      </c>
    </row>
    <row r="159" spans="1:5" ht="39.6" x14ac:dyDescent="0.3">
      <c r="A159" s="79">
        <v>3176</v>
      </c>
      <c r="B159" s="11" t="s">
        <v>499</v>
      </c>
      <c r="C159" s="11" t="s">
        <v>500</v>
      </c>
      <c r="D159" s="97" t="s">
        <v>1364</v>
      </c>
      <c r="E159" s="97" t="s">
        <v>1365</v>
      </c>
    </row>
    <row r="160" spans="1:5" ht="39.6" x14ac:dyDescent="0.3">
      <c r="A160" s="79">
        <v>3180</v>
      </c>
      <c r="B160" s="11" t="s">
        <v>501</v>
      </c>
      <c r="C160" s="11" t="s">
        <v>502</v>
      </c>
      <c r="D160" s="95" t="s">
        <v>1366</v>
      </c>
      <c r="E160" s="95" t="s">
        <v>1367</v>
      </c>
    </row>
    <row r="161" spans="1:5" ht="39.6" x14ac:dyDescent="0.3">
      <c r="A161" s="79">
        <v>3181</v>
      </c>
      <c r="B161" s="11" t="s">
        <v>503</v>
      </c>
      <c r="C161" s="11" t="s">
        <v>504</v>
      </c>
      <c r="D161" s="97" t="s">
        <v>1368</v>
      </c>
      <c r="E161" s="97" t="s">
        <v>1369</v>
      </c>
    </row>
    <row r="162" spans="1:5" ht="52.8" x14ac:dyDescent="0.3">
      <c r="A162" s="79">
        <v>4459</v>
      </c>
      <c r="B162" s="53" t="s">
        <v>672</v>
      </c>
      <c r="C162" s="53" t="s">
        <v>673</v>
      </c>
      <c r="D162" s="101" t="s">
        <v>1370</v>
      </c>
      <c r="E162" s="101" t="s">
        <v>1371</v>
      </c>
    </row>
    <row r="163" spans="1:5" ht="52.8" x14ac:dyDescent="0.3">
      <c r="A163" s="79">
        <v>4460</v>
      </c>
      <c r="B163" s="53" t="s">
        <v>674</v>
      </c>
      <c r="C163" s="53" t="s">
        <v>675</v>
      </c>
      <c r="D163" s="101" t="s">
        <v>1372</v>
      </c>
      <c r="E163" s="101" t="s">
        <v>1373</v>
      </c>
    </row>
    <row r="164" spans="1:5" ht="52.8" x14ac:dyDescent="0.3">
      <c r="A164" s="79">
        <v>3182</v>
      </c>
      <c r="B164" s="13" t="s">
        <v>331</v>
      </c>
      <c r="C164" s="13" t="s">
        <v>141</v>
      </c>
      <c r="D164" s="99" t="s">
        <v>1374</v>
      </c>
      <c r="E164" s="99" t="s">
        <v>1375</v>
      </c>
    </row>
    <row r="165" spans="1:5" ht="52.8" x14ac:dyDescent="0.3">
      <c r="A165" s="79">
        <v>3183</v>
      </c>
      <c r="B165" s="13" t="s">
        <v>332</v>
      </c>
      <c r="C165" s="13" t="s">
        <v>161</v>
      </c>
      <c r="D165" s="99" t="s">
        <v>1376</v>
      </c>
      <c r="E165" s="99" t="s">
        <v>1377</v>
      </c>
    </row>
    <row r="166" spans="1:5" ht="52.8" x14ac:dyDescent="0.3">
      <c r="A166" s="79">
        <v>3184</v>
      </c>
      <c r="B166" s="13" t="s">
        <v>333</v>
      </c>
      <c r="C166" s="13" t="s">
        <v>169</v>
      </c>
      <c r="D166" s="99" t="s">
        <v>1378</v>
      </c>
      <c r="E166" s="99" t="s">
        <v>1379</v>
      </c>
    </row>
    <row r="167" spans="1:5" ht="52.8" x14ac:dyDescent="0.3">
      <c r="A167" s="79">
        <v>3194</v>
      </c>
      <c r="B167" s="13" t="s">
        <v>334</v>
      </c>
      <c r="C167" s="13" t="s">
        <v>170</v>
      </c>
      <c r="D167" s="99" t="s">
        <v>1380</v>
      </c>
      <c r="E167" s="99" t="s">
        <v>1381</v>
      </c>
    </row>
    <row r="168" spans="1:5" ht="52.8" x14ac:dyDescent="0.3">
      <c r="A168" s="79">
        <v>3186</v>
      </c>
      <c r="B168" s="13" t="s">
        <v>335</v>
      </c>
      <c r="C168" s="13" t="s">
        <v>171</v>
      </c>
      <c r="D168" s="99" t="s">
        <v>1382</v>
      </c>
      <c r="E168" s="99" t="s">
        <v>1383</v>
      </c>
    </row>
    <row r="169" spans="1:5" ht="52.8" x14ac:dyDescent="0.3">
      <c r="A169" s="79">
        <v>3178</v>
      </c>
      <c r="B169" s="13" t="s">
        <v>336</v>
      </c>
      <c r="C169" s="13" t="s">
        <v>172</v>
      </c>
      <c r="D169" s="99" t="s">
        <v>1384</v>
      </c>
      <c r="E169" s="99" t="s">
        <v>1385</v>
      </c>
    </row>
    <row r="170" spans="1:5" ht="52.8" x14ac:dyDescent="0.3">
      <c r="A170" s="79">
        <v>3188</v>
      </c>
      <c r="B170" s="13" t="s">
        <v>337</v>
      </c>
      <c r="C170" s="13" t="s">
        <v>173</v>
      </c>
      <c r="D170" s="99" t="s">
        <v>1386</v>
      </c>
      <c r="E170" s="99" t="s">
        <v>1387</v>
      </c>
    </row>
    <row r="171" spans="1:5" ht="52.8" x14ac:dyDescent="0.3">
      <c r="A171" s="79">
        <v>3189</v>
      </c>
      <c r="B171" s="13" t="s">
        <v>338</v>
      </c>
      <c r="C171" s="87" t="s">
        <v>174</v>
      </c>
      <c r="D171" s="99" t="s">
        <v>1388</v>
      </c>
      <c r="E171" s="99" t="s">
        <v>1389</v>
      </c>
    </row>
    <row r="172" spans="1:5" ht="52.8" x14ac:dyDescent="0.3">
      <c r="A172" s="79">
        <v>3190</v>
      </c>
      <c r="B172" s="13" t="s">
        <v>339</v>
      </c>
      <c r="C172" s="13" t="s">
        <v>175</v>
      </c>
      <c r="D172" s="99" t="s">
        <v>1390</v>
      </c>
      <c r="E172" s="99" t="s">
        <v>1391</v>
      </c>
    </row>
    <row r="173" spans="1:5" ht="52.8" x14ac:dyDescent="0.3">
      <c r="A173" s="79">
        <v>3191</v>
      </c>
      <c r="B173" s="13" t="s">
        <v>142</v>
      </c>
      <c r="C173" s="13" t="s">
        <v>143</v>
      </c>
      <c r="D173" s="99" t="s">
        <v>1392</v>
      </c>
      <c r="E173" s="99" t="s">
        <v>1393</v>
      </c>
    </row>
    <row r="174" spans="1:5" ht="52.8" x14ac:dyDescent="0.3">
      <c r="A174" s="79">
        <v>3192</v>
      </c>
      <c r="B174" s="13" t="s">
        <v>144</v>
      </c>
      <c r="C174" s="13" t="s">
        <v>145</v>
      </c>
      <c r="D174" s="99" t="s">
        <v>1394</v>
      </c>
      <c r="E174" s="99" t="s">
        <v>1395</v>
      </c>
    </row>
    <row r="175" spans="1:5" ht="52.8" x14ac:dyDescent="0.3">
      <c r="A175" s="79">
        <v>3193</v>
      </c>
      <c r="B175" s="13" t="s">
        <v>146</v>
      </c>
      <c r="C175" s="13" t="s">
        <v>147</v>
      </c>
      <c r="D175" s="99" t="s">
        <v>1396</v>
      </c>
      <c r="E175" s="99" t="s">
        <v>1397</v>
      </c>
    </row>
    <row r="176" spans="1:5" ht="52.8" x14ac:dyDescent="0.3">
      <c r="A176" s="79">
        <v>3126</v>
      </c>
      <c r="B176" s="13" t="s">
        <v>148</v>
      </c>
      <c r="C176" s="13" t="s">
        <v>149</v>
      </c>
      <c r="D176" s="99" t="s">
        <v>1398</v>
      </c>
      <c r="E176" s="99" t="s">
        <v>1399</v>
      </c>
    </row>
    <row r="177" spans="1:5" ht="52.8" x14ac:dyDescent="0.3">
      <c r="A177" s="79">
        <v>3075</v>
      </c>
      <c r="B177" s="13" t="s">
        <v>150</v>
      </c>
      <c r="C177" s="13" t="s">
        <v>151</v>
      </c>
      <c r="D177" s="99" t="s">
        <v>1400</v>
      </c>
      <c r="E177" s="99" t="s">
        <v>1401</v>
      </c>
    </row>
    <row r="178" spans="1:5" ht="92.4" x14ac:dyDescent="0.3">
      <c r="A178" s="79">
        <v>3158</v>
      </c>
      <c r="B178" s="13" t="s">
        <v>152</v>
      </c>
      <c r="C178" s="13" t="s">
        <v>792</v>
      </c>
      <c r="D178" s="99" t="s">
        <v>1402</v>
      </c>
      <c r="E178" s="99" t="s">
        <v>1403</v>
      </c>
    </row>
    <row r="179" spans="1:5" ht="52.8" x14ac:dyDescent="0.3">
      <c r="A179" s="79">
        <v>3093</v>
      </c>
      <c r="B179" s="13" t="s">
        <v>153</v>
      </c>
      <c r="C179" s="13" t="s">
        <v>154</v>
      </c>
      <c r="D179" s="99" t="s">
        <v>1404</v>
      </c>
      <c r="E179" s="99" t="s">
        <v>1405</v>
      </c>
    </row>
    <row r="180" spans="1:5" ht="66" x14ac:dyDescent="0.3">
      <c r="A180" s="79">
        <v>3094</v>
      </c>
      <c r="B180" s="13" t="s">
        <v>155</v>
      </c>
      <c r="C180" s="13" t="s">
        <v>156</v>
      </c>
      <c r="D180" s="99" t="s">
        <v>1406</v>
      </c>
      <c r="E180" s="99" t="s">
        <v>1407</v>
      </c>
    </row>
    <row r="181" spans="1:5" ht="52.8" x14ac:dyDescent="0.3">
      <c r="A181" s="79">
        <v>3095</v>
      </c>
      <c r="B181" s="13" t="s">
        <v>157</v>
      </c>
      <c r="C181" s="13" t="s">
        <v>158</v>
      </c>
      <c r="D181" s="99" t="s">
        <v>1408</v>
      </c>
      <c r="E181" s="99" t="s">
        <v>1409</v>
      </c>
    </row>
    <row r="182" spans="1:5" ht="52.8" x14ac:dyDescent="0.3">
      <c r="A182" s="79">
        <v>3092</v>
      </c>
      <c r="B182" s="13" t="s">
        <v>159</v>
      </c>
      <c r="C182" s="13" t="s">
        <v>160</v>
      </c>
      <c r="D182" s="99" t="s">
        <v>1410</v>
      </c>
      <c r="E182" s="99" t="s">
        <v>1411</v>
      </c>
    </row>
    <row r="183" spans="1:5" ht="52.8" x14ac:dyDescent="0.3">
      <c r="A183" s="79">
        <v>3097</v>
      </c>
      <c r="B183" s="13" t="s">
        <v>162</v>
      </c>
      <c r="C183" s="13" t="s">
        <v>163</v>
      </c>
      <c r="D183" s="99" t="s">
        <v>1412</v>
      </c>
      <c r="E183" s="99" t="s">
        <v>1413</v>
      </c>
    </row>
    <row r="184" spans="1:5" ht="52.8" x14ac:dyDescent="0.3">
      <c r="A184" s="79">
        <v>3091</v>
      </c>
      <c r="B184" s="13" t="s">
        <v>167</v>
      </c>
      <c r="C184" s="13" t="s">
        <v>168</v>
      </c>
      <c r="D184" s="99" t="s">
        <v>1414</v>
      </c>
      <c r="E184" s="99" t="s">
        <v>1415</v>
      </c>
    </row>
    <row r="185" spans="1:5" ht="52.8" x14ac:dyDescent="0.3">
      <c r="A185" s="79">
        <v>3123</v>
      </c>
      <c r="B185" s="13" t="s">
        <v>259</v>
      </c>
      <c r="C185" s="13" t="s">
        <v>414</v>
      </c>
      <c r="D185" s="99" t="s">
        <v>1416</v>
      </c>
      <c r="E185" s="99" t="s">
        <v>1417</v>
      </c>
    </row>
    <row r="186" spans="1:5" ht="52.8" x14ac:dyDescent="0.3">
      <c r="A186" s="79">
        <v>3120</v>
      </c>
      <c r="B186" s="13" t="s">
        <v>262</v>
      </c>
      <c r="C186" s="13" t="s">
        <v>269</v>
      </c>
      <c r="D186" s="99" t="s">
        <v>1418</v>
      </c>
      <c r="E186" s="99" t="s">
        <v>1419</v>
      </c>
    </row>
    <row r="187" spans="1:5" ht="52.8" x14ac:dyDescent="0.3">
      <c r="A187" s="79">
        <v>3119</v>
      </c>
      <c r="B187" s="13" t="s">
        <v>263</v>
      </c>
      <c r="C187" s="13" t="s">
        <v>270</v>
      </c>
      <c r="D187" s="99" t="s">
        <v>1420</v>
      </c>
      <c r="E187" s="99" t="s">
        <v>1421</v>
      </c>
    </row>
    <row r="188" spans="1:5" ht="52.8" x14ac:dyDescent="0.3">
      <c r="A188" s="79">
        <v>3118</v>
      </c>
      <c r="B188" s="13" t="s">
        <v>264</v>
      </c>
      <c r="C188" s="13" t="s">
        <v>271</v>
      </c>
      <c r="D188" s="99" t="s">
        <v>1422</v>
      </c>
      <c r="E188" s="99" t="s">
        <v>1423</v>
      </c>
    </row>
    <row r="189" spans="1:5" ht="52.8" x14ac:dyDescent="0.3">
      <c r="A189" s="79">
        <v>3116</v>
      </c>
      <c r="B189" s="13" t="s">
        <v>307</v>
      </c>
      <c r="C189" s="13" t="s">
        <v>415</v>
      </c>
      <c r="D189" s="99" t="s">
        <v>1424</v>
      </c>
      <c r="E189" s="99" t="s">
        <v>1425</v>
      </c>
    </row>
    <row r="190" spans="1:5" ht="66" x14ac:dyDescent="0.3">
      <c r="A190" s="79">
        <v>4462</v>
      </c>
      <c r="B190" s="53" t="s">
        <v>688</v>
      </c>
      <c r="C190" s="53" t="s">
        <v>689</v>
      </c>
      <c r="D190" s="99" t="s">
        <v>1426</v>
      </c>
      <c r="E190" s="99" t="s">
        <v>1427</v>
      </c>
    </row>
    <row r="191" spans="1:5" ht="52.8" x14ac:dyDescent="0.3">
      <c r="A191" s="13">
        <v>2782</v>
      </c>
      <c r="B191" s="13" t="s">
        <v>367</v>
      </c>
      <c r="C191" s="13" t="s">
        <v>420</v>
      </c>
      <c r="D191" s="99" t="s">
        <v>1428</v>
      </c>
      <c r="E191" s="99" t="s">
        <v>1429</v>
      </c>
    </row>
    <row r="192" spans="1:5" ht="52.8" x14ac:dyDescent="0.3">
      <c r="A192" s="13">
        <v>2781</v>
      </c>
      <c r="B192" s="13" t="s">
        <v>368</v>
      </c>
      <c r="C192" s="79" t="s">
        <v>177</v>
      </c>
      <c r="D192" s="99" t="s">
        <v>1428</v>
      </c>
      <c r="E192" s="99" t="s">
        <v>1429</v>
      </c>
    </row>
    <row r="193" spans="1:5" ht="39.6" x14ac:dyDescent="0.3">
      <c r="A193" s="13">
        <v>3068</v>
      </c>
      <c r="B193" s="16" t="s">
        <v>513</v>
      </c>
      <c r="C193" s="16" t="s">
        <v>796</v>
      </c>
      <c r="D193" s="99" t="s">
        <v>1485</v>
      </c>
      <c r="E193" s="99" t="s">
        <v>1486</v>
      </c>
    </row>
    <row r="194" spans="1:5" ht="66" x14ac:dyDescent="0.3">
      <c r="A194" s="13">
        <v>3124</v>
      </c>
      <c r="B194" s="13" t="s">
        <v>340</v>
      </c>
      <c r="C194" s="13" t="s">
        <v>52</v>
      </c>
      <c r="D194" s="99" t="s">
        <v>1430</v>
      </c>
      <c r="E194" s="99" t="s">
        <v>1431</v>
      </c>
    </row>
    <row r="195" spans="1:5" ht="66" x14ac:dyDescent="0.3">
      <c r="A195" s="13">
        <v>3114</v>
      </c>
      <c r="B195" s="13" t="s">
        <v>341</v>
      </c>
      <c r="C195" s="13" t="s">
        <v>53</v>
      </c>
      <c r="D195" s="99" t="s">
        <v>1432</v>
      </c>
      <c r="E195" s="99" t="s">
        <v>1433</v>
      </c>
    </row>
    <row r="196" spans="1:5" ht="52.8" x14ac:dyDescent="0.3">
      <c r="A196" s="13">
        <v>3113</v>
      </c>
      <c r="B196" s="13" t="s">
        <v>342</v>
      </c>
      <c r="C196" s="13" t="s">
        <v>54</v>
      </c>
      <c r="D196" s="99" t="s">
        <v>1434</v>
      </c>
      <c r="E196" s="99" t="s">
        <v>1435</v>
      </c>
    </row>
    <row r="197" spans="1:5" ht="79.2" x14ac:dyDescent="0.3">
      <c r="A197" s="13">
        <v>3112</v>
      </c>
      <c r="B197" s="13" t="s">
        <v>343</v>
      </c>
      <c r="C197" s="13" t="s">
        <v>55</v>
      </c>
      <c r="D197" s="99" t="s">
        <v>1436</v>
      </c>
      <c r="E197" s="99" t="s">
        <v>1437</v>
      </c>
    </row>
    <row r="198" spans="1:5" ht="79.2" x14ac:dyDescent="0.3">
      <c r="A198" s="13">
        <v>3111</v>
      </c>
      <c r="B198" s="13" t="s">
        <v>344</v>
      </c>
      <c r="C198" s="13" t="s">
        <v>55</v>
      </c>
      <c r="D198" s="99" t="s">
        <v>1436</v>
      </c>
      <c r="E198" s="99" t="s">
        <v>1437</v>
      </c>
    </row>
    <row r="199" spans="1:5" ht="52.8" x14ac:dyDescent="0.3">
      <c r="A199" s="13">
        <v>3110</v>
      </c>
      <c r="B199" s="13" t="s">
        <v>345</v>
      </c>
      <c r="C199" s="13" t="s">
        <v>56</v>
      </c>
      <c r="D199" s="99" t="s">
        <v>1438</v>
      </c>
      <c r="E199" s="99" t="s">
        <v>1439</v>
      </c>
    </row>
    <row r="200" spans="1:5" ht="66" x14ac:dyDescent="0.3">
      <c r="A200" s="13">
        <v>3140</v>
      </c>
      <c r="B200" s="13" t="s">
        <v>234</v>
      </c>
      <c r="C200" s="13" t="s">
        <v>244</v>
      </c>
      <c r="D200" s="99" t="s">
        <v>1440</v>
      </c>
      <c r="E200" s="99" t="s">
        <v>1441</v>
      </c>
    </row>
    <row r="201" spans="1:5" ht="79.2" x14ac:dyDescent="0.3">
      <c r="A201" s="13">
        <v>3139</v>
      </c>
      <c r="B201" s="13" t="s">
        <v>235</v>
      </c>
      <c r="C201" s="13" t="s">
        <v>245</v>
      </c>
      <c r="D201" s="99" t="s">
        <v>1440</v>
      </c>
      <c r="E201" s="99" t="s">
        <v>1441</v>
      </c>
    </row>
    <row r="202" spans="1:5" ht="52.8" x14ac:dyDescent="0.3">
      <c r="A202" s="13">
        <v>3138</v>
      </c>
      <c r="B202" s="13" t="s">
        <v>236</v>
      </c>
      <c r="C202" s="13" t="s">
        <v>246</v>
      </c>
      <c r="D202" s="99" t="s">
        <v>1442</v>
      </c>
      <c r="E202" s="99" t="s">
        <v>1443</v>
      </c>
    </row>
    <row r="203" spans="1:5" ht="66" x14ac:dyDescent="0.3">
      <c r="A203" s="13">
        <v>3137</v>
      </c>
      <c r="B203" s="13" t="s">
        <v>237</v>
      </c>
      <c r="C203" s="13" t="s">
        <v>416</v>
      </c>
      <c r="D203" s="99" t="s">
        <v>1444</v>
      </c>
      <c r="E203" s="99" t="s">
        <v>1445</v>
      </c>
    </row>
    <row r="204" spans="1:5" ht="66" x14ac:dyDescent="0.3">
      <c r="A204" s="13">
        <v>3136</v>
      </c>
      <c r="B204" s="13" t="s">
        <v>238</v>
      </c>
      <c r="C204" s="13" t="s">
        <v>417</v>
      </c>
      <c r="D204" s="99" t="s">
        <v>1446</v>
      </c>
      <c r="E204" s="99" t="s">
        <v>1447</v>
      </c>
    </row>
    <row r="205" spans="1:5" ht="52.8" x14ac:dyDescent="0.3">
      <c r="A205" s="13">
        <v>3135</v>
      </c>
      <c r="B205" s="13" t="s">
        <v>239</v>
      </c>
      <c r="C205" s="13" t="s">
        <v>247</v>
      </c>
      <c r="D205" s="103" t="s">
        <v>1448</v>
      </c>
      <c r="E205" s="103" t="s">
        <v>1449</v>
      </c>
    </row>
    <row r="206" spans="1:5" ht="66" x14ac:dyDescent="0.3">
      <c r="A206" s="13">
        <v>3125</v>
      </c>
      <c r="B206" s="13" t="s">
        <v>240</v>
      </c>
      <c r="C206" s="13" t="s">
        <v>287</v>
      </c>
      <c r="D206" s="99" t="s">
        <v>1227</v>
      </c>
      <c r="E206" s="99" t="s">
        <v>1228</v>
      </c>
    </row>
    <row r="207" spans="1:5" ht="79.2" x14ac:dyDescent="0.3">
      <c r="A207" s="13">
        <v>3133</v>
      </c>
      <c r="B207" s="13" t="s">
        <v>241</v>
      </c>
      <c r="C207" s="13" t="s">
        <v>288</v>
      </c>
      <c r="D207" s="99" t="s">
        <v>1450</v>
      </c>
      <c r="E207" s="99" t="s">
        <v>1451</v>
      </c>
    </row>
    <row r="208" spans="1:5" ht="79.2" x14ac:dyDescent="0.3">
      <c r="A208" s="13">
        <v>3142</v>
      </c>
      <c r="B208" s="13" t="s">
        <v>242</v>
      </c>
      <c r="C208" s="13" t="s">
        <v>418</v>
      </c>
      <c r="D208" s="99" t="s">
        <v>1452</v>
      </c>
      <c r="E208" s="99" t="s">
        <v>1453</v>
      </c>
    </row>
    <row r="209" spans="1:5" ht="79.2" x14ac:dyDescent="0.3">
      <c r="A209" s="13">
        <v>3131</v>
      </c>
      <c r="B209" s="13" t="s">
        <v>243</v>
      </c>
      <c r="C209" s="13" t="s">
        <v>289</v>
      </c>
      <c r="D209" s="99" t="s">
        <v>1454</v>
      </c>
      <c r="E209" s="99" t="s">
        <v>1455</v>
      </c>
    </row>
    <row r="210" spans="1:5" ht="66" x14ac:dyDescent="0.3">
      <c r="A210" s="13">
        <v>3130</v>
      </c>
      <c r="B210" s="13" t="s">
        <v>250</v>
      </c>
      <c r="C210" s="13" t="s">
        <v>290</v>
      </c>
      <c r="D210" s="99" t="s">
        <v>1456</v>
      </c>
      <c r="E210" s="99" t="s">
        <v>1457</v>
      </c>
    </row>
    <row r="211" spans="1:5" ht="79.2" x14ac:dyDescent="0.3">
      <c r="A211" s="13">
        <v>3129</v>
      </c>
      <c r="B211" s="13" t="s">
        <v>251</v>
      </c>
      <c r="C211" s="13" t="s">
        <v>291</v>
      </c>
      <c r="D211" s="99" t="s">
        <v>1458</v>
      </c>
      <c r="E211" s="99" t="s">
        <v>1459</v>
      </c>
    </row>
    <row r="212" spans="1:5" ht="92.4" x14ac:dyDescent="0.3">
      <c r="A212" s="13">
        <v>3128</v>
      </c>
      <c r="B212" s="13" t="s">
        <v>277</v>
      </c>
      <c r="C212" s="13" t="s">
        <v>419</v>
      </c>
      <c r="D212" s="99" t="s">
        <v>1460</v>
      </c>
      <c r="E212" s="99" t="s">
        <v>1461</v>
      </c>
    </row>
    <row r="213" spans="1:5" ht="105.6" x14ac:dyDescent="0.3">
      <c r="A213" s="13">
        <v>3127</v>
      </c>
      <c r="B213" s="13" t="s">
        <v>278</v>
      </c>
      <c r="C213" s="76" t="s">
        <v>761</v>
      </c>
      <c r="D213" s="99" t="s">
        <v>1462</v>
      </c>
      <c r="E213" s="99" t="s">
        <v>1463</v>
      </c>
    </row>
    <row r="214" spans="1:5" ht="66" x14ac:dyDescent="0.3">
      <c r="A214" s="13">
        <v>3100</v>
      </c>
      <c r="B214" s="13" t="s">
        <v>279</v>
      </c>
      <c r="C214" s="13" t="s">
        <v>292</v>
      </c>
      <c r="D214" s="99" t="s">
        <v>1464</v>
      </c>
      <c r="E214" s="99" t="s">
        <v>1465</v>
      </c>
    </row>
    <row r="215" spans="1:5" ht="66" x14ac:dyDescent="0.3">
      <c r="A215" s="13">
        <v>3141</v>
      </c>
      <c r="B215" s="13" t="s">
        <v>280</v>
      </c>
      <c r="C215" s="13" t="s">
        <v>293</v>
      </c>
      <c r="D215" s="99" t="s">
        <v>1466</v>
      </c>
      <c r="E215" s="99" t="s">
        <v>1467</v>
      </c>
    </row>
    <row r="216" spans="1:5" ht="79.2" x14ac:dyDescent="0.3">
      <c r="A216" s="13">
        <v>3115</v>
      </c>
      <c r="B216" s="13" t="s">
        <v>281</v>
      </c>
      <c r="C216" s="13" t="s">
        <v>294</v>
      </c>
      <c r="D216" s="99" t="s">
        <v>1468</v>
      </c>
      <c r="E216" s="99" t="s">
        <v>1469</v>
      </c>
    </row>
    <row r="217" spans="1:5" ht="66" x14ac:dyDescent="0.3">
      <c r="A217" s="13">
        <v>3089</v>
      </c>
      <c r="B217" s="13" t="s">
        <v>282</v>
      </c>
      <c r="C217" s="13" t="s">
        <v>295</v>
      </c>
      <c r="D217" s="99" t="s">
        <v>1470</v>
      </c>
      <c r="E217" s="99" t="s">
        <v>1471</v>
      </c>
    </row>
    <row r="218" spans="1:5" ht="66" x14ac:dyDescent="0.3">
      <c r="A218" s="13">
        <v>3088</v>
      </c>
      <c r="B218" s="13" t="s">
        <v>283</v>
      </c>
      <c r="C218" s="13" t="s">
        <v>296</v>
      </c>
      <c r="D218" s="99" t="s">
        <v>1472</v>
      </c>
      <c r="E218" s="99" t="s">
        <v>1473</v>
      </c>
    </row>
    <row r="219" spans="1:5" ht="79.2" x14ac:dyDescent="0.3">
      <c r="A219" s="13">
        <v>3087</v>
      </c>
      <c r="B219" s="13" t="s">
        <v>284</v>
      </c>
      <c r="C219" s="13" t="s">
        <v>297</v>
      </c>
      <c r="D219" s="99" t="s">
        <v>1474</v>
      </c>
      <c r="E219" s="99" t="s">
        <v>1475</v>
      </c>
    </row>
    <row r="220" spans="1:5" ht="79.2" x14ac:dyDescent="0.3">
      <c r="A220" s="13">
        <v>3086</v>
      </c>
      <c r="B220" s="13" t="s">
        <v>285</v>
      </c>
      <c r="C220" s="13" t="s">
        <v>298</v>
      </c>
      <c r="D220" s="99" t="s">
        <v>1476</v>
      </c>
      <c r="E220" s="99" t="s">
        <v>1477</v>
      </c>
    </row>
    <row r="221" spans="1:5" ht="66" x14ac:dyDescent="0.3">
      <c r="A221" s="13">
        <v>3085</v>
      </c>
      <c r="B221" s="13" t="s">
        <v>286</v>
      </c>
      <c r="C221" s="13" t="s">
        <v>299</v>
      </c>
      <c r="D221" s="99" t="s">
        <v>1478</v>
      </c>
      <c r="E221" s="99" t="s">
        <v>1479</v>
      </c>
    </row>
    <row r="222" spans="1:5" ht="92.4" x14ac:dyDescent="0.3">
      <c r="A222" s="13">
        <v>3084</v>
      </c>
      <c r="B222" s="16" t="s">
        <v>510</v>
      </c>
      <c r="C222" s="16" t="s">
        <v>511</v>
      </c>
      <c r="D222" s="99" t="s">
        <v>1480</v>
      </c>
      <c r="E222" s="99" t="s">
        <v>1481</v>
      </c>
    </row>
    <row r="223" spans="1:5" ht="57.6" x14ac:dyDescent="0.3">
      <c r="A223" s="92">
        <v>5371</v>
      </c>
      <c r="B223" s="77" t="s">
        <v>768</v>
      </c>
      <c r="C223" s="78" t="s">
        <v>763</v>
      </c>
      <c r="D223" s="102" t="s">
        <v>1482</v>
      </c>
      <c r="E223" s="102" t="s">
        <v>1483</v>
      </c>
    </row>
    <row r="224" spans="1:5" ht="86.4" x14ac:dyDescent="0.3">
      <c r="A224" s="92">
        <v>5372</v>
      </c>
      <c r="B224" s="77" t="s">
        <v>769</v>
      </c>
      <c r="C224" s="78" t="s">
        <v>766</v>
      </c>
      <c r="D224" s="102" t="s">
        <v>1482</v>
      </c>
      <c r="E224" s="102" t="s">
        <v>1483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A31"/>
  <sheetViews>
    <sheetView zoomScaleNormal="100" workbookViewId="0">
      <selection activeCell="A43" sqref="A43"/>
    </sheetView>
  </sheetViews>
  <sheetFormatPr defaultColWidth="9.109375" defaultRowHeight="13.2" x14ac:dyDescent="0.3"/>
  <cols>
    <col min="1" max="1" width="20" style="1" bestFit="1" customWidth="1"/>
    <col min="2" max="2" width="23.33203125" style="1" bestFit="1" customWidth="1"/>
    <col min="3" max="3" width="23.109375" style="1" bestFit="1" customWidth="1"/>
    <col min="4" max="4" width="10.109375" style="1" customWidth="1"/>
    <col min="5" max="5" width="10" style="1" bestFit="1" customWidth="1"/>
    <col min="6" max="6" width="21.5546875" style="1" customWidth="1"/>
    <col min="7" max="8" width="23.109375" style="1" bestFit="1" customWidth="1"/>
    <col min="9" max="9" width="11.44140625" style="1" bestFit="1" customWidth="1"/>
    <col min="10" max="10" width="12" style="1" customWidth="1"/>
    <col min="11" max="11" width="10.5546875" style="1" customWidth="1"/>
    <col min="12" max="12" width="10.88671875" style="1" customWidth="1"/>
    <col min="13" max="13" width="23.33203125" style="1" bestFit="1" customWidth="1"/>
    <col min="14" max="14" width="7.5546875" style="1" bestFit="1" customWidth="1"/>
    <col min="15" max="15" width="10.88671875" style="1" customWidth="1"/>
    <col min="16" max="16" width="11.109375" style="1" customWidth="1"/>
    <col min="17" max="17" width="20" style="1" bestFit="1" customWidth="1"/>
    <col min="18" max="18" width="12.33203125" style="6" customWidth="1"/>
    <col min="19" max="19" width="23.109375" style="6" bestFit="1" customWidth="1"/>
    <col min="20" max="20" width="5.6640625" style="6" bestFit="1" customWidth="1"/>
    <col min="21" max="21" width="9.88671875" style="6" customWidth="1"/>
    <col min="22" max="22" width="11.44140625" style="6" customWidth="1"/>
    <col min="23" max="23" width="10.88671875" style="6" customWidth="1"/>
    <col min="24" max="24" width="15.109375" style="6" bestFit="1" customWidth="1"/>
    <col min="25" max="25" width="15.109375" style="6" customWidth="1"/>
    <col min="26" max="26" width="14.33203125" style="1" customWidth="1"/>
    <col min="27" max="27" width="14.6640625" style="7" customWidth="1"/>
    <col min="28" max="16384" width="9.109375" style="1"/>
  </cols>
  <sheetData>
    <row r="1" spans="1:27" x14ac:dyDescent="0.25">
      <c r="A1" s="39" t="s">
        <v>625</v>
      </c>
      <c r="B1" s="31"/>
      <c r="C1" s="31"/>
      <c r="D1" s="31"/>
      <c r="E1" s="31"/>
      <c r="F1" s="31"/>
      <c r="G1" s="31"/>
      <c r="H1" s="31"/>
      <c r="I1" s="31"/>
      <c r="J1" s="31"/>
      <c r="K1" s="31"/>
      <c r="L1" s="31"/>
      <c r="M1" s="31"/>
      <c r="N1" s="31"/>
      <c r="O1" s="31"/>
      <c r="P1" s="31"/>
      <c r="Q1" s="31"/>
      <c r="R1" s="32"/>
      <c r="S1" s="32"/>
      <c r="T1" s="32"/>
      <c r="U1" s="32"/>
      <c r="V1" s="32"/>
      <c r="W1" s="32"/>
    </row>
    <row r="3" spans="1:27" x14ac:dyDescent="0.25">
      <c r="A3" s="34" t="s">
        <v>720</v>
      </c>
      <c r="B3" s="51" t="s">
        <v>3</v>
      </c>
      <c r="C3" s="6"/>
      <c r="D3" s="6"/>
      <c r="E3" s="6"/>
      <c r="F3" s="6"/>
      <c r="G3" s="6"/>
      <c r="H3" s="6"/>
      <c r="I3" s="6"/>
      <c r="K3" s="7"/>
    </row>
    <row r="4" spans="1:27" x14ac:dyDescent="0.3">
      <c r="B4" s="6"/>
      <c r="C4" s="6"/>
      <c r="D4" s="6"/>
      <c r="E4" s="6"/>
      <c r="F4" s="6"/>
      <c r="G4" s="6"/>
      <c r="H4" s="6"/>
      <c r="I4" s="6"/>
      <c r="K4" s="7"/>
    </row>
    <row r="5" spans="1:27" ht="66" x14ac:dyDescent="0.25">
      <c r="A5" s="35" t="s">
        <v>179</v>
      </c>
      <c r="B5" s="51" t="s">
        <v>756</v>
      </c>
      <c r="C5" s="51" t="s">
        <v>757</v>
      </c>
      <c r="D5" s="45" t="s">
        <v>616</v>
      </c>
      <c r="E5" s="45" t="s">
        <v>617</v>
      </c>
      <c r="F5" s="45" t="s">
        <v>618</v>
      </c>
      <c r="G5" s="45" t="s">
        <v>401</v>
      </c>
      <c r="H5" s="36" t="s">
        <v>579</v>
      </c>
      <c r="I5" s="2" t="s">
        <v>622</v>
      </c>
      <c r="J5" s="46" t="s">
        <v>619</v>
      </c>
      <c r="K5" s="46" t="s">
        <v>620</v>
      </c>
      <c r="L5" s="46" t="s">
        <v>621</v>
      </c>
      <c r="M5" s="47" t="s">
        <v>580</v>
      </c>
      <c r="N5" s="47" t="s">
        <v>581</v>
      </c>
      <c r="O5" s="49" t="s">
        <v>623</v>
      </c>
    </row>
    <row r="6" spans="1:27" x14ac:dyDescent="0.25">
      <c r="A6" s="44" t="s">
        <v>402</v>
      </c>
      <c r="B6" s="41">
        <v>32796.910000000003</v>
      </c>
      <c r="C6" s="41">
        <v>10820.179999999998</v>
      </c>
      <c r="D6" s="42">
        <f>SUM(D7:D14)</f>
        <v>14802.15</v>
      </c>
      <c r="E6" s="42">
        <f>SUM(E7:E14)</f>
        <v>-8465.76</v>
      </c>
      <c r="F6" s="43">
        <f>GETPIVOTDATA("Sum of TNReduction(lbs/yr)",$A$5,"Location","A Total")/D6</f>
        <v>2.2156855591924147</v>
      </c>
      <c r="G6" s="42">
        <f>SUM(G7:G14)</f>
        <v>98681</v>
      </c>
      <c r="H6" s="42">
        <f>SUM(H7:H14)</f>
        <v>75335.09</v>
      </c>
      <c r="I6" s="43">
        <f>GETPIVOTDATA("Sum of TNReduction(lbs/yr)",$A$5,"Location","A Total")/G6</f>
        <v>0.33235283387886222</v>
      </c>
      <c r="J6" s="42">
        <f>SUM(J7:J14)</f>
        <v>2900.43</v>
      </c>
      <c r="K6" s="42">
        <f>SUM(K7:K14)</f>
        <v>-2043.9750000000001</v>
      </c>
      <c r="L6" s="43">
        <f>GETPIVOTDATA("Sum of TPReduction(lbs/yr)",$A$5,"Location","A Total")/J6</f>
        <v>3.7305434021851931</v>
      </c>
      <c r="M6" s="42">
        <f>SUM(M7:M14)</f>
        <v>19336.200000000004</v>
      </c>
      <c r="N6" s="42">
        <f>SUM(N7:N14)</f>
        <v>6188.6999999999989</v>
      </c>
      <c r="O6" s="43">
        <f>GETPIVOTDATA("Sum of TPReduction(lbs/yr)",$A$5,"Location","A Total")/M6</f>
        <v>0.55958151032777881</v>
      </c>
      <c r="Q6" s="6"/>
      <c r="W6" s="1"/>
      <c r="X6" s="7"/>
      <c r="Y6" s="1"/>
      <c r="AA6" s="1"/>
    </row>
    <row r="7" spans="1:27" x14ac:dyDescent="0.25">
      <c r="A7" s="75" t="s">
        <v>0</v>
      </c>
      <c r="B7" s="30">
        <v>6813</v>
      </c>
      <c r="C7" s="30">
        <v>1946.2</v>
      </c>
      <c r="D7" s="5">
        <f>G7*0.15</f>
        <v>2179.9499999999998</v>
      </c>
      <c r="E7" s="5">
        <f>D7-GETPIVOTDATA("Sum of TNReduction(lbs/yr)",$A$5,"LeadEntity","Brevard County","Location","A Total")</f>
        <v>-4633.05</v>
      </c>
      <c r="F7" s="48">
        <f>(D7-E7)/D7</f>
        <v>3.1253010390146567</v>
      </c>
      <c r="G7" s="5">
        <v>14533</v>
      </c>
      <c r="H7" s="5">
        <f>G7-GETPIVOTDATA("Sum of TNReduction(lbs/yr)",$A$5,"LeadEntity","Brevard County","Location","A Total")</f>
        <v>7720</v>
      </c>
      <c r="I7" s="28">
        <f>(G7-H7)/G7</f>
        <v>0.46879515585219844</v>
      </c>
      <c r="J7" s="5">
        <f>M7*0.15</f>
        <v>281.94</v>
      </c>
      <c r="K7" s="5">
        <f>J7-GETPIVOTDATA("Sum of TPReduction(lbs/yr)",$A$5,"LeadEntity","Brevard County","Location","A Total")</f>
        <v>-1664.26</v>
      </c>
      <c r="L7" s="48">
        <f>(J7-K7)/J7</f>
        <v>6.9028871391076114</v>
      </c>
      <c r="M7" s="5">
        <v>1879.6</v>
      </c>
      <c r="N7" s="5">
        <f>M7-GETPIVOTDATA("Sum of TPReduction(lbs/yr)",$A$5,"LeadEntity","Brevard County","Location","A Total")</f>
        <v>-66.600000000000136</v>
      </c>
      <c r="O7" s="28">
        <f>(M7-N7)/M7</f>
        <v>1.0354330708661419</v>
      </c>
      <c r="Q7" s="6"/>
      <c r="W7" s="1"/>
      <c r="X7" s="7"/>
      <c r="Y7" s="1"/>
      <c r="AA7" s="1"/>
    </row>
    <row r="8" spans="1:27" x14ac:dyDescent="0.25">
      <c r="A8" s="75" t="s">
        <v>38</v>
      </c>
      <c r="B8" s="30">
        <v>84</v>
      </c>
      <c r="C8" s="30">
        <v>11.3</v>
      </c>
      <c r="D8" s="5">
        <f t="shared" ref="D8:D14" si="0">G8*0.15</f>
        <v>24.3</v>
      </c>
      <c r="E8" s="5">
        <f>D8-GETPIVOTDATA("Sum of TNReduction(lbs/yr)",$A$5,"LeadEntity","City of Edgewater","Location","A Total")</f>
        <v>-59.7</v>
      </c>
      <c r="F8" s="5" t="s">
        <v>183</v>
      </c>
      <c r="G8" s="5">
        <v>162</v>
      </c>
      <c r="H8" s="5" t="s">
        <v>183</v>
      </c>
      <c r="I8" s="5" t="s">
        <v>183</v>
      </c>
      <c r="J8" s="5">
        <f t="shared" ref="J8:J11" si="1">M8*0.15</f>
        <v>0</v>
      </c>
      <c r="K8" s="5" t="s">
        <v>183</v>
      </c>
      <c r="L8" s="5" t="s">
        <v>183</v>
      </c>
      <c r="M8" s="5">
        <v>0</v>
      </c>
      <c r="N8" s="5" t="s">
        <v>183</v>
      </c>
      <c r="O8" s="5" t="s">
        <v>183</v>
      </c>
      <c r="Q8" s="6"/>
      <c r="W8" s="1"/>
      <c r="X8" s="7"/>
      <c r="Y8" s="1"/>
      <c r="AA8" s="1"/>
    </row>
    <row r="9" spans="1:27" x14ac:dyDescent="0.25">
      <c r="A9" s="75" t="s">
        <v>51</v>
      </c>
      <c r="B9" s="30">
        <v>10504.91</v>
      </c>
      <c r="C9" s="30">
        <v>4110.08</v>
      </c>
      <c r="D9" s="5">
        <f t="shared" si="0"/>
        <v>6604.65</v>
      </c>
      <c r="E9" s="5">
        <f>D9-GETPIVOTDATA("Sum of TNReduction(lbs/yr)",$A$5,"LeadEntity","City of Titusville","Location","A Total")</f>
        <v>-3900.26</v>
      </c>
      <c r="F9" s="48">
        <f t="shared" ref="F9:F11" si="2">(D9-E9)/D9</f>
        <v>1.5905324279106388</v>
      </c>
      <c r="G9" s="5">
        <v>44031</v>
      </c>
      <c r="H9" s="5">
        <f>G9-GETPIVOTDATA("Sum of TNReduction(lbs/yr)",$A$5,"LeadEntity","City of Titusville","Location","A Total")</f>
        <v>33526.089999999997</v>
      </c>
      <c r="I9" s="28">
        <f t="shared" ref="I9:I11" si="3">(G9-H9)/G9</f>
        <v>0.23857986418659588</v>
      </c>
      <c r="J9" s="5">
        <f t="shared" si="1"/>
        <v>1447.605</v>
      </c>
      <c r="K9" s="5" t="s">
        <v>183</v>
      </c>
      <c r="L9" s="5" t="s">
        <v>183</v>
      </c>
      <c r="M9" s="5">
        <v>9650.7000000000007</v>
      </c>
      <c r="N9" s="5" t="s">
        <v>183</v>
      </c>
      <c r="O9" s="5" t="s">
        <v>183</v>
      </c>
      <c r="Q9" s="6"/>
      <c r="W9" s="1"/>
      <c r="X9" s="7"/>
      <c r="Y9" s="1"/>
      <c r="AA9" s="1"/>
    </row>
    <row r="10" spans="1:27" x14ac:dyDescent="0.25">
      <c r="A10" s="75" t="s">
        <v>750</v>
      </c>
      <c r="B10" s="30">
        <v>5047</v>
      </c>
      <c r="C10" s="30">
        <v>1420.3</v>
      </c>
      <c r="D10" s="5">
        <f t="shared" si="0"/>
        <v>5596.65</v>
      </c>
      <c r="E10" s="5">
        <f>D10-GETPIVOTDATA("Sum of TNReduction(lbs/yr)",$A$5,"LeadEntity","FDACS","Location","A Total")</f>
        <v>549.64999999999964</v>
      </c>
      <c r="F10" s="48">
        <f t="shared" si="2"/>
        <v>0.90178946333967647</v>
      </c>
      <c r="G10" s="5">
        <v>37311</v>
      </c>
      <c r="H10" s="5">
        <f>G10-GETPIVOTDATA("Sum of TNReduction(lbs/yr)",$A$5,"LeadEntity","FDACS","Location","A Total")</f>
        <v>32264</v>
      </c>
      <c r="I10" s="28">
        <f t="shared" si="3"/>
        <v>0.13526841950095148</v>
      </c>
      <c r="J10" s="5">
        <f t="shared" si="1"/>
        <v>1028.8499999999999</v>
      </c>
      <c r="K10" s="5">
        <f>J10-GETPIVOTDATA("Sum of TPReduction(lbs/yr)",$A$5,"LeadEntity","FDACS","Location","A Total")</f>
        <v>-391.45000000000005</v>
      </c>
      <c r="L10" s="48">
        <f t="shared" ref="L10:L11" si="4">(J10-K10)/J10</f>
        <v>1.3804733440248822</v>
      </c>
      <c r="M10" s="5">
        <v>6859</v>
      </c>
      <c r="N10" s="5">
        <f>M10-GETPIVOTDATA("Sum of TPReduction(lbs/yr)",$A$5,"LeadEntity","FDACS","Location","A Total")</f>
        <v>5438.7</v>
      </c>
      <c r="O10" s="28">
        <f>(M10-N10)/M10</f>
        <v>0.20707100160373235</v>
      </c>
      <c r="Q10" s="6"/>
      <c r="W10" s="1"/>
      <c r="X10" s="7"/>
      <c r="Y10" s="1"/>
      <c r="AA10" s="1"/>
    </row>
    <row r="11" spans="1:27" x14ac:dyDescent="0.25">
      <c r="A11" s="75" t="s">
        <v>274</v>
      </c>
      <c r="B11" s="30">
        <v>819</v>
      </c>
      <c r="C11" s="30">
        <v>130.30000000000001</v>
      </c>
      <c r="D11" s="5">
        <f t="shared" si="0"/>
        <v>396.59999999999997</v>
      </c>
      <c r="E11" s="5">
        <f>D11-GETPIVOTDATA("Sum of TNReduction(lbs/yr)",$A$5,"LeadEntity","FDOT District 5","Location","A Total")</f>
        <v>-422.40000000000003</v>
      </c>
      <c r="F11" s="48">
        <f t="shared" si="2"/>
        <v>2.0650529500756432</v>
      </c>
      <c r="G11" s="5">
        <v>2644</v>
      </c>
      <c r="H11" s="5">
        <f>G11-GETPIVOTDATA("Sum of TNReduction(lbs/yr)",$A$5,"LeadEntity","FDOT District 5","Location","A Total")</f>
        <v>1825</v>
      </c>
      <c r="I11" s="28">
        <f t="shared" si="3"/>
        <v>0.30975794251134642</v>
      </c>
      <c r="J11" s="5">
        <f t="shared" si="1"/>
        <v>142.035</v>
      </c>
      <c r="K11" s="5">
        <f>J11-GETPIVOTDATA("Sum of TPReduction(lbs/yr)",$A$5,"LeadEntity","FDOT District 5","Location","A Total")</f>
        <v>11.734999999999985</v>
      </c>
      <c r="L11" s="48">
        <f t="shared" si="4"/>
        <v>0.91737951913260829</v>
      </c>
      <c r="M11" s="5">
        <v>946.9</v>
      </c>
      <c r="N11" s="5">
        <f>M11-GETPIVOTDATA("Sum of TPReduction(lbs/yr)",$A$5,"LeadEntity","FDOT District 5","Location","A Total")</f>
        <v>816.59999999999991</v>
      </c>
      <c r="O11" s="28">
        <f>(M11-N11)/M11</f>
        <v>0.13760692786989129</v>
      </c>
      <c r="Q11" s="6"/>
      <c r="W11" s="1"/>
      <c r="X11" s="7"/>
      <c r="Y11" s="1"/>
      <c r="AA11" s="1"/>
    </row>
    <row r="12" spans="1:27" x14ac:dyDescent="0.25">
      <c r="A12" s="75" t="s">
        <v>6</v>
      </c>
      <c r="B12" s="30">
        <v>8941</v>
      </c>
      <c r="C12" s="30">
        <v>3134.5999999999995</v>
      </c>
      <c r="D12" s="5">
        <f t="shared" si="0"/>
        <v>0</v>
      </c>
      <c r="E12" s="5" t="s">
        <v>183</v>
      </c>
      <c r="F12" s="5" t="s">
        <v>183</v>
      </c>
      <c r="G12" s="5">
        <v>0</v>
      </c>
      <c r="H12" s="5" t="s">
        <v>183</v>
      </c>
      <c r="I12" s="5" t="s">
        <v>183</v>
      </c>
      <c r="J12" s="5">
        <v>0</v>
      </c>
      <c r="K12" s="5" t="s">
        <v>183</v>
      </c>
      <c r="L12" s="5" t="s">
        <v>183</v>
      </c>
      <c r="M12" s="5">
        <v>0</v>
      </c>
      <c r="N12" s="5" t="s">
        <v>183</v>
      </c>
      <c r="O12" s="5" t="s">
        <v>183</v>
      </c>
      <c r="Q12" s="6"/>
      <c r="W12" s="1"/>
      <c r="X12" s="7"/>
      <c r="Y12" s="1"/>
      <c r="AA12" s="1"/>
    </row>
    <row r="13" spans="1:27" x14ac:dyDescent="0.25">
      <c r="A13" s="75" t="s">
        <v>176</v>
      </c>
      <c r="B13" s="30">
        <v>0</v>
      </c>
      <c r="C13" s="30">
        <v>0</v>
      </c>
      <c r="D13" s="5">
        <f t="shared" si="0"/>
        <v>0</v>
      </c>
      <c r="E13" s="5" t="s">
        <v>183</v>
      </c>
      <c r="F13" s="5" t="s">
        <v>183</v>
      </c>
      <c r="G13" s="5">
        <v>0</v>
      </c>
      <c r="H13" s="5" t="s">
        <v>183</v>
      </c>
      <c r="I13" s="5" t="s">
        <v>183</v>
      </c>
      <c r="J13" s="5">
        <v>0</v>
      </c>
      <c r="K13" s="5" t="s">
        <v>183</v>
      </c>
      <c r="L13" s="5" t="s">
        <v>183</v>
      </c>
      <c r="M13" s="5">
        <v>0</v>
      </c>
      <c r="N13" s="5" t="s">
        <v>183</v>
      </c>
      <c r="O13" s="5" t="s">
        <v>183</v>
      </c>
      <c r="Q13" s="6"/>
      <c r="W13" s="1"/>
      <c r="X13" s="7"/>
      <c r="Y13" s="1"/>
      <c r="AA13" s="1"/>
    </row>
    <row r="14" spans="1:27" x14ac:dyDescent="0.25">
      <c r="A14" s="75" t="s">
        <v>57</v>
      </c>
      <c r="B14" s="30">
        <v>588</v>
      </c>
      <c r="C14" s="30">
        <v>67.400000000000006</v>
      </c>
      <c r="D14" s="5">
        <f t="shared" si="0"/>
        <v>0</v>
      </c>
      <c r="E14" s="5" t="s">
        <v>183</v>
      </c>
      <c r="F14" s="5" t="s">
        <v>183</v>
      </c>
      <c r="G14" s="5">
        <v>0</v>
      </c>
      <c r="H14" s="5" t="s">
        <v>183</v>
      </c>
      <c r="I14" s="5" t="s">
        <v>183</v>
      </c>
      <c r="J14" s="5">
        <v>0</v>
      </c>
      <c r="K14" s="5" t="s">
        <v>183</v>
      </c>
      <c r="L14" s="5" t="s">
        <v>183</v>
      </c>
      <c r="M14" s="5">
        <v>0</v>
      </c>
      <c r="N14" s="5" t="s">
        <v>183</v>
      </c>
      <c r="O14" s="5" t="s">
        <v>183</v>
      </c>
      <c r="Q14" s="6"/>
      <c r="W14" s="1"/>
      <c r="X14" s="7"/>
      <c r="Y14" s="1"/>
      <c r="AA14" s="1"/>
    </row>
    <row r="15" spans="1:27" x14ac:dyDescent="0.25">
      <c r="A15" s="40" t="s">
        <v>403</v>
      </c>
      <c r="B15" s="41">
        <v>64335.099999999991</v>
      </c>
      <c r="C15" s="41">
        <v>18829.100000000002</v>
      </c>
      <c r="D15" s="42">
        <f>SUM(D16:D25)</f>
        <v>18477.256943661574</v>
      </c>
      <c r="E15" s="42">
        <f>SUM(E16:E25)</f>
        <v>-44356.253056338421</v>
      </c>
      <c r="F15" s="43">
        <f>GETPIVOTDATA("Sum of TNReduction(lbs/yr)",$A$5,"Location","B Total")/D15</f>
        <v>3.4818534047646863</v>
      </c>
      <c r="G15" s="42">
        <f>SUM(G16:G25)</f>
        <v>123181.7129577438</v>
      </c>
      <c r="H15" s="42">
        <f>SUM(H16:H25)</f>
        <v>60140.612957743819</v>
      </c>
      <c r="I15" s="43">
        <f>GETPIVOTDATA("Sum of TNReduction(lbs/yr)",$A$5,"Location","A Total")/G15</f>
        <v>0.26624820529367571</v>
      </c>
      <c r="J15" s="42">
        <f>SUM(J16:J25)</f>
        <v>5352.8999999999987</v>
      </c>
      <c r="K15" s="42">
        <f>SUM(K16:K25)</f>
        <v>-11701.920000000004</v>
      </c>
      <c r="L15" s="43">
        <f>GETPIVOTDATA("Sum of TPReduction(lbs/yr)",$A$5,"Location","B Total")/J15</f>
        <v>3.5175512339105919</v>
      </c>
      <c r="M15" s="42">
        <f>SUM(M16:M25)</f>
        <v>32721.200000000001</v>
      </c>
      <c r="N15" s="42">
        <f>SUM(N16:N25)</f>
        <v>16111.1</v>
      </c>
      <c r="O15" s="43">
        <f>GETPIVOTDATA("Sum of TPReduction(lbs/yr)",$A$5,"Location","B Total")/M15</f>
        <v>0.57544038727186053</v>
      </c>
      <c r="Q15" s="6"/>
      <c r="W15" s="1"/>
      <c r="X15" s="7"/>
      <c r="Y15" s="1"/>
      <c r="AA15" s="1"/>
    </row>
    <row r="16" spans="1:27" x14ac:dyDescent="0.25">
      <c r="A16" s="75" t="s">
        <v>0</v>
      </c>
      <c r="B16" s="30">
        <v>31337.34</v>
      </c>
      <c r="C16" s="30">
        <v>8218.0400000000009</v>
      </c>
      <c r="D16" s="5">
        <f t="shared" ref="D16:D24" si="5">G16*0.15</f>
        <v>5298.7219436615715</v>
      </c>
      <c r="E16" s="5">
        <f>D16-GETPIVOTDATA("Sum of TNReduction(lbs/yr)",$A$5,"LeadEntity","Brevard County","Location","B Total")</f>
        <v>-26038.61805633843</v>
      </c>
      <c r="F16" s="48">
        <f>(D16-E16)/D16</f>
        <v>5.9141318101219298</v>
      </c>
      <c r="G16" s="5">
        <v>35324.812957743809</v>
      </c>
      <c r="H16" s="5">
        <f>G16-GETPIVOTDATA("Sum of TNReduction(lbs/yr)",$A$5,"LeadEntity","Brevard County","Location","B Total")</f>
        <v>3987.4729577438084</v>
      </c>
      <c r="I16" s="28">
        <f>(G21-H16)/G21</f>
        <v>0.4545926743613995</v>
      </c>
      <c r="J16" s="5">
        <f>M21*0.15</f>
        <v>444.72</v>
      </c>
      <c r="K16" s="5">
        <f>J16-GETPIVOTDATA("Sum of TPReduction(lbs/yr)",$A$5,"LeadEntity","Brevard County","Location","B Total")</f>
        <v>-7773.3200000000006</v>
      </c>
      <c r="L16" s="48">
        <f>(J16-K16)/J16</f>
        <v>18.479132937578701</v>
      </c>
      <c r="M16" s="5">
        <v>6635.4</v>
      </c>
      <c r="N16" s="5">
        <f>M21-GETPIVOTDATA("Sum of TPReduction(lbs/yr)",$A$5,"LeadEntity","Brevard County","Location","B Total")</f>
        <v>-5253.2400000000007</v>
      </c>
      <c r="O16" s="28">
        <f>(M21-N16)/M21</f>
        <v>2.7718699406368055</v>
      </c>
      <c r="Q16" s="6"/>
      <c r="W16" s="1"/>
      <c r="X16" s="7"/>
      <c r="Y16" s="1"/>
      <c r="AA16" s="1"/>
    </row>
    <row r="17" spans="1:27" x14ac:dyDescent="0.25">
      <c r="A17" s="75" t="s">
        <v>97</v>
      </c>
      <c r="B17" s="30">
        <v>4795.2199999999993</v>
      </c>
      <c r="C17" s="30">
        <v>1603.4799999999998</v>
      </c>
      <c r="D17" s="5">
        <f t="shared" si="5"/>
        <v>2409.4499999999998</v>
      </c>
      <c r="E17" s="5">
        <f>D17-GETPIVOTDATA("Sum of TNReduction(lbs/yr)",$A$5,"LeadEntity","City of Cocoa","Location","B Total")</f>
        <v>-2385.7699999999995</v>
      </c>
      <c r="F17" s="48">
        <f t="shared" ref="F17:F22" si="6">(D17-E17)/D17</f>
        <v>1.9901720309614226</v>
      </c>
      <c r="G17" s="5">
        <v>16063</v>
      </c>
      <c r="H17" s="5">
        <f>G17-GETPIVOTDATA("Sum of TNReduction(lbs/yr)",$A$5,"LeadEntity","City of Cocoa","Location","B Total")</f>
        <v>11267.78</v>
      </c>
      <c r="I17" s="28">
        <f t="shared" ref="I17:I22" si="7">(G17-H17)/G17</f>
        <v>0.29852580464421336</v>
      </c>
      <c r="J17" s="5">
        <f>M16*0.15</f>
        <v>995.31</v>
      </c>
      <c r="K17" s="5">
        <f>J17-GETPIVOTDATA("Sum of TPReduction(lbs/yr)",$A$5,"LeadEntity","City of Cocoa","Location","B Total")</f>
        <v>-608.16999999999985</v>
      </c>
      <c r="L17" s="48">
        <f t="shared" ref="L17:L24" si="8">(J17-K17)/J17</f>
        <v>1.6110357577036298</v>
      </c>
      <c r="M17" s="5">
        <v>3714.8</v>
      </c>
      <c r="N17" s="5">
        <f>M16-GETPIVOTDATA("Sum of TPReduction(lbs/yr)",$A$5,"LeadEntity","City of Cocoa","Location","B Total")</f>
        <v>5031.92</v>
      </c>
      <c r="O17" s="28">
        <f>(M16-N17)/M16</f>
        <v>0.24165536365554446</v>
      </c>
      <c r="Q17" s="6"/>
      <c r="W17" s="1"/>
      <c r="X17" s="7"/>
      <c r="Y17" s="1"/>
      <c r="AA17" s="1"/>
    </row>
    <row r="18" spans="1:27" x14ac:dyDescent="0.25">
      <c r="A18" s="75" t="s">
        <v>119</v>
      </c>
      <c r="B18" s="30">
        <v>10775.869999999999</v>
      </c>
      <c r="C18" s="30">
        <v>3098.0400000000004</v>
      </c>
      <c r="D18" s="5">
        <f t="shared" si="5"/>
        <v>6738.45</v>
      </c>
      <c r="E18" s="5">
        <f>D18-GETPIVOTDATA("Sum of TNReduction(lbs/yr)",$A$5,"LeadEntity","City of Melbourne","Location","B Total")</f>
        <v>-4037.4199999999992</v>
      </c>
      <c r="F18" s="48">
        <f t="shared" si="6"/>
        <v>1.5991615282446259</v>
      </c>
      <c r="G18" s="5">
        <v>44923</v>
      </c>
      <c r="H18" s="5">
        <f>G18-GETPIVOTDATA("Sum of TNReduction(lbs/yr)",$A$5,"LeadEntity","City of Melbourne","Location","B Total")</f>
        <v>34147.130000000005</v>
      </c>
      <c r="I18" s="28">
        <f t="shared" si="7"/>
        <v>0.2398742292366938</v>
      </c>
      <c r="J18" s="5">
        <f>M17*0.15</f>
        <v>557.22</v>
      </c>
      <c r="K18" s="5">
        <f>J18-GETPIVOTDATA("Sum of TPReduction(lbs/yr)",$A$5,"LeadEntity","City of Melbourne","Location","B Total")</f>
        <v>-2540.8200000000006</v>
      </c>
      <c r="L18" s="48">
        <f t="shared" si="8"/>
        <v>5.5598147948745575</v>
      </c>
      <c r="M18" s="5">
        <v>13122.7</v>
      </c>
      <c r="N18" s="5">
        <f>M17-GETPIVOTDATA("Sum of TPReduction(lbs/yr)",$A$5,"LeadEntity","City of Melbourne","Location","B Total")</f>
        <v>616.75999999999976</v>
      </c>
      <c r="O18" s="28">
        <f>(M17-N18)/M17</f>
        <v>0.83397221923118348</v>
      </c>
      <c r="P18" s="7"/>
      <c r="Q18" s="6"/>
      <c r="W18" s="1"/>
      <c r="X18" s="7"/>
      <c r="Y18" s="1"/>
      <c r="AA18" s="1"/>
    </row>
    <row r="19" spans="1:27" s="31" customFormat="1" x14ac:dyDescent="0.25">
      <c r="A19" s="75" t="s">
        <v>140</v>
      </c>
      <c r="B19" s="30">
        <v>7141.670000000001</v>
      </c>
      <c r="C19" s="30">
        <v>2631.64</v>
      </c>
      <c r="D19" s="5">
        <f t="shared" si="5"/>
        <v>2095.5</v>
      </c>
      <c r="E19" s="5">
        <f>D19-GETPIVOTDATA("Sum of TNReduction(lbs/yr)",$A$5,"LeadEntity","City of Rockledge","Location","B Total")</f>
        <v>-5046.170000000001</v>
      </c>
      <c r="F19" s="48">
        <f t="shared" si="6"/>
        <v>3.4080983058935819</v>
      </c>
      <c r="G19" s="5">
        <v>13970</v>
      </c>
      <c r="H19" s="5">
        <f>G19-GETPIVOTDATA("Sum of TNReduction(lbs/yr)",$A$5,"LeadEntity","City of Rockledge","Location","B Total")</f>
        <v>6828.329999999999</v>
      </c>
      <c r="I19" s="28">
        <f t="shared" si="7"/>
        <v>0.51121474588403726</v>
      </c>
      <c r="J19" s="5">
        <f>M18*0.15</f>
        <v>1968.405</v>
      </c>
      <c r="K19" s="5">
        <f>J19-GETPIVOTDATA("Sum of TPReduction(lbs/yr)",$A$5,"LeadEntity","City of Rockledge","Location","B Total")</f>
        <v>-663.2349999999999</v>
      </c>
      <c r="L19" s="48">
        <f t="shared" si="8"/>
        <v>1.3369403146202128</v>
      </c>
      <c r="M19" s="5">
        <v>3957.1</v>
      </c>
      <c r="N19" s="5">
        <f>M18-GETPIVOTDATA("Sum of TPReduction(lbs/yr)",$A$5,"LeadEntity","City of Rockledge","Location","B Total")</f>
        <v>10491.060000000001</v>
      </c>
      <c r="O19" s="28">
        <f>(M18-N19)/M18</f>
        <v>0.20054104719303187</v>
      </c>
      <c r="P19" s="7"/>
      <c r="Q19" s="6"/>
      <c r="R19" s="6"/>
      <c r="S19" s="6"/>
      <c r="T19" s="6"/>
      <c r="U19" s="32"/>
      <c r="V19" s="32"/>
      <c r="X19" s="33"/>
    </row>
    <row r="20" spans="1:27" x14ac:dyDescent="0.25">
      <c r="A20" s="75" t="s">
        <v>51</v>
      </c>
      <c r="B20" s="30">
        <v>172</v>
      </c>
      <c r="C20" s="30">
        <v>79.8</v>
      </c>
      <c r="D20" s="5">
        <f t="shared" si="5"/>
        <v>46.65</v>
      </c>
      <c r="E20" s="5">
        <f>D20-GETPIVOTDATA("Sum of TNReduction(lbs/yr)",$A$5,"LeadEntity","City of Titusville","Location","B Total")</f>
        <v>-125.35</v>
      </c>
      <c r="F20" s="48">
        <f t="shared" si="6"/>
        <v>3.687031082529475</v>
      </c>
      <c r="G20" s="5">
        <v>311</v>
      </c>
      <c r="H20" s="5">
        <f>G20-GETPIVOTDATA("Sum of TNReduction(lbs/yr)",$A$5,"LeadEntity","City of Titusville","Location","B Total")</f>
        <v>139</v>
      </c>
      <c r="I20" s="28">
        <f t="shared" si="7"/>
        <v>0.55305466237942125</v>
      </c>
      <c r="J20" s="5">
        <f>M19*0.15</f>
        <v>593.56499999999994</v>
      </c>
      <c r="K20" s="5">
        <f>J20-GETPIVOTDATA("Sum of TPReduction(lbs/yr)",$A$5,"LeadEntity","City of Titusville","Location","B Total")</f>
        <v>513.76499999999999</v>
      </c>
      <c r="L20" s="48">
        <f t="shared" si="8"/>
        <v>0.13444188926233852</v>
      </c>
      <c r="M20" s="1">
        <v>0</v>
      </c>
      <c r="N20" s="5">
        <f>M19-GETPIVOTDATA("Sum of TPReduction(lbs/yr)",$A$5,"LeadEntity","City of Titusville","Location","B Total")</f>
        <v>3877.2999999999997</v>
      </c>
      <c r="O20" s="28">
        <f>(M19-N20)/M19</f>
        <v>2.0166283389350833E-2</v>
      </c>
      <c r="P20" s="7"/>
      <c r="Q20" s="6"/>
      <c r="W20" s="1"/>
      <c r="X20" s="7"/>
      <c r="Y20" s="1"/>
      <c r="AA20" s="1"/>
    </row>
    <row r="21" spans="1:27" x14ac:dyDescent="0.25">
      <c r="A21" s="75" t="s">
        <v>750</v>
      </c>
      <c r="B21" s="30">
        <v>4739</v>
      </c>
      <c r="C21" s="30">
        <v>1029.4000000000001</v>
      </c>
      <c r="D21" s="5">
        <f t="shared" si="5"/>
        <v>1096.6499999999999</v>
      </c>
      <c r="E21" s="5">
        <f>D21-GETPIVOTDATA("Sum of TNReduction(lbs/yr)",$A$5,"LeadEntity","FDACS","Location","B Total")</f>
        <v>-3642.3500000000004</v>
      </c>
      <c r="F21" s="48">
        <f t="shared" si="6"/>
        <v>4.3213422696393566</v>
      </c>
      <c r="G21" s="5">
        <v>7311</v>
      </c>
      <c r="H21" s="5">
        <f>G21-GETPIVOTDATA("Sum of TNReduction(lbs/yr)",$A$5,"LeadEntity","FDACS","Location","B Total")</f>
        <v>2572</v>
      </c>
      <c r="I21" s="28">
        <f t="shared" si="7"/>
        <v>0.64820134044590338</v>
      </c>
      <c r="J21" s="5">
        <f>M21*0.15</f>
        <v>444.72</v>
      </c>
      <c r="K21" s="5" t="s">
        <v>183</v>
      </c>
      <c r="L21" s="48" t="s">
        <v>183</v>
      </c>
      <c r="M21" s="5">
        <v>2964.8</v>
      </c>
      <c r="N21" s="48" t="s">
        <v>183</v>
      </c>
      <c r="O21" s="48" t="s">
        <v>183</v>
      </c>
      <c r="P21" s="7"/>
      <c r="Q21" s="6"/>
      <c r="W21" s="1"/>
      <c r="X21" s="7"/>
      <c r="Y21" s="1"/>
      <c r="AA21" s="1"/>
    </row>
    <row r="22" spans="1:27" x14ac:dyDescent="0.25">
      <c r="A22" s="75" t="s">
        <v>274</v>
      </c>
      <c r="B22" s="30">
        <v>3730</v>
      </c>
      <c r="C22" s="30">
        <v>918.10000000000014</v>
      </c>
      <c r="D22" s="5">
        <f t="shared" si="5"/>
        <v>649.42499999999995</v>
      </c>
      <c r="E22" s="5">
        <f>D22-GETPIVOTDATA("Sum of TNReduction(lbs/yr)",$A$5,"LeadEntity","FDOT District 5","Location","B Total")</f>
        <v>-3080.5749999999998</v>
      </c>
      <c r="F22" s="48">
        <f t="shared" si="6"/>
        <v>5.7435423643992767</v>
      </c>
      <c r="G22" s="5">
        <v>4329.5</v>
      </c>
      <c r="H22" s="5">
        <f>G22-GETPIVOTDATA("Sum of TNReduction(lbs/yr)",$A$5,"LeadEntity","FDOT District 5","Location","B Total")</f>
        <v>599.5</v>
      </c>
      <c r="I22" s="28">
        <f t="shared" si="7"/>
        <v>0.86153135465989139</v>
      </c>
      <c r="J22" s="5">
        <f t="shared" ref="J22:J25" si="9">M22*0.15</f>
        <v>318.85499999999996</v>
      </c>
      <c r="K22" s="5">
        <f>J22-GETPIVOTDATA("Sum of TPReduction(lbs/yr)",$A$5,"LeadEntity","FDOT District 5","Location","B Total")</f>
        <v>-599.24500000000012</v>
      </c>
      <c r="L22" s="48">
        <f t="shared" si="8"/>
        <v>2.8793652287089753</v>
      </c>
      <c r="M22" s="5">
        <v>2125.6999999999998</v>
      </c>
      <c r="N22" s="5">
        <f>M22-GETPIVOTDATA("Sum of TPReduction(lbs/yr)",$A$5,"LeadEntity","FDOT District 5","Location","B Total")</f>
        <v>1207.5999999999997</v>
      </c>
      <c r="O22" s="28">
        <f t="shared" ref="O22" si="10">(M22-N22)/M22</f>
        <v>0.43190478430634627</v>
      </c>
      <c r="P22" s="7"/>
      <c r="Q22" s="6"/>
      <c r="W22" s="1"/>
      <c r="X22" s="7"/>
      <c r="Y22" s="1"/>
      <c r="AA22" s="1"/>
    </row>
    <row r="23" spans="1:27" x14ac:dyDescent="0.25">
      <c r="A23" s="75" t="s">
        <v>6</v>
      </c>
      <c r="B23" s="30">
        <v>1273</v>
      </c>
      <c r="C23" s="30">
        <v>1185.4000000000001</v>
      </c>
      <c r="D23" s="5">
        <f t="shared" si="5"/>
        <v>0</v>
      </c>
      <c r="E23" s="5" t="s">
        <v>183</v>
      </c>
      <c r="F23" s="5" t="s">
        <v>183</v>
      </c>
      <c r="G23" s="5">
        <v>0</v>
      </c>
      <c r="H23" s="5" t="s">
        <v>183</v>
      </c>
      <c r="I23" s="5" t="s">
        <v>183</v>
      </c>
      <c r="J23" s="5">
        <f t="shared" si="9"/>
        <v>0</v>
      </c>
      <c r="K23" s="5" t="s">
        <v>183</v>
      </c>
      <c r="L23" s="48" t="s">
        <v>183</v>
      </c>
      <c r="M23" s="5">
        <v>0</v>
      </c>
      <c r="N23" s="48" t="s">
        <v>183</v>
      </c>
      <c r="O23" s="48" t="s">
        <v>183</v>
      </c>
      <c r="P23" s="7"/>
      <c r="Q23" s="6"/>
      <c r="W23" s="1"/>
      <c r="X23" s="7"/>
      <c r="Y23" s="1"/>
      <c r="AA23" s="1"/>
    </row>
    <row r="24" spans="1:27" x14ac:dyDescent="0.25">
      <c r="A24" s="75" t="s">
        <v>176</v>
      </c>
      <c r="B24" s="30">
        <v>350</v>
      </c>
      <c r="C24" s="30">
        <v>61</v>
      </c>
      <c r="D24" s="5">
        <f t="shared" si="5"/>
        <v>142.41</v>
      </c>
      <c r="E24" s="5"/>
      <c r="F24" s="5"/>
      <c r="G24" s="5">
        <v>949.4</v>
      </c>
      <c r="H24" s="5">
        <f>G24-GETPIVOTDATA("Sum of TNReduction(lbs/yr)",$A$5,"LeadEntity","Town of Indialantic","Location","B Total")</f>
        <v>599.4</v>
      </c>
      <c r="I24" s="28">
        <f>(G24-H24)/G24</f>
        <v>0.36865388666526228</v>
      </c>
      <c r="J24" s="5">
        <f t="shared" si="9"/>
        <v>30.104999999999997</v>
      </c>
      <c r="K24" s="5">
        <f>J24-GETPIVOTDATA("Sum of TPReduction(lbs/yr)",$A$5,"LeadEntity","Town of Indialantic","Location","B Total")</f>
        <v>-30.895000000000003</v>
      </c>
      <c r="L24" s="48">
        <f t="shared" si="8"/>
        <v>2.0262414881248962</v>
      </c>
      <c r="M24" s="5">
        <v>200.7</v>
      </c>
      <c r="N24" s="5">
        <f>M24-GETPIVOTDATA("Sum of TPReduction(lbs/yr)",$A$5,"LeadEntity","Town of Indialantic","Location","B Total")</f>
        <v>139.69999999999999</v>
      </c>
      <c r="O24" s="28">
        <f>(M24-N24)/M24</f>
        <v>0.30393622321873442</v>
      </c>
      <c r="P24" s="7"/>
      <c r="Q24" s="6"/>
      <c r="W24" s="1"/>
      <c r="X24" s="7"/>
      <c r="Y24" s="1"/>
      <c r="AA24" s="1"/>
    </row>
    <row r="25" spans="1:27" x14ac:dyDescent="0.25">
      <c r="A25" s="75" t="s">
        <v>139</v>
      </c>
      <c r="B25" s="30">
        <v>21</v>
      </c>
      <c r="C25" s="30">
        <v>4.2</v>
      </c>
      <c r="D25" s="5">
        <v>0</v>
      </c>
      <c r="E25" s="5" t="s">
        <v>183</v>
      </c>
      <c r="F25" s="5" t="s">
        <v>183</v>
      </c>
      <c r="G25" s="5">
        <v>0</v>
      </c>
      <c r="H25" s="5" t="s">
        <v>183</v>
      </c>
      <c r="I25" s="5" t="s">
        <v>183</v>
      </c>
      <c r="J25" s="5">
        <f t="shared" si="9"/>
        <v>0</v>
      </c>
      <c r="K25" s="5" t="s">
        <v>183</v>
      </c>
      <c r="L25" s="5" t="s">
        <v>183</v>
      </c>
      <c r="M25" s="5">
        <v>0</v>
      </c>
      <c r="N25" s="5" t="s">
        <v>183</v>
      </c>
      <c r="O25" s="5" t="s">
        <v>183</v>
      </c>
      <c r="P25" s="7"/>
      <c r="Q25" s="6"/>
      <c r="W25" s="1"/>
      <c r="X25" s="7"/>
      <c r="Y25" s="1"/>
      <c r="AA25" s="1"/>
    </row>
    <row r="26" spans="1:27" x14ac:dyDescent="0.25">
      <c r="A26" s="37" t="s">
        <v>180</v>
      </c>
      <c r="B26" s="30">
        <v>97132.01</v>
      </c>
      <c r="C26" s="30">
        <v>29649.280000000002</v>
      </c>
      <c r="D26" s="38">
        <f>D15+D6</f>
        <v>33279.406943661575</v>
      </c>
      <c r="E26" s="38">
        <f>E15+E6</f>
        <v>-52822.013056338423</v>
      </c>
      <c r="F26" s="50">
        <f>GETPIVOTDATA("Sum of TNReduction(lbs/yr)",$A$5)/D26</f>
        <v>2.9186821196794144</v>
      </c>
      <c r="G26" s="38">
        <f>SUM(G15+G6)</f>
        <v>221862.71295774379</v>
      </c>
      <c r="H26" s="38">
        <f>SUM(H15+H6)</f>
        <v>135475.70295774381</v>
      </c>
      <c r="I26" s="29">
        <f>GETPIVOTDATA("Sum of TNReduction(lbs/yr)",$A$5)/G26</f>
        <v>0.43780231795191227</v>
      </c>
      <c r="J26" s="38">
        <f>J15+J6</f>
        <v>8253.3299999999981</v>
      </c>
      <c r="K26" s="38">
        <f>K15+K6</f>
        <v>-13745.895000000004</v>
      </c>
      <c r="L26" s="50">
        <f>GETPIVOTDATA("Sum of TPReduction(lbs/yr)",$A$5)/J26</f>
        <v>3.5924020970929322</v>
      </c>
      <c r="M26" s="38">
        <f>SUM(M15+M6)</f>
        <v>52057.400000000009</v>
      </c>
      <c r="N26" s="38">
        <f>SUM(N15+N6)</f>
        <v>22299.8</v>
      </c>
      <c r="O26" s="29">
        <f>GETPIVOTDATA("Sum of TPReduction(lbs/yr)",$A$5)/M26</f>
        <v>0.56954976621959597</v>
      </c>
      <c r="P26" s="7"/>
      <c r="Q26" s="6"/>
      <c r="W26" s="1"/>
      <c r="X26" s="7"/>
      <c r="Y26" s="1"/>
      <c r="AA26" s="1"/>
    </row>
    <row r="27" spans="1:27" ht="14.4" x14ac:dyDescent="0.3">
      <c r="A27"/>
      <c r="B27"/>
      <c r="C27"/>
      <c r="D27" s="6"/>
      <c r="E27" s="6"/>
      <c r="F27" s="6"/>
      <c r="G27" s="6"/>
      <c r="H27" s="6"/>
      <c r="I27" s="6"/>
      <c r="J27" s="6"/>
      <c r="L27" s="7"/>
      <c r="Q27" s="6"/>
      <c r="W27" s="1"/>
      <c r="X27" s="7"/>
      <c r="Y27" s="1"/>
      <c r="AA27" s="1"/>
    </row>
    <row r="28" spans="1:27" ht="14.4" x14ac:dyDescent="0.3">
      <c r="A28"/>
      <c r="B28"/>
      <c r="C28"/>
      <c r="D28" s="6"/>
      <c r="E28" s="6"/>
      <c r="F28" s="6"/>
      <c r="G28" s="6"/>
      <c r="H28" s="6"/>
      <c r="I28" s="6"/>
      <c r="J28" s="6"/>
      <c r="L28" s="7"/>
    </row>
    <row r="29" spans="1:27" ht="14.4" x14ac:dyDescent="0.3">
      <c r="A29"/>
      <c r="B29"/>
      <c r="C29"/>
    </row>
    <row r="30" spans="1:27" x14ac:dyDescent="0.3">
      <c r="C30" s="6"/>
    </row>
    <row r="31" spans="1:27" x14ac:dyDescent="0.3">
      <c r="C31" s="6"/>
    </row>
  </sheetData>
  <conditionalFormatting sqref="I9:I11 I7">
    <cfRule type="cellIs" dxfId="43" priority="12" operator="lessThan">
      <formula>100</formula>
    </cfRule>
  </conditionalFormatting>
  <conditionalFormatting sqref="I24 I16:I22">
    <cfRule type="cellIs" dxfId="42" priority="11" operator="lessThan">
      <formula>100</formula>
    </cfRule>
  </conditionalFormatting>
  <conditionalFormatting sqref="O7 O10:O11">
    <cfRule type="cellIs" dxfId="41" priority="8" operator="lessThan">
      <formula>0.5</formula>
    </cfRule>
  </conditionalFormatting>
  <conditionalFormatting sqref="O16:O20 O22 O24">
    <cfRule type="cellIs" dxfId="40" priority="6" operator="lessThan">
      <formula>100</formula>
    </cfRule>
    <cfRule type="cellIs" dxfId="39" priority="7" operator="lessThan">
      <formula>100</formula>
    </cfRule>
  </conditionalFormatting>
  <conditionalFormatting sqref="F7:F11 L7:L11">
    <cfRule type="cellIs" dxfId="38" priority="2" operator="lessThan">
      <formula>1</formula>
    </cfRule>
  </conditionalFormatting>
  <pageMargins left="0.7" right="0.7" top="0.75" bottom="0.75" header="0.3" footer="0.3"/>
  <pageSetup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249E45-6105-4710-B647-D8C3C98656D4}">
  <dimension ref="A1:M41"/>
  <sheetViews>
    <sheetView workbookViewId="0">
      <selection activeCell="C24" sqref="C24"/>
    </sheetView>
  </sheetViews>
  <sheetFormatPr defaultRowHeight="14.4" x14ac:dyDescent="0.3"/>
  <cols>
    <col min="1" max="1" width="26.109375" style="27" bestFit="1" customWidth="1"/>
    <col min="2" max="2" width="25.88671875" style="27" bestFit="1" customWidth="1"/>
    <col min="3" max="3" width="19.44140625" style="25" bestFit="1" customWidth="1"/>
    <col min="4" max="4" width="23" style="25" bestFit="1" customWidth="1"/>
    <col min="5" max="5" width="23" bestFit="1" customWidth="1"/>
    <col min="6" max="6" width="11.33203125" bestFit="1" customWidth="1"/>
    <col min="10" max="10" width="27" bestFit="1" customWidth="1"/>
    <col min="11" max="11" width="26.6640625" bestFit="1" customWidth="1"/>
    <col min="12" max="12" width="19.88671875" bestFit="1" customWidth="1"/>
    <col min="13" max="13" width="23.88671875" bestFit="1" customWidth="1"/>
  </cols>
  <sheetData>
    <row r="1" spans="1:13" x14ac:dyDescent="0.3">
      <c r="A1" s="3" t="s">
        <v>720</v>
      </c>
      <c r="B1" s="90" t="s">
        <v>3</v>
      </c>
      <c r="J1" s="26" t="s">
        <v>546</v>
      </c>
      <c r="K1" s="27" t="s">
        <v>578</v>
      </c>
      <c r="L1" s="25"/>
      <c r="M1" s="25"/>
    </row>
    <row r="2" spans="1:13" x14ac:dyDescent="0.3">
      <c r="J2" s="27"/>
      <c r="K2" s="27"/>
      <c r="L2" s="25"/>
      <c r="M2" s="25"/>
    </row>
    <row r="3" spans="1:13" x14ac:dyDescent="0.3">
      <c r="A3" s="90" t="s">
        <v>756</v>
      </c>
      <c r="B3" s="90" t="s">
        <v>757</v>
      </c>
      <c r="C3" s="90" t="s">
        <v>964</v>
      </c>
      <c r="D3" s="90" t="s">
        <v>965</v>
      </c>
      <c r="E3" s="90" t="s">
        <v>966</v>
      </c>
      <c r="J3" s="27" t="s">
        <v>404</v>
      </c>
      <c r="K3" s="27" t="s">
        <v>405</v>
      </c>
      <c r="L3" s="27" t="s">
        <v>576</v>
      </c>
      <c r="M3" s="27" t="s">
        <v>577</v>
      </c>
    </row>
    <row r="4" spans="1:13" x14ac:dyDescent="0.3">
      <c r="A4" s="25">
        <v>97132.010000000009</v>
      </c>
      <c r="B4" s="25">
        <v>29649.280000000002</v>
      </c>
      <c r="C4" s="27">
        <v>89030382.129999995</v>
      </c>
      <c r="D4" s="27">
        <v>1670686.28</v>
      </c>
      <c r="E4" s="74">
        <v>220</v>
      </c>
      <c r="J4" s="25">
        <v>11311.64</v>
      </c>
      <c r="K4" s="25">
        <v>2531.84</v>
      </c>
      <c r="L4" s="27">
        <v>72501806.719999999</v>
      </c>
      <c r="M4" s="27">
        <v>45000</v>
      </c>
    </row>
    <row r="5" spans="1:13" x14ac:dyDescent="0.3">
      <c r="A5"/>
      <c r="B5"/>
      <c r="C5"/>
    </row>
    <row r="6" spans="1:13" x14ac:dyDescent="0.3">
      <c r="A6"/>
      <c r="B6"/>
      <c r="C6"/>
    </row>
    <row r="7" spans="1:13" x14ac:dyDescent="0.3">
      <c r="A7"/>
      <c r="B7"/>
      <c r="C7"/>
    </row>
    <row r="8" spans="1:13" x14ac:dyDescent="0.3">
      <c r="A8"/>
      <c r="B8"/>
      <c r="C8"/>
    </row>
    <row r="9" spans="1:13" x14ac:dyDescent="0.3">
      <c r="A9"/>
      <c r="B9"/>
      <c r="C9"/>
    </row>
    <row r="10" spans="1:13" x14ac:dyDescent="0.3">
      <c r="A10" s="3" t="s">
        <v>755</v>
      </c>
      <c r="B10" s="3" t="s">
        <v>1063</v>
      </c>
      <c r="C10"/>
      <c r="D10"/>
    </row>
    <row r="11" spans="1:13" x14ac:dyDescent="0.3">
      <c r="A11" s="3" t="s">
        <v>179</v>
      </c>
      <c r="B11" s="90" t="s">
        <v>549</v>
      </c>
      <c r="C11" s="90" t="s">
        <v>3</v>
      </c>
      <c r="D11" s="90" t="s">
        <v>388</v>
      </c>
      <c r="E11" s="90" t="s">
        <v>28</v>
      </c>
      <c r="F11" s="90" t="s">
        <v>180</v>
      </c>
    </row>
    <row r="12" spans="1:13" x14ac:dyDescent="0.3">
      <c r="A12" s="56">
        <v>2013</v>
      </c>
      <c r="B12" s="74">
        <v>2</v>
      </c>
      <c r="C12" s="74">
        <v>146</v>
      </c>
      <c r="D12" s="74">
        <v>1</v>
      </c>
      <c r="E12" s="74">
        <v>3</v>
      </c>
      <c r="F12" s="74">
        <v>152</v>
      </c>
    </row>
    <row r="13" spans="1:13" x14ac:dyDescent="0.3">
      <c r="A13" s="56">
        <v>2014</v>
      </c>
      <c r="B13" s="74"/>
      <c r="C13" s="74">
        <v>5</v>
      </c>
      <c r="D13" s="74"/>
      <c r="E13" s="74"/>
      <c r="F13" s="74">
        <v>5</v>
      </c>
    </row>
    <row r="14" spans="1:13" x14ac:dyDescent="0.3">
      <c r="A14" s="56">
        <v>2015</v>
      </c>
      <c r="B14" s="74"/>
      <c r="C14" s="74">
        <v>11</v>
      </c>
      <c r="D14" s="74"/>
      <c r="E14" s="74">
        <v>1</v>
      </c>
      <c r="F14" s="74">
        <v>12</v>
      </c>
    </row>
    <row r="15" spans="1:13" x14ac:dyDescent="0.3">
      <c r="A15" s="56">
        <v>2016</v>
      </c>
      <c r="B15" s="74">
        <v>2</v>
      </c>
      <c r="C15" s="74">
        <v>33</v>
      </c>
      <c r="D15" s="74">
        <v>13</v>
      </c>
      <c r="E15" s="74">
        <v>2</v>
      </c>
      <c r="F15" s="74">
        <v>50</v>
      </c>
    </row>
    <row r="16" spans="1:13" x14ac:dyDescent="0.3">
      <c r="A16" s="56">
        <v>2017</v>
      </c>
      <c r="B16" s="74">
        <v>2</v>
      </c>
      <c r="C16" s="74">
        <v>14</v>
      </c>
      <c r="D16" s="74">
        <v>14</v>
      </c>
      <c r="E16" s="74">
        <v>9</v>
      </c>
      <c r="F16" s="74">
        <v>39</v>
      </c>
    </row>
    <row r="17" spans="1:6" x14ac:dyDescent="0.3">
      <c r="A17" s="56" t="s">
        <v>497</v>
      </c>
      <c r="B17" s="74">
        <v>1</v>
      </c>
      <c r="C17" s="74"/>
      <c r="D17" s="74"/>
      <c r="E17" s="74"/>
      <c r="F17" s="74">
        <v>1</v>
      </c>
    </row>
    <row r="18" spans="1:6" x14ac:dyDescent="0.3">
      <c r="A18" s="56">
        <v>2018</v>
      </c>
      <c r="B18" s="74"/>
      <c r="C18" s="74">
        <v>2</v>
      </c>
      <c r="D18" s="74">
        <v>1</v>
      </c>
      <c r="E18" s="74">
        <v>10</v>
      </c>
      <c r="F18" s="74">
        <v>13</v>
      </c>
    </row>
    <row r="19" spans="1:6" x14ac:dyDescent="0.3">
      <c r="A19" s="56">
        <v>2019</v>
      </c>
      <c r="B19" s="74"/>
      <c r="C19" s="74">
        <v>6</v>
      </c>
      <c r="D19" s="74">
        <v>10</v>
      </c>
      <c r="E19" s="74">
        <v>10</v>
      </c>
      <c r="F19" s="74">
        <v>26</v>
      </c>
    </row>
    <row r="20" spans="1:6" x14ac:dyDescent="0.3">
      <c r="A20" s="56" t="s">
        <v>180</v>
      </c>
      <c r="B20" s="74">
        <v>7</v>
      </c>
      <c r="C20" s="74">
        <v>217</v>
      </c>
      <c r="D20" s="74">
        <v>39</v>
      </c>
      <c r="E20" s="74">
        <v>35</v>
      </c>
      <c r="F20" s="74">
        <v>298</v>
      </c>
    </row>
    <row r="21" spans="1:6" x14ac:dyDescent="0.3">
      <c r="C21"/>
    </row>
    <row r="22" spans="1:6" x14ac:dyDescent="0.3">
      <c r="C22"/>
    </row>
    <row r="23" spans="1:6" x14ac:dyDescent="0.3">
      <c r="C23"/>
    </row>
    <row r="24" spans="1:6" x14ac:dyDescent="0.3">
      <c r="C24"/>
    </row>
    <row r="25" spans="1:6" x14ac:dyDescent="0.3">
      <c r="A25"/>
      <c r="B25"/>
      <c r="C25"/>
    </row>
    <row r="26" spans="1:6" x14ac:dyDescent="0.3">
      <c r="A26"/>
      <c r="B26"/>
      <c r="C26"/>
    </row>
    <row r="27" spans="1:6" x14ac:dyDescent="0.3">
      <c r="A27"/>
      <c r="B27"/>
      <c r="C27"/>
    </row>
    <row r="28" spans="1:6" x14ac:dyDescent="0.3">
      <c r="A28"/>
      <c r="B28"/>
      <c r="C28"/>
    </row>
    <row r="29" spans="1:6" x14ac:dyDescent="0.3">
      <c r="A29"/>
      <c r="B29"/>
      <c r="C29"/>
    </row>
    <row r="30" spans="1:6" x14ac:dyDescent="0.3">
      <c r="C30"/>
    </row>
    <row r="31" spans="1:6" x14ac:dyDescent="0.3">
      <c r="C31"/>
    </row>
    <row r="32" spans="1:6" x14ac:dyDescent="0.3">
      <c r="C32"/>
    </row>
    <row r="33" spans="1:3" x14ac:dyDescent="0.3">
      <c r="C33"/>
    </row>
    <row r="41" spans="1:3" x14ac:dyDescent="0.3">
      <c r="A41"/>
      <c r="B41"/>
    </row>
  </sheetData>
  <pageMargins left="0.7" right="0.7" top="0.75" bottom="0.75" header="0.3" footer="0.3"/>
  <pageSetup orientation="portrait" horizontalDpi="4294967295" verticalDpi="4294967295"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EC876-7635-44C4-9283-53420FCCE095}">
  <dimension ref="A1:I53"/>
  <sheetViews>
    <sheetView topLeftCell="D25" workbookViewId="0">
      <selection activeCell="AD37" sqref="AD37"/>
    </sheetView>
  </sheetViews>
  <sheetFormatPr defaultRowHeight="14.4" x14ac:dyDescent="0.3"/>
  <cols>
    <col min="1" max="1" width="15.88671875" bestFit="1" customWidth="1"/>
    <col min="2" max="2" width="26.109375" style="25" bestFit="1" customWidth="1"/>
    <col min="3" max="3" width="25.88671875" style="25" bestFit="1" customWidth="1"/>
    <col min="4" max="4" width="11.33203125" bestFit="1" customWidth="1"/>
    <col min="5" max="5" width="9.88671875" bestFit="1" customWidth="1"/>
    <col min="6" max="6" width="19.6640625" customWidth="1"/>
    <col min="7" max="7" width="11.88671875" customWidth="1"/>
    <col min="8" max="8" width="9.88671875" bestFit="1" customWidth="1"/>
    <col min="9" max="9" width="9.6640625" customWidth="1"/>
    <col min="10" max="10" width="9.88671875" bestFit="1" customWidth="1"/>
    <col min="11" max="11" width="6.88671875" bestFit="1" customWidth="1"/>
    <col min="12" max="12" width="9.88671875" bestFit="1" customWidth="1"/>
    <col min="13" max="13" width="6.88671875" bestFit="1" customWidth="1"/>
    <col min="14" max="14" width="9.88671875" bestFit="1" customWidth="1"/>
    <col min="15" max="15" width="6.88671875" bestFit="1" customWidth="1"/>
    <col min="16" max="16" width="9.88671875" bestFit="1" customWidth="1"/>
    <col min="17" max="17" width="6.88671875" bestFit="1" customWidth="1"/>
    <col min="18" max="18" width="9.88671875" bestFit="1" customWidth="1"/>
    <col min="19" max="19" width="6.88671875" bestFit="1" customWidth="1"/>
    <col min="20" max="20" width="9.88671875" bestFit="1" customWidth="1"/>
    <col min="21" max="21" width="6.88671875" bestFit="1" customWidth="1"/>
    <col min="22" max="22" width="9.88671875" bestFit="1" customWidth="1"/>
    <col min="23" max="23" width="6.88671875" bestFit="1" customWidth="1"/>
    <col min="24" max="24" width="4" bestFit="1" customWidth="1"/>
    <col min="25" max="25" width="9.88671875" bestFit="1" customWidth="1"/>
    <col min="26" max="26" width="6.88671875" bestFit="1" customWidth="1"/>
    <col min="27" max="27" width="2.109375" bestFit="1" customWidth="1"/>
    <col min="28" max="28" width="9.88671875" bestFit="1" customWidth="1"/>
    <col min="29" max="29" width="6.88671875" bestFit="1" customWidth="1"/>
    <col min="30" max="30" width="9.88671875" bestFit="1" customWidth="1"/>
    <col min="31" max="31" width="6.88671875" bestFit="1" customWidth="1"/>
    <col min="32" max="32" width="9.88671875" bestFit="1" customWidth="1"/>
    <col min="33" max="33" width="6.88671875" bestFit="1" customWidth="1"/>
    <col min="34" max="34" width="5" bestFit="1" customWidth="1"/>
    <col min="35" max="35" width="9.88671875" bestFit="1" customWidth="1"/>
    <col min="36" max="36" width="6.88671875" bestFit="1" customWidth="1"/>
    <col min="37" max="37" width="4" bestFit="1" customWidth="1"/>
    <col min="38" max="38" width="9.88671875" bestFit="1" customWidth="1"/>
    <col min="39" max="39" width="6.88671875" bestFit="1" customWidth="1"/>
    <col min="40" max="40" width="5" bestFit="1" customWidth="1"/>
    <col min="41" max="41" width="9.88671875" bestFit="1" customWidth="1"/>
    <col min="42" max="42" width="7" bestFit="1" customWidth="1"/>
    <col min="43" max="43" width="6" bestFit="1" customWidth="1"/>
    <col min="44" max="44" width="9.88671875" bestFit="1" customWidth="1"/>
    <col min="45" max="46" width="7" bestFit="1" customWidth="1"/>
    <col min="47" max="47" width="9.88671875" bestFit="1" customWidth="1"/>
    <col min="48" max="48" width="7" bestFit="1" customWidth="1"/>
    <col min="49" max="49" width="9.88671875" bestFit="1" customWidth="1"/>
    <col min="50" max="50" width="6.88671875" bestFit="1" customWidth="1"/>
    <col min="51" max="51" width="3" bestFit="1" customWidth="1"/>
    <col min="52" max="52" width="9.88671875" bestFit="1" customWidth="1"/>
    <col min="53" max="53" width="6.44140625" bestFit="1" customWidth="1"/>
    <col min="54" max="54" width="6" bestFit="1" customWidth="1"/>
    <col min="55" max="55" width="9.44140625" bestFit="1" customWidth="1"/>
    <col min="56" max="56" width="14.5546875" bestFit="1" customWidth="1"/>
    <col min="57" max="57" width="17.88671875" bestFit="1" customWidth="1"/>
    <col min="58" max="58" width="15.109375" bestFit="1" customWidth="1"/>
    <col min="59" max="59" width="7" bestFit="1" customWidth="1"/>
    <col min="60" max="60" width="18.33203125" bestFit="1" customWidth="1"/>
    <col min="61" max="61" width="11.33203125" bestFit="1" customWidth="1"/>
  </cols>
  <sheetData>
    <row r="1" spans="1:9" x14ac:dyDescent="0.3">
      <c r="A1" s="3" t="s">
        <v>720</v>
      </c>
      <c r="B1" s="90" t="s">
        <v>3</v>
      </c>
      <c r="F1" s="57" t="s">
        <v>574</v>
      </c>
      <c r="G1" s="57"/>
    </row>
    <row r="2" spans="1:9" ht="27.75" customHeight="1" x14ac:dyDescent="0.3">
      <c r="E2" s="72" t="s">
        <v>709</v>
      </c>
      <c r="F2" s="71" t="s">
        <v>710</v>
      </c>
      <c r="G2" s="72" t="s">
        <v>711</v>
      </c>
      <c r="H2" s="73" t="s">
        <v>713</v>
      </c>
      <c r="I2" s="73" t="s">
        <v>1064</v>
      </c>
    </row>
    <row r="3" spans="1:9" x14ac:dyDescent="0.3">
      <c r="A3" s="3" t="s">
        <v>179</v>
      </c>
      <c r="B3" s="25" t="s">
        <v>756</v>
      </c>
      <c r="C3" s="25" t="s">
        <v>757</v>
      </c>
      <c r="E3" s="59"/>
      <c r="F3" s="60"/>
      <c r="G3" s="94"/>
      <c r="H3" s="94"/>
      <c r="I3" s="63">
        <v>98681</v>
      </c>
    </row>
    <row r="4" spans="1:9" x14ac:dyDescent="0.3">
      <c r="A4" s="56" t="s">
        <v>30</v>
      </c>
      <c r="B4" s="25">
        <v>32796.910000000003</v>
      </c>
      <c r="C4" s="25">
        <v>10820.18</v>
      </c>
      <c r="E4" s="62">
        <v>2013</v>
      </c>
      <c r="F4" s="61">
        <f>SUM(B5:B8)+GETPIVOTDATA("Sum of TNReduction(lbs/yr)",$A$3,"EstimatedCompletionDate","N/A","Location","A")+GETPIVOTDATA("Sum of TNReduction(lbs/yr)",$A$3,"EstimatedCompletionDate","Prior to 2013","Location","A")</f>
        <v>21477</v>
      </c>
      <c r="G4" s="94"/>
      <c r="H4" s="94"/>
      <c r="I4" s="63">
        <v>98681</v>
      </c>
    </row>
    <row r="5" spans="1:9" x14ac:dyDescent="0.3">
      <c r="A5" s="4">
        <v>2005</v>
      </c>
      <c r="B5" s="25">
        <v>1093</v>
      </c>
      <c r="C5" s="25">
        <v>63.2</v>
      </c>
      <c r="E5" s="62">
        <v>2014</v>
      </c>
      <c r="F5" s="61">
        <f>F4+GETPIVOTDATA("Sum of TNReduction(lbs/yr)",$A$3,"EstimatedCompletionDate",2014,"Location","A")</f>
        <v>28783</v>
      </c>
      <c r="G5" s="94"/>
      <c r="H5" s="94"/>
      <c r="I5" s="63">
        <v>98681</v>
      </c>
    </row>
    <row r="6" spans="1:9" x14ac:dyDescent="0.3">
      <c r="A6" s="4">
        <v>2007</v>
      </c>
      <c r="B6" s="25">
        <v>1153</v>
      </c>
      <c r="C6" s="25">
        <v>377.9</v>
      </c>
      <c r="E6" s="62">
        <v>2015</v>
      </c>
      <c r="F6" s="61">
        <f>F5+GETPIVOTDATA("Sum of TNReduction(lbs/yr)",$A$3,"EstimatedCompletionDate",2015,"Location","A")</f>
        <v>29502.41</v>
      </c>
      <c r="G6" s="94"/>
      <c r="H6" s="94"/>
      <c r="I6" s="63">
        <v>98681</v>
      </c>
    </row>
    <row r="7" spans="1:9" x14ac:dyDescent="0.3">
      <c r="A7" s="4">
        <v>2010</v>
      </c>
      <c r="B7" s="25">
        <v>4477</v>
      </c>
      <c r="C7" s="25">
        <v>2547.1</v>
      </c>
      <c r="E7" s="62">
        <v>2016</v>
      </c>
      <c r="F7" s="61">
        <f>F6+GETPIVOTDATA("Sum of TNReduction(lbs/yr)",$A$3,"EstimatedCompletionDate",2016,"Location","A")</f>
        <v>31061.91</v>
      </c>
      <c r="G7" s="94"/>
      <c r="H7" s="94"/>
      <c r="I7" s="63">
        <v>98681</v>
      </c>
    </row>
    <row r="8" spans="1:9" x14ac:dyDescent="0.3">
      <c r="A8" s="4">
        <v>2011</v>
      </c>
      <c r="B8" s="25">
        <v>1510</v>
      </c>
      <c r="C8" s="25">
        <v>215.9</v>
      </c>
      <c r="E8" s="62">
        <v>2017</v>
      </c>
      <c r="F8" s="61">
        <f>F7</f>
        <v>31061.91</v>
      </c>
      <c r="G8" s="94"/>
      <c r="H8" s="94"/>
      <c r="I8" s="63">
        <v>98681</v>
      </c>
    </row>
    <row r="9" spans="1:9" x14ac:dyDescent="0.3">
      <c r="A9" s="4">
        <v>2014</v>
      </c>
      <c r="B9" s="25">
        <v>7306</v>
      </c>
      <c r="C9" s="25">
        <v>2815.6000000000004</v>
      </c>
      <c r="E9" s="62">
        <v>2018</v>
      </c>
      <c r="F9" s="61">
        <f>F8+GETPIVOTDATA("Sum of TNReduction(lbs/yr)",$A$3,"EstimatedCompletionDate",2018,"Location","A")</f>
        <v>32796.910000000003</v>
      </c>
      <c r="G9" s="94"/>
      <c r="H9" s="94"/>
      <c r="I9" s="63">
        <v>98681</v>
      </c>
    </row>
    <row r="10" spans="1:9" x14ac:dyDescent="0.3">
      <c r="A10" s="4">
        <v>2015</v>
      </c>
      <c r="B10" s="25">
        <v>719.41</v>
      </c>
      <c r="C10" s="25">
        <v>87.08</v>
      </c>
      <c r="E10" s="62">
        <v>2019</v>
      </c>
      <c r="F10" s="61">
        <f>F9+GETPIVOTDATA("Sum of TNReduction(lbs/yr)",$A$3,"EstimatedCompletionDate",2019,"Location","A")</f>
        <v>32796.910000000003</v>
      </c>
      <c r="G10" s="94"/>
      <c r="H10" s="94"/>
      <c r="I10" s="63">
        <v>98681</v>
      </c>
    </row>
    <row r="11" spans="1:9" x14ac:dyDescent="0.3">
      <c r="A11" s="4">
        <v>2016</v>
      </c>
      <c r="B11" s="25">
        <v>1559.5</v>
      </c>
      <c r="C11" s="25">
        <v>467.9</v>
      </c>
      <c r="E11" s="62">
        <v>2020</v>
      </c>
      <c r="F11" s="61"/>
      <c r="G11" s="94"/>
      <c r="H11" s="94"/>
      <c r="I11" s="63">
        <v>98681</v>
      </c>
    </row>
    <row r="12" spans="1:9" x14ac:dyDescent="0.3">
      <c r="A12" s="4">
        <v>2018</v>
      </c>
      <c r="B12" s="25">
        <v>1735</v>
      </c>
      <c r="C12" s="25">
        <v>265</v>
      </c>
      <c r="E12" s="62">
        <v>2021</v>
      </c>
      <c r="F12" s="61"/>
      <c r="G12" s="94"/>
      <c r="H12" s="94"/>
      <c r="I12" s="63">
        <v>98681</v>
      </c>
    </row>
    <row r="13" spans="1:9" x14ac:dyDescent="0.3">
      <c r="A13" s="4">
        <v>2019</v>
      </c>
      <c r="B13" s="25">
        <v>0</v>
      </c>
      <c r="C13" s="25">
        <v>0</v>
      </c>
      <c r="E13" s="62">
        <v>2022</v>
      </c>
      <c r="F13" s="61"/>
      <c r="G13" s="94"/>
      <c r="H13" s="94"/>
      <c r="I13" s="63">
        <v>98681</v>
      </c>
    </row>
    <row r="14" spans="1:9" x14ac:dyDescent="0.3">
      <c r="A14" s="4" t="s">
        <v>497</v>
      </c>
      <c r="B14" s="25">
        <v>10366</v>
      </c>
      <c r="C14" s="25">
        <v>2931.3</v>
      </c>
      <c r="E14" s="62">
        <v>2023</v>
      </c>
      <c r="F14" s="61"/>
      <c r="G14" s="94"/>
      <c r="H14" s="94"/>
      <c r="I14" s="63">
        <v>98681</v>
      </c>
    </row>
    <row r="15" spans="1:9" x14ac:dyDescent="0.3">
      <c r="A15" s="4" t="s">
        <v>712</v>
      </c>
      <c r="B15" s="25">
        <v>2878</v>
      </c>
      <c r="C15" s="25">
        <v>1049.2</v>
      </c>
      <c r="D15" s="25"/>
      <c r="E15" s="62">
        <v>2024</v>
      </c>
      <c r="F15" s="61"/>
      <c r="G15" s="94"/>
      <c r="H15" s="94"/>
      <c r="I15" s="63">
        <v>98681</v>
      </c>
    </row>
    <row r="16" spans="1:9" x14ac:dyDescent="0.3">
      <c r="A16" s="56" t="s">
        <v>29</v>
      </c>
      <c r="B16" s="25">
        <v>64335.100000000006</v>
      </c>
      <c r="C16" s="25">
        <v>18829.100000000002</v>
      </c>
      <c r="E16" s="62">
        <v>2025</v>
      </c>
      <c r="F16" s="61"/>
      <c r="G16" s="94"/>
      <c r="H16" s="94"/>
      <c r="I16" s="63">
        <v>98681</v>
      </c>
    </row>
    <row r="17" spans="1:9" x14ac:dyDescent="0.3">
      <c r="A17" s="4">
        <v>1984</v>
      </c>
      <c r="B17" s="25">
        <v>45</v>
      </c>
      <c r="C17" s="25">
        <v>21.1</v>
      </c>
      <c r="E17" s="62">
        <v>2026</v>
      </c>
      <c r="F17" s="61"/>
      <c r="G17" s="94"/>
      <c r="H17" s="94"/>
      <c r="I17" s="63">
        <v>98681</v>
      </c>
    </row>
    <row r="18" spans="1:9" x14ac:dyDescent="0.3">
      <c r="A18" s="4">
        <v>1992</v>
      </c>
      <c r="B18" s="25">
        <v>6</v>
      </c>
      <c r="C18" s="25">
        <v>3.4</v>
      </c>
      <c r="E18" s="62">
        <v>2027</v>
      </c>
      <c r="F18" s="61"/>
      <c r="G18" s="94"/>
      <c r="H18" s="94"/>
      <c r="I18" s="63">
        <v>98681</v>
      </c>
    </row>
    <row r="19" spans="1:9" x14ac:dyDescent="0.3">
      <c r="A19" s="4">
        <v>1995</v>
      </c>
      <c r="B19" s="25">
        <v>26</v>
      </c>
      <c r="C19" s="25">
        <v>13.6</v>
      </c>
      <c r="E19" s="62">
        <v>2028</v>
      </c>
      <c r="F19" s="61"/>
      <c r="G19" s="94"/>
      <c r="H19" s="94"/>
      <c r="I19" s="63">
        <v>98681</v>
      </c>
    </row>
    <row r="20" spans="1:9" x14ac:dyDescent="0.3">
      <c r="A20" s="4">
        <v>1996</v>
      </c>
      <c r="B20" s="25">
        <v>57</v>
      </c>
      <c r="C20" s="25">
        <v>34.200000000000003</v>
      </c>
      <c r="E20" s="62">
        <v>2029</v>
      </c>
      <c r="F20" s="61"/>
      <c r="G20" s="94"/>
      <c r="H20" s="94"/>
      <c r="I20" s="63">
        <v>98681</v>
      </c>
    </row>
    <row r="21" spans="1:9" x14ac:dyDescent="0.3">
      <c r="A21" s="4">
        <v>1997</v>
      </c>
      <c r="B21" s="25">
        <v>22</v>
      </c>
      <c r="C21" s="25">
        <v>9.9</v>
      </c>
      <c r="E21" s="62">
        <v>2030</v>
      </c>
      <c r="F21" s="61"/>
      <c r="G21" s="94"/>
      <c r="H21" s="94"/>
      <c r="I21" s="63">
        <v>98681</v>
      </c>
    </row>
    <row r="22" spans="1:9" x14ac:dyDescent="0.3">
      <c r="A22" s="4">
        <v>1999</v>
      </c>
      <c r="B22" s="25">
        <v>1248</v>
      </c>
      <c r="C22" s="25">
        <v>477.3</v>
      </c>
      <c r="E22" s="62">
        <v>2031</v>
      </c>
      <c r="F22" s="61"/>
      <c r="G22" s="94"/>
      <c r="H22" s="94"/>
      <c r="I22" s="63">
        <v>98681</v>
      </c>
    </row>
    <row r="23" spans="1:9" ht="30" customHeight="1" x14ac:dyDescent="0.3">
      <c r="A23" s="4">
        <v>2000</v>
      </c>
      <c r="B23" s="25">
        <v>426</v>
      </c>
      <c r="C23" s="25">
        <v>79.100000000000009</v>
      </c>
      <c r="E23" s="62">
        <v>2032</v>
      </c>
      <c r="F23" s="61"/>
      <c r="G23" s="94"/>
      <c r="H23" s="94"/>
      <c r="I23" s="63">
        <v>98681</v>
      </c>
    </row>
    <row r="24" spans="1:9" x14ac:dyDescent="0.3">
      <c r="A24" s="4">
        <v>2001</v>
      </c>
      <c r="B24" s="25">
        <v>332</v>
      </c>
      <c r="C24" s="25">
        <v>57.800000000000004</v>
      </c>
      <c r="E24" s="62">
        <v>2033</v>
      </c>
      <c r="F24" s="61"/>
      <c r="G24" s="94"/>
      <c r="H24" s="94"/>
      <c r="I24" s="63">
        <v>98681</v>
      </c>
    </row>
    <row r="25" spans="1:9" x14ac:dyDescent="0.3">
      <c r="A25" s="4">
        <v>2002</v>
      </c>
      <c r="B25" s="25">
        <v>571</v>
      </c>
      <c r="C25" s="25">
        <v>188.4</v>
      </c>
    </row>
    <row r="26" spans="1:9" x14ac:dyDescent="0.3">
      <c r="A26" s="4">
        <v>2003</v>
      </c>
      <c r="B26" s="25">
        <v>447</v>
      </c>
      <c r="C26" s="25">
        <v>147.69999999999999</v>
      </c>
    </row>
    <row r="27" spans="1:9" x14ac:dyDescent="0.3">
      <c r="A27" s="4">
        <v>2004</v>
      </c>
      <c r="B27" s="25">
        <v>4880</v>
      </c>
      <c r="C27" s="25">
        <v>1929.1000000000004</v>
      </c>
      <c r="F27" s="57" t="s">
        <v>575</v>
      </c>
      <c r="G27" s="57"/>
    </row>
    <row r="28" spans="1:9" ht="57.6" x14ac:dyDescent="0.3">
      <c r="A28" s="4">
        <v>2005</v>
      </c>
      <c r="B28" s="25">
        <v>3476</v>
      </c>
      <c r="C28" s="25">
        <v>616.80000000000007</v>
      </c>
      <c r="E28" s="72" t="s">
        <v>709</v>
      </c>
      <c r="F28" s="71" t="s">
        <v>710</v>
      </c>
      <c r="G28" s="72" t="s">
        <v>711</v>
      </c>
      <c r="H28" s="73" t="s">
        <v>713</v>
      </c>
      <c r="I28" s="73" t="s">
        <v>1064</v>
      </c>
    </row>
    <row r="29" spans="1:9" x14ac:dyDescent="0.3">
      <c r="A29" s="4">
        <v>2007</v>
      </c>
      <c r="B29" s="25">
        <v>17</v>
      </c>
      <c r="C29" s="25">
        <v>2</v>
      </c>
      <c r="E29" s="59"/>
      <c r="F29" s="60"/>
      <c r="G29" s="94"/>
      <c r="H29" s="94"/>
      <c r="I29" s="63">
        <v>123183</v>
      </c>
    </row>
    <row r="30" spans="1:9" x14ac:dyDescent="0.3">
      <c r="A30" s="4">
        <v>2008</v>
      </c>
      <c r="B30" s="25">
        <v>40</v>
      </c>
      <c r="C30" s="25">
        <v>5.8999999999999995</v>
      </c>
      <c r="E30" s="62">
        <v>2013</v>
      </c>
      <c r="F30" s="61">
        <f>SUM(B17:B34)+GETPIVOTDATA("Sum of TNReduction(lbs/yr)",$A$3,"EstimatedCompletionDate","N/A","Location","B")+GETPIVOTDATA("Sum of TNReduction(lbs/yr)",$A$3,"EstimatedCompletionDate","Prior to 2013","Location","B")</f>
        <v>39665</v>
      </c>
      <c r="G30" s="94"/>
      <c r="H30" s="94"/>
      <c r="I30" s="63">
        <v>123183</v>
      </c>
    </row>
    <row r="31" spans="1:9" x14ac:dyDescent="0.3">
      <c r="A31" s="4">
        <v>2009</v>
      </c>
      <c r="B31" s="25">
        <v>351</v>
      </c>
      <c r="C31" s="25">
        <v>35.700000000000003</v>
      </c>
      <c r="E31" s="62">
        <v>2014</v>
      </c>
      <c r="F31" s="61">
        <f>F30+GETPIVOTDATA("Sum of TNReduction(lbs/yr)",$A$3,"EstimatedCompletionDate",2014,"Location","B")</f>
        <v>45146.04</v>
      </c>
      <c r="G31" s="94"/>
      <c r="H31" s="94"/>
      <c r="I31" s="63">
        <v>123183</v>
      </c>
    </row>
    <row r="32" spans="1:9" x14ac:dyDescent="0.3">
      <c r="A32" s="4">
        <v>2010</v>
      </c>
      <c r="B32" s="25">
        <v>4648</v>
      </c>
      <c r="C32" s="25">
        <v>2814.4</v>
      </c>
      <c r="E32" s="62">
        <v>2015</v>
      </c>
      <c r="F32" s="61">
        <f>F31+GETPIVOTDATA("Sum of TNReduction(lbs/yr)",$A$3,"EstimatedCompletionDate",2015,"Location","B")</f>
        <v>56187.16</v>
      </c>
      <c r="G32" s="94"/>
      <c r="H32" s="94"/>
      <c r="I32" s="63">
        <v>123183</v>
      </c>
    </row>
    <row r="33" spans="1:9" x14ac:dyDescent="0.3">
      <c r="A33" s="4">
        <v>2011</v>
      </c>
      <c r="B33" s="25">
        <v>173</v>
      </c>
      <c r="C33" s="25">
        <v>7.8</v>
      </c>
      <c r="E33" s="62">
        <v>2016</v>
      </c>
      <c r="F33" s="61">
        <f>F32+GETPIVOTDATA("Sum of TNReduction(lbs/yr)",$A$3,"EstimatedCompletionDate",2016,"Location","B")</f>
        <v>56918.83</v>
      </c>
      <c r="G33" s="94"/>
      <c r="H33" s="94"/>
      <c r="I33" s="63">
        <v>123183</v>
      </c>
    </row>
    <row r="34" spans="1:9" x14ac:dyDescent="0.3">
      <c r="A34" s="4">
        <v>2013</v>
      </c>
      <c r="B34" s="25">
        <v>21</v>
      </c>
      <c r="C34" s="25">
        <v>2.2999999999999998</v>
      </c>
      <c r="E34" s="62">
        <v>2017</v>
      </c>
      <c r="F34" s="61">
        <f>F33+GETPIVOTDATA("Sum of TNReduction(lbs/yr)",$A$3,"EstimatedCompletionDate",2017,"Location","B")</f>
        <v>63862.350000000006</v>
      </c>
      <c r="G34" s="94"/>
      <c r="H34" s="94"/>
      <c r="I34" s="63">
        <v>123183</v>
      </c>
    </row>
    <row r="35" spans="1:9" x14ac:dyDescent="0.3">
      <c r="A35" s="4">
        <v>2014</v>
      </c>
      <c r="B35" s="25">
        <v>5481.04</v>
      </c>
      <c r="C35" s="25">
        <v>1688.8999999999999</v>
      </c>
      <c r="E35" s="62">
        <v>2018</v>
      </c>
      <c r="F35" s="61">
        <f>F34+GETPIVOTDATA("Sum of TNReduction(lbs/yr)",$A$3,"EstimatedCompletionDate",2018,"Location","B")</f>
        <v>64335.100000000006</v>
      </c>
      <c r="G35" s="94"/>
      <c r="H35" s="94"/>
      <c r="I35" s="63">
        <v>123183</v>
      </c>
    </row>
    <row r="36" spans="1:9" x14ac:dyDescent="0.3">
      <c r="A36" s="4">
        <v>2015</v>
      </c>
      <c r="B36" s="25">
        <v>11041.12</v>
      </c>
      <c r="C36" s="25">
        <v>3233.25</v>
      </c>
      <c r="E36" s="62">
        <v>2019</v>
      </c>
      <c r="F36" s="61">
        <f>F35+GETPIVOTDATA("Sum of TNReduction(lbs/yr)",$A$3,"EstimatedCompletionDate",2019,"Location","B")</f>
        <v>64335.100000000006</v>
      </c>
      <c r="G36" s="94"/>
      <c r="H36" s="94"/>
      <c r="I36" s="63">
        <v>123183</v>
      </c>
    </row>
    <row r="37" spans="1:9" x14ac:dyDescent="0.3">
      <c r="A37" s="4">
        <v>2016</v>
      </c>
      <c r="B37" s="25">
        <v>731.66999999999985</v>
      </c>
      <c r="C37" s="25">
        <v>274.24</v>
      </c>
      <c r="E37" s="62">
        <v>2020</v>
      </c>
      <c r="F37" s="61"/>
      <c r="G37" s="94"/>
      <c r="H37" s="94"/>
      <c r="I37" s="63">
        <v>123183</v>
      </c>
    </row>
    <row r="38" spans="1:9" x14ac:dyDescent="0.3">
      <c r="A38" s="4">
        <v>2017</v>
      </c>
      <c r="B38" s="25">
        <v>6943.52</v>
      </c>
      <c r="C38" s="25">
        <v>1493.2900000000002</v>
      </c>
      <c r="E38" s="62">
        <v>2021</v>
      </c>
      <c r="F38" s="61"/>
      <c r="G38" s="94"/>
      <c r="H38" s="94"/>
      <c r="I38" s="63">
        <v>123183</v>
      </c>
    </row>
    <row r="39" spans="1:9" x14ac:dyDescent="0.3">
      <c r="A39" s="4">
        <v>2018</v>
      </c>
      <c r="B39" s="25">
        <v>472.75</v>
      </c>
      <c r="C39" s="25">
        <v>78.12</v>
      </c>
      <c r="E39" s="62">
        <v>2022</v>
      </c>
      <c r="F39" s="61"/>
      <c r="G39" s="94"/>
      <c r="H39" s="94"/>
      <c r="I39" s="63">
        <v>123183</v>
      </c>
    </row>
    <row r="40" spans="1:9" x14ac:dyDescent="0.3">
      <c r="A40" s="4">
        <v>2019</v>
      </c>
      <c r="B40" s="25">
        <v>0</v>
      </c>
      <c r="C40" s="25">
        <v>0</v>
      </c>
      <c r="E40" s="62">
        <v>2023</v>
      </c>
      <c r="F40" s="61"/>
      <c r="G40" s="94"/>
      <c r="H40" s="94"/>
      <c r="I40" s="63">
        <v>123183</v>
      </c>
    </row>
    <row r="41" spans="1:9" x14ac:dyDescent="0.3">
      <c r="A41" s="4" t="s">
        <v>497</v>
      </c>
      <c r="B41" s="25">
        <v>21212</v>
      </c>
      <c r="C41" s="25">
        <v>5363.3</v>
      </c>
      <c r="E41" s="62">
        <v>2024</v>
      </c>
      <c r="F41" s="61"/>
      <c r="G41" s="94"/>
      <c r="H41" s="94"/>
      <c r="I41" s="63">
        <v>123183</v>
      </c>
    </row>
    <row r="42" spans="1:9" x14ac:dyDescent="0.3">
      <c r="A42" s="4" t="s">
        <v>712</v>
      </c>
      <c r="B42" s="25">
        <v>1667</v>
      </c>
      <c r="C42" s="25">
        <v>251.49999999999997</v>
      </c>
      <c r="E42" s="62">
        <v>2025</v>
      </c>
      <c r="F42" s="61"/>
      <c r="G42" s="94"/>
      <c r="H42" s="94"/>
      <c r="I42" s="63">
        <v>123183</v>
      </c>
    </row>
    <row r="43" spans="1:9" x14ac:dyDescent="0.3">
      <c r="A43" s="56" t="s">
        <v>180</v>
      </c>
      <c r="B43" s="25">
        <v>97132.010000000009</v>
      </c>
      <c r="C43" s="25">
        <v>29649.280000000002</v>
      </c>
      <c r="E43" s="62">
        <v>2026</v>
      </c>
      <c r="F43" s="61"/>
      <c r="G43" s="94"/>
      <c r="H43" s="94"/>
      <c r="I43" s="63">
        <v>123183</v>
      </c>
    </row>
    <row r="44" spans="1:9" x14ac:dyDescent="0.3">
      <c r="B44"/>
      <c r="C44"/>
      <c r="E44" s="62">
        <v>2027</v>
      </c>
      <c r="F44" s="61"/>
      <c r="G44" s="94"/>
      <c r="H44" s="94"/>
      <c r="I44" s="63">
        <v>123183</v>
      </c>
    </row>
    <row r="45" spans="1:9" x14ac:dyDescent="0.3">
      <c r="B45"/>
      <c r="C45"/>
      <c r="E45" s="62">
        <v>2028</v>
      </c>
      <c r="F45" s="61"/>
      <c r="G45" s="94"/>
      <c r="H45" s="94"/>
      <c r="I45" s="63">
        <v>123183</v>
      </c>
    </row>
    <row r="46" spans="1:9" x14ac:dyDescent="0.3">
      <c r="B46"/>
      <c r="C46"/>
      <c r="E46" s="62">
        <v>2029</v>
      </c>
      <c r="F46" s="61"/>
      <c r="G46" s="94"/>
      <c r="H46" s="94"/>
      <c r="I46" s="63">
        <v>123183</v>
      </c>
    </row>
    <row r="47" spans="1:9" x14ac:dyDescent="0.3">
      <c r="B47"/>
      <c r="C47"/>
      <c r="E47" s="62">
        <v>2030</v>
      </c>
      <c r="F47" s="61"/>
      <c r="G47" s="94"/>
      <c r="H47" s="94"/>
      <c r="I47" s="63">
        <v>123183</v>
      </c>
    </row>
    <row r="48" spans="1:9" x14ac:dyDescent="0.3">
      <c r="B48"/>
      <c r="C48"/>
      <c r="E48" s="62">
        <v>2031</v>
      </c>
      <c r="F48" s="61"/>
      <c r="G48" s="94"/>
      <c r="H48" s="94"/>
      <c r="I48" s="63">
        <v>123183</v>
      </c>
    </row>
    <row r="49" spans="2:9" x14ac:dyDescent="0.3">
      <c r="B49"/>
      <c r="C49"/>
      <c r="E49" s="62">
        <v>2032</v>
      </c>
      <c r="F49" s="61"/>
      <c r="G49" s="94"/>
      <c r="H49" s="94"/>
      <c r="I49" s="63">
        <v>123183</v>
      </c>
    </row>
    <row r="50" spans="2:9" x14ac:dyDescent="0.3">
      <c r="B50"/>
      <c r="C50"/>
      <c r="E50" s="62">
        <v>2033</v>
      </c>
      <c r="F50" s="61"/>
      <c r="G50" s="94"/>
      <c r="H50" s="94"/>
      <c r="I50" s="63">
        <v>123183</v>
      </c>
    </row>
    <row r="51" spans="2:9" x14ac:dyDescent="0.3">
      <c r="B51"/>
      <c r="C51"/>
    </row>
    <row r="52" spans="2:9" x14ac:dyDescent="0.3">
      <c r="B52"/>
      <c r="C52"/>
    </row>
    <row r="53" spans="2:9" x14ac:dyDescent="0.3">
      <c r="B53"/>
      <c r="C53"/>
    </row>
  </sheetData>
  <pageMargins left="0.7" right="0.7" top="0.75" bottom="0.75" header="0.3" footer="0.3"/>
  <pageSetup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D184C-16D9-499C-B1FA-404CC8BAB5B3}">
  <dimension ref="A1:I51"/>
  <sheetViews>
    <sheetView workbookViewId="0">
      <selection activeCell="Y34" sqref="Y34"/>
    </sheetView>
  </sheetViews>
  <sheetFormatPr defaultRowHeight="14.4" x14ac:dyDescent="0.3"/>
  <cols>
    <col min="1" max="1" width="15.88671875" bestFit="1" customWidth="1"/>
    <col min="2" max="2" width="25.88671875" style="25" bestFit="1" customWidth="1"/>
    <col min="6" max="6" width="17" customWidth="1"/>
  </cols>
  <sheetData>
    <row r="1" spans="1:9" x14ac:dyDescent="0.3">
      <c r="A1" s="3" t="s">
        <v>720</v>
      </c>
      <c r="B1" s="25" t="s">
        <v>3</v>
      </c>
    </row>
    <row r="2" spans="1:9" x14ac:dyDescent="0.3">
      <c r="F2" s="57" t="s">
        <v>574</v>
      </c>
      <c r="G2" s="57"/>
    </row>
    <row r="3" spans="1:9" ht="41.25" customHeight="1" x14ac:dyDescent="0.3">
      <c r="A3" s="3" t="s">
        <v>179</v>
      </c>
      <c r="B3" s="25" t="s">
        <v>757</v>
      </c>
      <c r="E3" s="58" t="s">
        <v>709</v>
      </c>
      <c r="F3" s="65" t="s">
        <v>714</v>
      </c>
      <c r="G3" s="58" t="s">
        <v>711</v>
      </c>
      <c r="H3" s="64" t="s">
        <v>713</v>
      </c>
      <c r="I3" s="64" t="s">
        <v>1064</v>
      </c>
    </row>
    <row r="4" spans="1:9" x14ac:dyDescent="0.3">
      <c r="A4" s="56" t="s">
        <v>30</v>
      </c>
      <c r="B4" s="25">
        <v>10820.18</v>
      </c>
      <c r="E4" s="59"/>
      <c r="F4" s="60"/>
      <c r="G4" s="94"/>
      <c r="H4" s="94"/>
      <c r="I4" s="63">
        <v>19336</v>
      </c>
    </row>
    <row r="5" spans="1:9" x14ac:dyDescent="0.3">
      <c r="A5" s="4">
        <v>2005</v>
      </c>
      <c r="B5" s="25">
        <v>63.2</v>
      </c>
      <c r="E5" s="62">
        <v>2013</v>
      </c>
      <c r="F5" s="61">
        <f>SUM(B5:B8)+GETPIVOTDATA("TPReduction(lbs/yr)",$A$3,"EstimatedCompletionDate","N/A","Location","A")+GETPIVOTDATA("TPReduction(lbs/yr)",$A$3,"EstimatedCompletionDate","Prior to 2013","Location","A")</f>
        <v>7184.5999999999995</v>
      </c>
      <c r="G5" s="94"/>
      <c r="H5" s="94"/>
      <c r="I5" s="63">
        <v>19336</v>
      </c>
    </row>
    <row r="6" spans="1:9" x14ac:dyDescent="0.3">
      <c r="A6" s="4">
        <v>2007</v>
      </c>
      <c r="B6" s="25">
        <v>377.9</v>
      </c>
      <c r="E6" s="62">
        <v>2014</v>
      </c>
      <c r="F6" s="61">
        <f>F5+GETPIVOTDATA("TPReduction(lbs/yr)",$A$3,"EstimatedCompletionDate",2014,"Location","A")</f>
        <v>10000.200000000001</v>
      </c>
      <c r="G6" s="94"/>
      <c r="H6" s="94"/>
      <c r="I6" s="63">
        <v>19336</v>
      </c>
    </row>
    <row r="7" spans="1:9" x14ac:dyDescent="0.3">
      <c r="A7" s="4">
        <v>2010</v>
      </c>
      <c r="B7" s="25">
        <v>2547.1</v>
      </c>
      <c r="E7" s="62">
        <v>2015</v>
      </c>
      <c r="F7" s="61">
        <f>F6+GETPIVOTDATA("TPReduction(lbs/yr)",$A$3,"EstimatedCompletionDate",2015,"Location","A")</f>
        <v>10087.280000000001</v>
      </c>
      <c r="G7" s="94"/>
      <c r="H7" s="94"/>
      <c r="I7" s="63">
        <v>19336</v>
      </c>
    </row>
    <row r="8" spans="1:9" x14ac:dyDescent="0.3">
      <c r="A8" s="4">
        <v>2011</v>
      </c>
      <c r="B8" s="25">
        <v>215.9</v>
      </c>
      <c r="E8" s="62">
        <v>2016</v>
      </c>
      <c r="F8" s="61">
        <f>F7+GETPIVOTDATA("TPReduction(lbs/yr)",$A$3,"EstimatedCompletionDate",2016,"Location","A")</f>
        <v>10555.18</v>
      </c>
      <c r="G8" s="94"/>
      <c r="H8" s="94"/>
      <c r="I8" s="63">
        <v>19336</v>
      </c>
    </row>
    <row r="9" spans="1:9" x14ac:dyDescent="0.3">
      <c r="A9" s="4">
        <v>2014</v>
      </c>
      <c r="B9" s="25">
        <v>2815.6000000000004</v>
      </c>
      <c r="E9" s="62">
        <v>2017</v>
      </c>
      <c r="F9" s="61">
        <f>F8</f>
        <v>10555.18</v>
      </c>
      <c r="G9" s="94"/>
      <c r="H9" s="94"/>
      <c r="I9" s="63">
        <v>19336</v>
      </c>
    </row>
    <row r="10" spans="1:9" x14ac:dyDescent="0.3">
      <c r="A10" s="4">
        <v>2015</v>
      </c>
      <c r="B10" s="25">
        <v>87.08</v>
      </c>
      <c r="E10" s="62">
        <v>2018</v>
      </c>
      <c r="F10" s="61">
        <f>F9+GETPIVOTDATA("TPReduction(lbs/yr)",$A$3,"EstimatedCompletionDate",2018,"Location","A")</f>
        <v>10820.18</v>
      </c>
      <c r="G10" s="94"/>
      <c r="H10" s="94"/>
      <c r="I10" s="63">
        <v>19336</v>
      </c>
    </row>
    <row r="11" spans="1:9" x14ac:dyDescent="0.3">
      <c r="A11" s="4">
        <v>2016</v>
      </c>
      <c r="B11" s="25">
        <v>467.9</v>
      </c>
      <c r="E11" s="62">
        <v>2019</v>
      </c>
      <c r="F11" s="61">
        <f>F10+GETPIVOTDATA("TPReduction(lbs/yr)",$A$3,"EstimatedCompletionDate",2019,"Location","A")</f>
        <v>10820.18</v>
      </c>
      <c r="G11" s="94"/>
      <c r="H11" s="94"/>
      <c r="I11" s="63">
        <v>19336</v>
      </c>
    </row>
    <row r="12" spans="1:9" x14ac:dyDescent="0.3">
      <c r="A12" s="4">
        <v>2018</v>
      </c>
      <c r="B12" s="25">
        <v>265</v>
      </c>
      <c r="E12" s="62">
        <v>2020</v>
      </c>
      <c r="F12" s="61"/>
      <c r="G12" s="94"/>
      <c r="H12" s="94"/>
      <c r="I12" s="63">
        <v>19336</v>
      </c>
    </row>
    <row r="13" spans="1:9" x14ac:dyDescent="0.3">
      <c r="A13" s="4">
        <v>2019</v>
      </c>
      <c r="B13" s="25">
        <v>0</v>
      </c>
      <c r="E13" s="62">
        <v>2021</v>
      </c>
      <c r="F13" s="61"/>
      <c r="G13" s="94"/>
      <c r="H13" s="94"/>
      <c r="I13" s="63">
        <v>19336</v>
      </c>
    </row>
    <row r="14" spans="1:9" x14ac:dyDescent="0.3">
      <c r="A14" s="4" t="s">
        <v>497</v>
      </c>
      <c r="B14" s="25">
        <v>2931.3</v>
      </c>
      <c r="E14" s="62">
        <v>2022</v>
      </c>
      <c r="F14" s="61"/>
      <c r="G14" s="94"/>
      <c r="H14" s="94"/>
      <c r="I14" s="63">
        <v>19336</v>
      </c>
    </row>
    <row r="15" spans="1:9" x14ac:dyDescent="0.3">
      <c r="A15" s="4" t="s">
        <v>712</v>
      </c>
      <c r="B15" s="25">
        <v>1049.2</v>
      </c>
      <c r="E15" s="62">
        <v>2023</v>
      </c>
      <c r="F15" s="61"/>
      <c r="G15" s="94"/>
      <c r="H15" s="94"/>
      <c r="I15" s="63">
        <v>19336</v>
      </c>
    </row>
    <row r="16" spans="1:9" x14ac:dyDescent="0.3">
      <c r="A16" s="56" t="s">
        <v>29</v>
      </c>
      <c r="B16" s="25">
        <v>18829.100000000002</v>
      </c>
      <c r="E16" s="62">
        <v>2024</v>
      </c>
      <c r="F16" s="61"/>
      <c r="G16" s="94"/>
      <c r="H16" s="94"/>
      <c r="I16" s="63">
        <v>19336</v>
      </c>
    </row>
    <row r="17" spans="1:9" x14ac:dyDescent="0.3">
      <c r="A17" s="4">
        <v>1984</v>
      </c>
      <c r="B17" s="25">
        <v>21.1</v>
      </c>
      <c r="E17" s="62">
        <v>2025</v>
      </c>
      <c r="F17" s="61"/>
      <c r="G17" s="94"/>
      <c r="H17" s="94"/>
      <c r="I17" s="63">
        <v>19336</v>
      </c>
    </row>
    <row r="18" spans="1:9" x14ac:dyDescent="0.3">
      <c r="A18" s="4">
        <v>1992</v>
      </c>
      <c r="B18" s="25">
        <v>3.4</v>
      </c>
      <c r="E18" s="62">
        <v>2026</v>
      </c>
      <c r="F18" s="61"/>
      <c r="G18" s="94"/>
      <c r="H18" s="94"/>
      <c r="I18" s="63">
        <v>19336</v>
      </c>
    </row>
    <row r="19" spans="1:9" x14ac:dyDescent="0.3">
      <c r="A19" s="4">
        <v>1995</v>
      </c>
      <c r="B19" s="25">
        <v>13.6</v>
      </c>
      <c r="E19" s="62">
        <v>2027</v>
      </c>
      <c r="F19" s="61"/>
      <c r="G19" s="94"/>
      <c r="H19" s="94"/>
      <c r="I19" s="63">
        <v>19336</v>
      </c>
    </row>
    <row r="20" spans="1:9" x14ac:dyDescent="0.3">
      <c r="A20" s="4">
        <v>1996</v>
      </c>
      <c r="B20" s="25">
        <v>34.200000000000003</v>
      </c>
      <c r="E20" s="62">
        <v>2028</v>
      </c>
      <c r="F20" s="61"/>
      <c r="G20" s="94"/>
      <c r="H20" s="94"/>
      <c r="I20" s="63">
        <v>19336</v>
      </c>
    </row>
    <row r="21" spans="1:9" x14ac:dyDescent="0.3">
      <c r="A21" s="4">
        <v>1997</v>
      </c>
      <c r="B21" s="25">
        <v>9.9</v>
      </c>
      <c r="E21" s="62">
        <v>2029</v>
      </c>
      <c r="F21" s="61"/>
      <c r="G21" s="94"/>
      <c r="H21" s="94"/>
      <c r="I21" s="63">
        <v>19336</v>
      </c>
    </row>
    <row r="22" spans="1:9" x14ac:dyDescent="0.3">
      <c r="A22" s="4">
        <v>1999</v>
      </c>
      <c r="B22" s="25">
        <v>477.3</v>
      </c>
      <c r="E22" s="62">
        <v>2030</v>
      </c>
      <c r="F22" s="61"/>
      <c r="G22" s="94"/>
      <c r="H22" s="94"/>
      <c r="I22" s="63">
        <v>19336</v>
      </c>
    </row>
    <row r="23" spans="1:9" x14ac:dyDescent="0.3">
      <c r="A23" s="4">
        <v>2000</v>
      </c>
      <c r="B23" s="25">
        <v>79.100000000000009</v>
      </c>
      <c r="E23" s="62">
        <v>2031</v>
      </c>
      <c r="F23" s="61"/>
      <c r="G23" s="94"/>
      <c r="H23" s="94"/>
      <c r="I23" s="63">
        <v>19336</v>
      </c>
    </row>
    <row r="24" spans="1:9" ht="33.75" customHeight="1" x14ac:dyDescent="0.3">
      <c r="A24" s="4">
        <v>2001</v>
      </c>
      <c r="B24" s="25">
        <v>57.800000000000004</v>
      </c>
      <c r="E24" s="62">
        <v>2032</v>
      </c>
      <c r="F24" s="61"/>
      <c r="G24" s="94"/>
      <c r="H24" s="94"/>
      <c r="I24" s="63">
        <v>19336</v>
      </c>
    </row>
    <row r="25" spans="1:9" x14ac:dyDescent="0.3">
      <c r="A25" s="4">
        <v>2002</v>
      </c>
      <c r="B25" s="25">
        <v>188.4</v>
      </c>
      <c r="E25" s="62">
        <v>2033</v>
      </c>
      <c r="F25" s="61"/>
      <c r="G25" s="94"/>
      <c r="H25" s="94"/>
      <c r="I25" s="63">
        <v>19336</v>
      </c>
    </row>
    <row r="26" spans="1:9" x14ac:dyDescent="0.3">
      <c r="A26" s="4">
        <v>2003</v>
      </c>
      <c r="B26" s="25">
        <v>147.69999999999999</v>
      </c>
    </row>
    <row r="27" spans="1:9" x14ac:dyDescent="0.3">
      <c r="A27" s="4">
        <v>2004</v>
      </c>
      <c r="B27" s="25">
        <v>1929.1000000000004</v>
      </c>
    </row>
    <row r="28" spans="1:9" x14ac:dyDescent="0.3">
      <c r="A28" s="4">
        <v>2005</v>
      </c>
      <c r="B28" s="25">
        <v>616.80000000000007</v>
      </c>
      <c r="F28" s="57" t="s">
        <v>575</v>
      </c>
      <c r="G28" s="57"/>
    </row>
    <row r="29" spans="1:9" ht="57.6" x14ac:dyDescent="0.3">
      <c r="A29" s="4">
        <v>2007</v>
      </c>
      <c r="B29" s="25">
        <v>2</v>
      </c>
      <c r="E29" s="58" t="s">
        <v>709</v>
      </c>
      <c r="F29" s="65" t="s">
        <v>714</v>
      </c>
      <c r="G29" s="58" t="s">
        <v>711</v>
      </c>
      <c r="H29" s="64" t="s">
        <v>713</v>
      </c>
      <c r="I29" s="64" t="s">
        <v>1064</v>
      </c>
    </row>
    <row r="30" spans="1:9" x14ac:dyDescent="0.3">
      <c r="A30" s="4">
        <v>2008</v>
      </c>
      <c r="B30" s="25">
        <v>5.8999999999999995</v>
      </c>
      <c r="E30" s="59"/>
      <c r="F30" s="60"/>
      <c r="G30" s="94"/>
      <c r="H30" s="94"/>
      <c r="I30" s="63">
        <v>32721</v>
      </c>
    </row>
    <row r="31" spans="1:9" x14ac:dyDescent="0.3">
      <c r="A31" s="4">
        <v>2009</v>
      </c>
      <c r="B31" s="25">
        <v>35.700000000000003</v>
      </c>
      <c r="E31" s="62">
        <v>2013</v>
      </c>
      <c r="F31" s="61">
        <f>SUM(B17:B34)+GETPIVOTDATA("TPReduction(lbs/yr)",$A$3,"EstimatedCompletionDate","N/A","Location","B")+GETPIVOTDATA("TPReduction(lbs/yr)",$A$3,"EstimatedCompletionDate","Prior to 2013","Location","B")</f>
        <v>12061.300000000001</v>
      </c>
      <c r="G31" s="94"/>
      <c r="H31" s="94"/>
      <c r="I31" s="63">
        <v>32721</v>
      </c>
    </row>
    <row r="32" spans="1:9" x14ac:dyDescent="0.3">
      <c r="A32" s="4">
        <v>2010</v>
      </c>
      <c r="B32" s="25">
        <v>2814.4</v>
      </c>
      <c r="E32" s="62">
        <v>2014</v>
      </c>
      <c r="F32" s="61">
        <f>F31+GETPIVOTDATA("TPReduction(lbs/yr)",$A$3,"EstimatedCompletionDate",2014,"Location","B")</f>
        <v>13750.2</v>
      </c>
      <c r="G32" s="94"/>
      <c r="H32" s="94"/>
      <c r="I32" s="63">
        <v>32721</v>
      </c>
    </row>
    <row r="33" spans="1:9" x14ac:dyDescent="0.3">
      <c r="A33" s="4">
        <v>2011</v>
      </c>
      <c r="B33" s="25">
        <v>7.8</v>
      </c>
      <c r="E33" s="62">
        <v>2015</v>
      </c>
      <c r="F33" s="61">
        <f>F32+GETPIVOTDATA("TPReduction(lbs/yr)",$A$3,"EstimatedCompletionDate",2015,"Location","B")</f>
        <v>16983.45</v>
      </c>
      <c r="G33" s="94"/>
      <c r="H33" s="94"/>
      <c r="I33" s="63">
        <v>32721</v>
      </c>
    </row>
    <row r="34" spans="1:9" x14ac:dyDescent="0.3">
      <c r="A34" s="4">
        <v>2013</v>
      </c>
      <c r="B34" s="25">
        <v>2.2999999999999998</v>
      </c>
      <c r="E34" s="62">
        <v>2016</v>
      </c>
      <c r="F34" s="61">
        <f>F33+GETPIVOTDATA("TPReduction(lbs/yr)",$A$3,"EstimatedCompletionDate",2016,"Location","B")</f>
        <v>17257.690000000002</v>
      </c>
      <c r="G34" s="94"/>
      <c r="H34" s="94"/>
      <c r="I34" s="63">
        <v>32721</v>
      </c>
    </row>
    <row r="35" spans="1:9" x14ac:dyDescent="0.3">
      <c r="A35" s="4">
        <v>2014</v>
      </c>
      <c r="B35" s="25">
        <v>1688.8999999999999</v>
      </c>
      <c r="E35" s="62">
        <v>2017</v>
      </c>
      <c r="F35" s="61">
        <f>F34+GETPIVOTDATA("TPReduction(lbs/yr)",$A$3,"EstimatedCompletionDate",2017,"Location","B")</f>
        <v>18750.980000000003</v>
      </c>
      <c r="G35" s="94"/>
      <c r="H35" s="94"/>
      <c r="I35" s="63">
        <v>32721</v>
      </c>
    </row>
    <row r="36" spans="1:9" x14ac:dyDescent="0.3">
      <c r="A36" s="4">
        <v>2015</v>
      </c>
      <c r="B36" s="25">
        <v>3233.25</v>
      </c>
      <c r="E36" s="62">
        <v>2018</v>
      </c>
      <c r="F36" s="61">
        <f>F35+GETPIVOTDATA("TPReduction(lbs/yr)",$A$3,"EstimatedCompletionDate",2018,"Location","B")</f>
        <v>18829.100000000002</v>
      </c>
      <c r="G36" s="94"/>
      <c r="H36" s="94"/>
      <c r="I36" s="63">
        <v>32721</v>
      </c>
    </row>
    <row r="37" spans="1:9" x14ac:dyDescent="0.3">
      <c r="A37" s="4">
        <v>2016</v>
      </c>
      <c r="B37" s="25">
        <v>274.24</v>
      </c>
      <c r="E37" s="62">
        <v>2019</v>
      </c>
      <c r="F37" s="61">
        <f>F36+GETPIVOTDATA("TPReduction(lbs/yr)",$A$3,"EstimatedCompletionDate",2019,"Location","B")</f>
        <v>18829.100000000002</v>
      </c>
      <c r="G37" s="94"/>
      <c r="H37" s="94"/>
      <c r="I37" s="63">
        <v>32721</v>
      </c>
    </row>
    <row r="38" spans="1:9" x14ac:dyDescent="0.3">
      <c r="A38" s="4">
        <v>2017</v>
      </c>
      <c r="B38" s="25">
        <v>1493.2900000000002</v>
      </c>
      <c r="E38" s="62">
        <v>2020</v>
      </c>
      <c r="F38" s="61"/>
      <c r="G38" s="94"/>
      <c r="H38" s="94"/>
      <c r="I38" s="63">
        <v>32721</v>
      </c>
    </row>
    <row r="39" spans="1:9" x14ac:dyDescent="0.3">
      <c r="A39" s="4">
        <v>2018</v>
      </c>
      <c r="B39" s="25">
        <v>78.12</v>
      </c>
      <c r="E39" s="62">
        <v>2021</v>
      </c>
      <c r="F39" s="61"/>
      <c r="G39" s="94"/>
      <c r="H39" s="94"/>
      <c r="I39" s="63">
        <v>32721</v>
      </c>
    </row>
    <row r="40" spans="1:9" x14ac:dyDescent="0.3">
      <c r="A40" s="4">
        <v>2019</v>
      </c>
      <c r="B40" s="25">
        <v>0</v>
      </c>
      <c r="E40" s="62">
        <v>2022</v>
      </c>
      <c r="F40" s="61"/>
      <c r="G40" s="94"/>
      <c r="H40" s="94"/>
      <c r="I40" s="63">
        <v>32721</v>
      </c>
    </row>
    <row r="41" spans="1:9" x14ac:dyDescent="0.3">
      <c r="A41" s="4" t="s">
        <v>497</v>
      </c>
      <c r="B41" s="25">
        <v>5363.3</v>
      </c>
      <c r="E41" s="62">
        <v>2023</v>
      </c>
      <c r="F41" s="61"/>
      <c r="G41" s="94"/>
      <c r="H41" s="94"/>
      <c r="I41" s="63">
        <v>32721</v>
      </c>
    </row>
    <row r="42" spans="1:9" x14ac:dyDescent="0.3">
      <c r="A42" s="4" t="s">
        <v>712</v>
      </c>
      <c r="B42" s="25">
        <v>251.49999999999997</v>
      </c>
      <c r="E42" s="62">
        <v>2024</v>
      </c>
      <c r="F42" s="61"/>
      <c r="G42" s="94"/>
      <c r="H42" s="94"/>
      <c r="I42" s="63">
        <v>32721</v>
      </c>
    </row>
    <row r="43" spans="1:9" x14ac:dyDescent="0.3">
      <c r="A43" s="56" t="s">
        <v>180</v>
      </c>
      <c r="B43" s="25">
        <v>29649.280000000002</v>
      </c>
      <c r="E43" s="62">
        <v>2025</v>
      </c>
      <c r="F43" s="61"/>
      <c r="G43" s="94"/>
      <c r="H43" s="94"/>
      <c r="I43" s="63">
        <v>32721</v>
      </c>
    </row>
    <row r="44" spans="1:9" x14ac:dyDescent="0.3">
      <c r="E44" s="62">
        <v>2026</v>
      </c>
      <c r="F44" s="61"/>
      <c r="G44" s="94"/>
      <c r="H44" s="94"/>
      <c r="I44" s="63">
        <v>32721</v>
      </c>
    </row>
    <row r="45" spans="1:9" x14ac:dyDescent="0.3">
      <c r="E45" s="62">
        <v>2027</v>
      </c>
      <c r="F45" s="61"/>
      <c r="G45" s="94"/>
      <c r="H45" s="94"/>
      <c r="I45" s="63">
        <v>32721</v>
      </c>
    </row>
    <row r="46" spans="1:9" x14ac:dyDescent="0.3">
      <c r="E46" s="62">
        <v>2028</v>
      </c>
      <c r="F46" s="61"/>
      <c r="G46" s="94"/>
      <c r="H46" s="94"/>
      <c r="I46" s="63">
        <v>32721</v>
      </c>
    </row>
    <row r="47" spans="1:9" x14ac:dyDescent="0.3">
      <c r="E47" s="62">
        <v>2029</v>
      </c>
      <c r="F47" s="61"/>
      <c r="G47" s="94"/>
      <c r="H47" s="94"/>
      <c r="I47" s="63">
        <v>32721</v>
      </c>
    </row>
    <row r="48" spans="1:9" x14ac:dyDescent="0.3">
      <c r="E48" s="62">
        <v>2030</v>
      </c>
      <c r="F48" s="61"/>
      <c r="G48" s="94"/>
      <c r="H48" s="94"/>
      <c r="I48" s="63">
        <v>32721</v>
      </c>
    </row>
    <row r="49" spans="5:9" x14ac:dyDescent="0.3">
      <c r="E49" s="62">
        <v>2031</v>
      </c>
      <c r="F49" s="61"/>
      <c r="G49" s="94"/>
      <c r="H49" s="94"/>
      <c r="I49" s="63">
        <v>32721</v>
      </c>
    </row>
    <row r="50" spans="5:9" x14ac:dyDescent="0.3">
      <c r="E50" s="62">
        <v>2032</v>
      </c>
      <c r="F50" s="61"/>
      <c r="G50" s="94"/>
      <c r="H50" s="94"/>
      <c r="I50" s="63">
        <v>32721</v>
      </c>
    </row>
    <row r="51" spans="5:9" x14ac:dyDescent="0.3">
      <c r="E51" s="62">
        <v>2033</v>
      </c>
      <c r="F51" s="61"/>
      <c r="G51" s="94"/>
      <c r="H51" s="94"/>
      <c r="I51" s="63">
        <v>32721</v>
      </c>
    </row>
  </sheetData>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F1FED-1A51-4605-9DCF-B8DB7195A7F9}">
  <dimension ref="A1:N299"/>
  <sheetViews>
    <sheetView topLeftCell="B1" workbookViewId="0">
      <selection activeCell="D69" sqref="D69"/>
    </sheetView>
  </sheetViews>
  <sheetFormatPr defaultRowHeight="14.4" x14ac:dyDescent="0.3"/>
  <cols>
    <col min="1" max="1" width="15.6640625" style="21" customWidth="1"/>
    <col min="2" max="2" width="19.6640625" bestFit="1" customWidth="1"/>
    <col min="4" max="4" width="33.33203125" customWidth="1"/>
    <col min="5" max="5" width="34.33203125" customWidth="1"/>
    <col min="11" max="11" width="13.109375" bestFit="1" customWidth="1"/>
    <col min="14" max="14" width="14.5546875" bestFit="1" customWidth="1"/>
  </cols>
  <sheetData>
    <row r="1" spans="1:14" ht="57.6" x14ac:dyDescent="0.3">
      <c r="A1" s="66" t="s">
        <v>719</v>
      </c>
      <c r="D1" s="88" t="s">
        <v>905</v>
      </c>
      <c r="E1" s="88" t="s">
        <v>906</v>
      </c>
      <c r="H1" s="93" t="s">
        <v>1060</v>
      </c>
      <c r="K1" t="s">
        <v>1062</v>
      </c>
      <c r="N1" t="s">
        <v>1061</v>
      </c>
    </row>
    <row r="2" spans="1:14" ht="15.6" x14ac:dyDescent="0.3">
      <c r="A2" s="13" t="s">
        <v>227</v>
      </c>
      <c r="B2" t="str" cm="1">
        <f t="array" ref="B2:B42">VLOOKUP(A2:A42,$D$2:$E$92,2,FALSE)</f>
        <v>Non-structural</v>
      </c>
      <c r="D2" s="88" t="s">
        <v>224</v>
      </c>
      <c r="E2" s="88" t="s">
        <v>185</v>
      </c>
      <c r="H2">
        <f>MIN('NIRL All Projects'!A2:A301)</f>
        <v>2761</v>
      </c>
      <c r="K2" s="74">
        <v>1000925</v>
      </c>
      <c r="N2" s="74">
        <v>300</v>
      </c>
    </row>
    <row r="3" spans="1:14" ht="15.6" x14ac:dyDescent="0.3">
      <c r="A3" s="13" t="s">
        <v>730</v>
      </c>
      <c r="B3" t="str">
        <v>Use Past Designation</v>
      </c>
      <c r="D3" s="88" t="s">
        <v>730</v>
      </c>
      <c r="E3" s="88" t="s">
        <v>907</v>
      </c>
      <c r="H3">
        <f>MAX('NIRL All Projects'!A2:A301)</f>
        <v>5373</v>
      </c>
    </row>
    <row r="4" spans="1:14" ht="15.6" x14ac:dyDescent="0.3">
      <c r="A4" s="13" t="s">
        <v>222</v>
      </c>
      <c r="B4" t="str">
        <v>Non-structural</v>
      </c>
      <c r="D4" s="88" t="s">
        <v>629</v>
      </c>
      <c r="E4" s="88" t="s">
        <v>185</v>
      </c>
    </row>
    <row r="5" spans="1:14" ht="26.4" x14ac:dyDescent="0.3">
      <c r="A5" s="13" t="s">
        <v>229</v>
      </c>
      <c r="B5" t="str">
        <v>Structural</v>
      </c>
      <c r="D5" s="88" t="s">
        <v>223</v>
      </c>
      <c r="E5" s="88" t="s">
        <v>184</v>
      </c>
    </row>
    <row r="6" spans="1:14" ht="31.2" x14ac:dyDescent="0.3">
      <c r="A6" s="13" t="s">
        <v>1</v>
      </c>
      <c r="B6" t="str">
        <v>Non-structural</v>
      </c>
      <c r="D6" s="88" t="s">
        <v>731</v>
      </c>
      <c r="E6" s="88" t="s">
        <v>185</v>
      </c>
    </row>
    <row r="7" spans="1:14" ht="26.4" x14ac:dyDescent="0.3">
      <c r="A7" s="13" t="s">
        <v>491</v>
      </c>
      <c r="B7" t="str">
        <v>Structural</v>
      </c>
      <c r="D7" s="88" t="s">
        <v>628</v>
      </c>
      <c r="E7" s="88" t="s">
        <v>185</v>
      </c>
    </row>
    <row r="8" spans="1:14" ht="31.2" x14ac:dyDescent="0.3">
      <c r="A8" s="13" t="s">
        <v>228</v>
      </c>
      <c r="B8" t="str">
        <v>Structural</v>
      </c>
      <c r="D8" s="88" t="s">
        <v>732</v>
      </c>
      <c r="E8" s="88" t="s">
        <v>908</v>
      </c>
    </row>
    <row r="9" spans="1:14" ht="52.8" x14ac:dyDescent="0.3">
      <c r="A9" s="67" t="s">
        <v>731</v>
      </c>
      <c r="B9" t="str">
        <v>Structural</v>
      </c>
      <c r="D9" s="88" t="s">
        <v>909</v>
      </c>
      <c r="E9" s="88" t="s">
        <v>185</v>
      </c>
    </row>
    <row r="10" spans="1:14" ht="31.2" x14ac:dyDescent="0.3">
      <c r="A10" s="13" t="s">
        <v>4</v>
      </c>
      <c r="B10" t="str">
        <v>Non-structural</v>
      </c>
      <c r="D10" s="88" t="s">
        <v>679</v>
      </c>
      <c r="E10" s="88" t="s">
        <v>185</v>
      </c>
    </row>
    <row r="11" spans="1:14" ht="39.6" x14ac:dyDescent="0.3">
      <c r="A11" s="85" t="s">
        <v>679</v>
      </c>
      <c r="B11" t="str">
        <v>Structural</v>
      </c>
      <c r="D11" s="88" t="s">
        <v>910</v>
      </c>
      <c r="E11" s="88" t="s">
        <v>185</v>
      </c>
    </row>
    <row r="12" spans="1:14" ht="52.8" x14ac:dyDescent="0.3">
      <c r="A12" s="54" t="s">
        <v>630</v>
      </c>
      <c r="B12" t="str">
        <v>Structural</v>
      </c>
      <c r="D12" s="88" t="s">
        <v>222</v>
      </c>
      <c r="E12" s="88" t="s">
        <v>184</v>
      </c>
    </row>
    <row r="13" spans="1:14" ht="26.4" x14ac:dyDescent="0.3">
      <c r="A13" s="54" t="s">
        <v>628</v>
      </c>
      <c r="B13" t="str">
        <v>Structural</v>
      </c>
      <c r="D13" s="88" t="s">
        <v>491</v>
      </c>
      <c r="E13" s="88" t="s">
        <v>185</v>
      </c>
    </row>
    <row r="14" spans="1:14" ht="31.2" x14ac:dyDescent="0.3">
      <c r="A14" s="13" t="s">
        <v>223</v>
      </c>
      <c r="B14" t="str">
        <v>Non-structural</v>
      </c>
      <c r="D14" s="88" t="s">
        <v>911</v>
      </c>
      <c r="E14" s="88" t="s">
        <v>184</v>
      </c>
    </row>
    <row r="15" spans="1:14" ht="26.4" x14ac:dyDescent="0.3">
      <c r="A15" s="52" t="s">
        <v>699</v>
      </c>
      <c r="B15" t="str">
        <v>Structural</v>
      </c>
      <c r="D15" s="88" t="s">
        <v>682</v>
      </c>
      <c r="E15" s="88" t="s">
        <v>184</v>
      </c>
    </row>
    <row r="16" spans="1:14" ht="39.6" x14ac:dyDescent="0.3">
      <c r="A16" s="68" t="s">
        <v>735</v>
      </c>
      <c r="B16" t="str">
        <v>Non-structural</v>
      </c>
      <c r="D16" s="88" t="s">
        <v>273</v>
      </c>
      <c r="E16" s="88" t="s">
        <v>185</v>
      </c>
    </row>
    <row r="17" spans="1:5" ht="52.8" x14ac:dyDescent="0.3">
      <c r="A17" s="55" t="s">
        <v>683</v>
      </c>
      <c r="B17" t="str">
        <v>Structural</v>
      </c>
      <c r="D17" s="88" t="s">
        <v>912</v>
      </c>
      <c r="E17" s="88" t="s">
        <v>185</v>
      </c>
    </row>
    <row r="18" spans="1:5" ht="39.6" x14ac:dyDescent="0.3">
      <c r="A18" s="11" t="s">
        <v>492</v>
      </c>
      <c r="B18" t="str">
        <v>Structural</v>
      </c>
      <c r="D18" s="88" t="s">
        <v>733</v>
      </c>
      <c r="E18" s="88" t="s">
        <v>185</v>
      </c>
    </row>
    <row r="19" spans="1:5" ht="15.6" x14ac:dyDescent="0.3">
      <c r="A19" s="54" t="s">
        <v>681</v>
      </c>
      <c r="B19" t="str">
        <v>Structural</v>
      </c>
      <c r="D19" s="88" t="s">
        <v>913</v>
      </c>
      <c r="E19" s="88" t="s">
        <v>914</v>
      </c>
    </row>
    <row r="20" spans="1:5" ht="15.6" x14ac:dyDescent="0.3">
      <c r="A20" s="11" t="s">
        <v>565</v>
      </c>
      <c r="B20" t="str">
        <v>Structural</v>
      </c>
      <c r="D20" s="88" t="s">
        <v>915</v>
      </c>
      <c r="E20" s="88" t="s">
        <v>185</v>
      </c>
    </row>
    <row r="21" spans="1:5" ht="26.4" x14ac:dyDescent="0.3">
      <c r="A21" s="11" t="s">
        <v>225</v>
      </c>
      <c r="B21" t="str">
        <v>Structural</v>
      </c>
      <c r="D21" s="88" t="s">
        <v>916</v>
      </c>
      <c r="E21" s="88" t="s">
        <v>184</v>
      </c>
    </row>
    <row r="22" spans="1:5" ht="26.4" x14ac:dyDescent="0.3">
      <c r="A22" s="68" t="s">
        <v>734</v>
      </c>
      <c r="B22" t="str">
        <v>Structural</v>
      </c>
      <c r="D22" s="88" t="s">
        <v>917</v>
      </c>
      <c r="E22" s="88" t="s">
        <v>185</v>
      </c>
    </row>
    <row r="23" spans="1:5" ht="26.4" x14ac:dyDescent="0.3">
      <c r="A23" s="79" t="s">
        <v>224</v>
      </c>
      <c r="B23" t="str">
        <v>Structural</v>
      </c>
      <c r="D23" s="88" t="s">
        <v>699</v>
      </c>
      <c r="E23" s="88" t="s">
        <v>185</v>
      </c>
    </row>
    <row r="24" spans="1:5" ht="31.2" x14ac:dyDescent="0.3">
      <c r="A24" s="13" t="s">
        <v>431</v>
      </c>
      <c r="B24" t="str">
        <v>Structural</v>
      </c>
      <c r="D24" s="88" t="s">
        <v>918</v>
      </c>
      <c r="E24" s="88" t="s">
        <v>185</v>
      </c>
    </row>
    <row r="25" spans="1:5" ht="39.6" x14ac:dyDescent="0.3">
      <c r="A25" s="53" t="s">
        <v>660</v>
      </c>
      <c r="B25" t="str">
        <v>Structural</v>
      </c>
      <c r="D25" s="88" t="s">
        <v>225</v>
      </c>
      <c r="E25" s="88" t="s">
        <v>185</v>
      </c>
    </row>
    <row r="26" spans="1:5" ht="15.6" x14ac:dyDescent="0.3">
      <c r="A26" s="13" t="s">
        <v>273</v>
      </c>
      <c r="B26" t="str">
        <v>Structural</v>
      </c>
      <c r="D26" s="88" t="s">
        <v>1</v>
      </c>
      <c r="E26" s="88" t="s">
        <v>184</v>
      </c>
    </row>
    <row r="27" spans="1:5" ht="39.6" x14ac:dyDescent="0.3">
      <c r="A27" s="69" t="s">
        <v>732</v>
      </c>
      <c r="B27" t="str">
        <v>Structural   </v>
      </c>
      <c r="D27" s="88" t="s">
        <v>919</v>
      </c>
      <c r="E27" s="88" t="s">
        <v>184</v>
      </c>
    </row>
    <row r="28" spans="1:5" ht="15.6" x14ac:dyDescent="0.3">
      <c r="A28" s="53" t="s">
        <v>670</v>
      </c>
      <c r="B28" t="str">
        <v>Non-structural</v>
      </c>
      <c r="D28" s="88" t="s">
        <v>920</v>
      </c>
      <c r="E28" s="88" t="s">
        <v>185</v>
      </c>
    </row>
    <row r="29" spans="1:5" ht="26.4" x14ac:dyDescent="0.3">
      <c r="A29" s="53" t="s">
        <v>671</v>
      </c>
      <c r="B29" t="str">
        <v>Structural</v>
      </c>
      <c r="D29" s="88" t="s">
        <v>921</v>
      </c>
      <c r="E29" s="88" t="s">
        <v>184</v>
      </c>
    </row>
    <row r="30" spans="1:5" ht="15.6" x14ac:dyDescent="0.3">
      <c r="A30" s="13" t="s">
        <v>493</v>
      </c>
      <c r="B30" t="str">
        <v>Structural</v>
      </c>
      <c r="D30" s="88" t="s">
        <v>5</v>
      </c>
      <c r="E30" s="88" t="s">
        <v>184</v>
      </c>
    </row>
    <row r="31" spans="1:5" ht="26.4" x14ac:dyDescent="0.3">
      <c r="A31" s="13" t="s">
        <v>494</v>
      </c>
      <c r="B31" t="str">
        <v>Non-structural</v>
      </c>
      <c r="D31" s="88" t="s">
        <v>226</v>
      </c>
      <c r="E31" s="88" t="s">
        <v>184</v>
      </c>
    </row>
    <row r="32" spans="1:5" ht="39.6" x14ac:dyDescent="0.3">
      <c r="A32" s="52" t="s">
        <v>691</v>
      </c>
      <c r="B32" t="str">
        <v>Structural</v>
      </c>
      <c r="D32" s="88" t="s">
        <v>922</v>
      </c>
      <c r="E32" s="88" t="s">
        <v>185</v>
      </c>
    </row>
    <row r="33" spans="1:5" ht="39.6" x14ac:dyDescent="0.3">
      <c r="A33" s="13" t="s">
        <v>465</v>
      </c>
      <c r="B33" t="str">
        <v>Structural</v>
      </c>
      <c r="D33" s="88" t="s">
        <v>923</v>
      </c>
      <c r="E33" s="88" t="s">
        <v>184</v>
      </c>
    </row>
    <row r="34" spans="1:5" ht="31.2" x14ac:dyDescent="0.3">
      <c r="A34" s="15" t="s">
        <v>629</v>
      </c>
      <c r="B34" t="str">
        <v>Structural</v>
      </c>
      <c r="D34" s="88" t="s">
        <v>630</v>
      </c>
      <c r="E34" s="88" t="s">
        <v>185</v>
      </c>
    </row>
    <row r="35" spans="1:5" ht="26.4" x14ac:dyDescent="0.3">
      <c r="A35" s="16" t="s">
        <v>512</v>
      </c>
      <c r="B35" t="str">
        <v>Structural</v>
      </c>
      <c r="D35" s="88" t="s">
        <v>924</v>
      </c>
      <c r="E35" s="88" t="s">
        <v>185</v>
      </c>
    </row>
    <row r="36" spans="1:5" ht="26.4" x14ac:dyDescent="0.3">
      <c r="A36" s="13" t="s">
        <v>5</v>
      </c>
      <c r="B36" t="str">
        <v>Non-structural</v>
      </c>
      <c r="D36" s="88" t="s">
        <v>925</v>
      </c>
      <c r="E36" s="88" t="s">
        <v>184</v>
      </c>
    </row>
    <row r="37" spans="1:5" ht="31.2" x14ac:dyDescent="0.3">
      <c r="A37" s="13" t="s">
        <v>226</v>
      </c>
      <c r="B37" t="str">
        <v>Non-structural</v>
      </c>
      <c r="D37" s="88" t="s">
        <v>691</v>
      </c>
      <c r="E37" s="88" t="s">
        <v>185</v>
      </c>
    </row>
    <row r="38" spans="1:5" ht="31.2" x14ac:dyDescent="0.3">
      <c r="A38" s="54" t="s">
        <v>682</v>
      </c>
      <c r="B38" t="str">
        <v>Non-structural</v>
      </c>
      <c r="D38" s="88" t="s">
        <v>926</v>
      </c>
      <c r="E38" s="88" t="s">
        <v>185</v>
      </c>
    </row>
    <row r="39" spans="1:5" ht="31.2" x14ac:dyDescent="0.3">
      <c r="A39" s="13" t="s">
        <v>181</v>
      </c>
      <c r="B39" t="str">
        <v>Structural</v>
      </c>
      <c r="D39" s="88" t="s">
        <v>927</v>
      </c>
      <c r="E39" s="88" t="s">
        <v>185</v>
      </c>
    </row>
    <row r="40" spans="1:5" ht="28.8" x14ac:dyDescent="0.3">
      <c r="A40" s="84" t="s">
        <v>737</v>
      </c>
      <c r="B40" t="str">
        <v>Non-structural</v>
      </c>
      <c r="D40" s="88" t="s">
        <v>734</v>
      </c>
      <c r="E40" s="88" t="s">
        <v>185</v>
      </c>
    </row>
    <row r="41" spans="1:5" ht="39.6" x14ac:dyDescent="0.3">
      <c r="A41" s="83" t="s">
        <v>736</v>
      </c>
      <c r="B41" t="str">
        <v>Non-structural</v>
      </c>
      <c r="D41" s="88" t="s">
        <v>928</v>
      </c>
      <c r="E41" s="88" t="s">
        <v>185</v>
      </c>
    </row>
    <row r="42" spans="1:5" ht="39.6" x14ac:dyDescent="0.3">
      <c r="A42" s="85" t="s">
        <v>733</v>
      </c>
      <c r="B42" t="str">
        <v>Structural</v>
      </c>
      <c r="D42" s="88" t="s">
        <v>181</v>
      </c>
      <c r="E42" s="88" t="s">
        <v>185</v>
      </c>
    </row>
    <row r="43" spans="1:5" ht="15.6" x14ac:dyDescent="0.3">
      <c r="A43"/>
      <c r="D43" s="88" t="s">
        <v>929</v>
      </c>
      <c r="E43" s="88" t="s">
        <v>185</v>
      </c>
    </row>
    <row r="44" spans="1:5" ht="15.6" x14ac:dyDescent="0.3">
      <c r="A44"/>
      <c r="D44" s="88" t="s">
        <v>930</v>
      </c>
      <c r="E44" s="88" t="s">
        <v>184</v>
      </c>
    </row>
    <row r="45" spans="1:5" ht="15.6" x14ac:dyDescent="0.3">
      <c r="A45"/>
      <c r="D45" s="88" t="s">
        <v>931</v>
      </c>
      <c r="E45" s="88" t="s">
        <v>184</v>
      </c>
    </row>
    <row r="46" spans="1:5" ht="15.6" x14ac:dyDescent="0.3">
      <c r="A46"/>
      <c r="D46" s="88" t="s">
        <v>227</v>
      </c>
      <c r="E46" s="88" t="s">
        <v>184</v>
      </c>
    </row>
    <row r="47" spans="1:5" ht="15.6" x14ac:dyDescent="0.3">
      <c r="A47"/>
      <c r="D47" s="88" t="s">
        <v>932</v>
      </c>
      <c r="E47" s="88" t="s">
        <v>185</v>
      </c>
    </row>
    <row r="48" spans="1:5" ht="15.6" x14ac:dyDescent="0.3">
      <c r="A48"/>
      <c r="D48" s="88" t="s">
        <v>933</v>
      </c>
      <c r="E48" s="88" t="s">
        <v>185</v>
      </c>
    </row>
    <row r="49" spans="1:5" ht="15.6" x14ac:dyDescent="0.3">
      <c r="A49"/>
      <c r="D49" s="88" t="s">
        <v>934</v>
      </c>
      <c r="E49" s="88" t="s">
        <v>185</v>
      </c>
    </row>
    <row r="50" spans="1:5" ht="15.6" x14ac:dyDescent="0.3">
      <c r="A50"/>
      <c r="D50" s="88" t="s">
        <v>935</v>
      </c>
      <c r="E50" s="88" t="s">
        <v>185</v>
      </c>
    </row>
    <row r="51" spans="1:5" ht="15.6" x14ac:dyDescent="0.3">
      <c r="A51"/>
      <c r="D51" s="88" t="s">
        <v>936</v>
      </c>
      <c r="E51" s="88" t="s">
        <v>184</v>
      </c>
    </row>
    <row r="52" spans="1:5" ht="15.6" x14ac:dyDescent="0.3">
      <c r="A52"/>
      <c r="D52" s="88" t="s">
        <v>494</v>
      </c>
      <c r="E52" s="88" t="s">
        <v>184</v>
      </c>
    </row>
    <row r="53" spans="1:5" ht="31.2" x14ac:dyDescent="0.3">
      <c r="A53"/>
      <c r="D53" s="88" t="s">
        <v>735</v>
      </c>
      <c r="E53" s="88" t="s">
        <v>184</v>
      </c>
    </row>
    <row r="54" spans="1:5" ht="15.6" x14ac:dyDescent="0.3">
      <c r="A54"/>
      <c r="D54" s="88" t="s">
        <v>937</v>
      </c>
      <c r="E54" s="88" t="s">
        <v>184</v>
      </c>
    </row>
    <row r="55" spans="1:5" ht="15.6" x14ac:dyDescent="0.3">
      <c r="A55"/>
      <c r="D55" s="88" t="s">
        <v>938</v>
      </c>
      <c r="E55" s="88" t="s">
        <v>184</v>
      </c>
    </row>
    <row r="56" spans="1:5" ht="15.6" x14ac:dyDescent="0.3">
      <c r="A56"/>
      <c r="D56" s="88" t="s">
        <v>939</v>
      </c>
      <c r="E56" s="88" t="s">
        <v>185</v>
      </c>
    </row>
    <row r="57" spans="1:5" ht="15.6" x14ac:dyDescent="0.3">
      <c r="A57"/>
      <c r="D57" s="88" t="s">
        <v>671</v>
      </c>
      <c r="E57" s="88" t="s">
        <v>185</v>
      </c>
    </row>
    <row r="58" spans="1:5" ht="46.8" x14ac:dyDescent="0.3">
      <c r="A58"/>
      <c r="D58" s="88" t="s">
        <v>940</v>
      </c>
      <c r="E58" s="88" t="s">
        <v>185</v>
      </c>
    </row>
    <row r="59" spans="1:5" ht="15.6" x14ac:dyDescent="0.3">
      <c r="A59"/>
      <c r="D59" s="88" t="s">
        <v>681</v>
      </c>
      <c r="E59" s="88" t="s">
        <v>185</v>
      </c>
    </row>
    <row r="60" spans="1:5" ht="15.6" x14ac:dyDescent="0.3">
      <c r="A60"/>
      <c r="D60" s="88" t="s">
        <v>941</v>
      </c>
      <c r="E60" s="88" t="s">
        <v>185</v>
      </c>
    </row>
    <row r="61" spans="1:5" ht="15.6" x14ac:dyDescent="0.3">
      <c r="A61"/>
      <c r="D61" s="88" t="s">
        <v>942</v>
      </c>
      <c r="E61" s="88" t="s">
        <v>185</v>
      </c>
    </row>
    <row r="62" spans="1:5" ht="15.6" x14ac:dyDescent="0.3">
      <c r="A62"/>
      <c r="D62" s="88" t="s">
        <v>943</v>
      </c>
      <c r="E62" s="88" t="s">
        <v>185</v>
      </c>
    </row>
    <row r="63" spans="1:5" ht="15.6" x14ac:dyDescent="0.3">
      <c r="A63"/>
      <c r="D63" s="88" t="s">
        <v>431</v>
      </c>
      <c r="E63" s="88" t="s">
        <v>185</v>
      </c>
    </row>
    <row r="64" spans="1:5" ht="15.6" x14ac:dyDescent="0.3">
      <c r="A64"/>
      <c r="D64" s="88" t="s">
        <v>465</v>
      </c>
      <c r="E64" s="88" t="s">
        <v>185</v>
      </c>
    </row>
    <row r="65" spans="1:5" ht="31.2" x14ac:dyDescent="0.3">
      <c r="A65"/>
      <c r="D65" s="88" t="s">
        <v>736</v>
      </c>
      <c r="E65" s="88" t="s">
        <v>184</v>
      </c>
    </row>
    <row r="66" spans="1:5" ht="31.2" x14ac:dyDescent="0.3">
      <c r="A66"/>
      <c r="D66" s="88" t="s">
        <v>944</v>
      </c>
      <c r="E66" s="88" t="s">
        <v>185</v>
      </c>
    </row>
    <row r="67" spans="1:5" ht="31.2" x14ac:dyDescent="0.3">
      <c r="A67"/>
      <c r="D67" s="88" t="s">
        <v>945</v>
      </c>
      <c r="E67" s="88" t="s">
        <v>185</v>
      </c>
    </row>
    <row r="68" spans="1:5" ht="46.8" x14ac:dyDescent="0.3">
      <c r="A68"/>
      <c r="D68" s="88" t="s">
        <v>946</v>
      </c>
      <c r="E68" s="88" t="s">
        <v>185</v>
      </c>
    </row>
    <row r="69" spans="1:5" ht="15.6" x14ac:dyDescent="0.3">
      <c r="A69"/>
      <c r="D69" s="88" t="s">
        <v>737</v>
      </c>
      <c r="E69" s="88" t="s">
        <v>184</v>
      </c>
    </row>
    <row r="70" spans="1:5" ht="15.6" x14ac:dyDescent="0.3">
      <c r="A70"/>
      <c r="D70" s="88" t="s">
        <v>947</v>
      </c>
      <c r="E70" s="88" t="s">
        <v>185</v>
      </c>
    </row>
    <row r="71" spans="1:5" ht="15.6" x14ac:dyDescent="0.3">
      <c r="A71"/>
      <c r="D71" s="88" t="s">
        <v>948</v>
      </c>
      <c r="E71" s="88" t="s">
        <v>185</v>
      </c>
    </row>
    <row r="72" spans="1:5" ht="15.6" x14ac:dyDescent="0.3">
      <c r="A72"/>
      <c r="D72" s="88" t="s">
        <v>949</v>
      </c>
      <c r="E72" s="88" t="s">
        <v>185</v>
      </c>
    </row>
    <row r="73" spans="1:5" ht="15.6" x14ac:dyDescent="0.3">
      <c r="A73"/>
      <c r="D73" s="88" t="s">
        <v>228</v>
      </c>
      <c r="E73" s="88" t="s">
        <v>185</v>
      </c>
    </row>
    <row r="74" spans="1:5" ht="15.6" x14ac:dyDescent="0.3">
      <c r="A74"/>
      <c r="D74" s="88" t="s">
        <v>660</v>
      </c>
      <c r="E74" s="88" t="s">
        <v>185</v>
      </c>
    </row>
    <row r="75" spans="1:5" ht="31.2" x14ac:dyDescent="0.3">
      <c r="A75"/>
      <c r="D75" s="88" t="s">
        <v>950</v>
      </c>
      <c r="E75" s="88" t="s">
        <v>185</v>
      </c>
    </row>
    <row r="76" spans="1:5" ht="15.6" x14ac:dyDescent="0.3">
      <c r="A76"/>
      <c r="D76" s="88" t="s">
        <v>4</v>
      </c>
      <c r="E76" s="88" t="s">
        <v>184</v>
      </c>
    </row>
    <row r="77" spans="1:5" ht="15.6" x14ac:dyDescent="0.3">
      <c r="A77"/>
      <c r="D77" s="88" t="s">
        <v>670</v>
      </c>
      <c r="E77" s="88" t="s">
        <v>184</v>
      </c>
    </row>
    <row r="78" spans="1:5" ht="31.2" x14ac:dyDescent="0.3">
      <c r="A78"/>
      <c r="D78" s="88" t="s">
        <v>951</v>
      </c>
      <c r="E78" s="88" t="s">
        <v>184</v>
      </c>
    </row>
    <row r="79" spans="1:5" ht="15.6" x14ac:dyDescent="0.3">
      <c r="A79"/>
      <c r="D79" s="88" t="s">
        <v>952</v>
      </c>
      <c r="E79" s="88" t="s">
        <v>184</v>
      </c>
    </row>
    <row r="80" spans="1:5" ht="31.2" x14ac:dyDescent="0.3">
      <c r="A80"/>
      <c r="D80" s="88" t="s">
        <v>492</v>
      </c>
      <c r="E80" s="88" t="s">
        <v>185</v>
      </c>
    </row>
    <row r="81" spans="1:5" ht="15.6" x14ac:dyDescent="0.3">
      <c r="A81"/>
      <c r="D81" s="88" t="s">
        <v>229</v>
      </c>
      <c r="E81" s="88" t="s">
        <v>185</v>
      </c>
    </row>
    <row r="82" spans="1:5" ht="15.6" x14ac:dyDescent="0.3">
      <c r="A82"/>
      <c r="D82" s="88" t="s">
        <v>953</v>
      </c>
      <c r="E82" s="88" t="s">
        <v>185</v>
      </c>
    </row>
    <row r="83" spans="1:5" ht="15.6" x14ac:dyDescent="0.3">
      <c r="A83"/>
      <c r="D83" s="88" t="s">
        <v>493</v>
      </c>
      <c r="E83" s="88" t="s">
        <v>185</v>
      </c>
    </row>
    <row r="84" spans="1:5" ht="15.6" x14ac:dyDescent="0.3">
      <c r="A84"/>
      <c r="D84" s="88" t="s">
        <v>954</v>
      </c>
      <c r="E84" s="88" t="s">
        <v>185</v>
      </c>
    </row>
    <row r="85" spans="1:5" ht="15.6" x14ac:dyDescent="0.3">
      <c r="A85"/>
      <c r="D85" s="88" t="s">
        <v>955</v>
      </c>
      <c r="E85" s="88" t="s">
        <v>185</v>
      </c>
    </row>
    <row r="86" spans="1:5" ht="15.6" x14ac:dyDescent="0.3">
      <c r="A86"/>
      <c r="D86" s="88" t="s">
        <v>512</v>
      </c>
      <c r="E86" s="88" t="s">
        <v>185</v>
      </c>
    </row>
    <row r="87" spans="1:5" ht="15.6" x14ac:dyDescent="0.3">
      <c r="A87"/>
      <c r="D87" s="88" t="s">
        <v>565</v>
      </c>
      <c r="E87" s="88" t="s">
        <v>185</v>
      </c>
    </row>
    <row r="88" spans="1:5" x14ac:dyDescent="0.3">
      <c r="A88"/>
    </row>
    <row r="89" spans="1:5" x14ac:dyDescent="0.3">
      <c r="A89"/>
    </row>
    <row r="90" spans="1:5" x14ac:dyDescent="0.3">
      <c r="A90"/>
    </row>
    <row r="91" spans="1:5" x14ac:dyDescent="0.3">
      <c r="A91"/>
    </row>
    <row r="92" spans="1:5" x14ac:dyDescent="0.3">
      <c r="A92"/>
    </row>
    <row r="93" spans="1:5" x14ac:dyDescent="0.3">
      <c r="A93"/>
    </row>
    <row r="94" spans="1:5" x14ac:dyDescent="0.3">
      <c r="A94"/>
    </row>
    <row r="95" spans="1:5" x14ac:dyDescent="0.3">
      <c r="A95"/>
    </row>
    <row r="96" spans="1:5" x14ac:dyDescent="0.3">
      <c r="A96"/>
    </row>
    <row r="97" spans="1:1" x14ac:dyDescent="0.3">
      <c r="A97"/>
    </row>
    <row r="98" spans="1:1" x14ac:dyDescent="0.3">
      <c r="A98"/>
    </row>
    <row r="99" spans="1:1" x14ac:dyDescent="0.3">
      <c r="A99"/>
    </row>
    <row r="100" spans="1:1" x14ac:dyDescent="0.3">
      <c r="A100"/>
    </row>
    <row r="101" spans="1:1" x14ac:dyDescent="0.3">
      <c r="A101"/>
    </row>
    <row r="102" spans="1:1" x14ac:dyDescent="0.3">
      <c r="A102"/>
    </row>
    <row r="103" spans="1:1" x14ac:dyDescent="0.3">
      <c r="A103"/>
    </row>
    <row r="104" spans="1:1" x14ac:dyDescent="0.3">
      <c r="A104"/>
    </row>
    <row r="105" spans="1:1" x14ac:dyDescent="0.3">
      <c r="A105"/>
    </row>
    <row r="106" spans="1:1" x14ac:dyDescent="0.3">
      <c r="A106"/>
    </row>
    <row r="107" spans="1:1" x14ac:dyDescent="0.3">
      <c r="A107"/>
    </row>
    <row r="108" spans="1:1" x14ac:dyDescent="0.3">
      <c r="A108"/>
    </row>
    <row r="109" spans="1:1" x14ac:dyDescent="0.3">
      <c r="A109"/>
    </row>
    <row r="110" spans="1:1" x14ac:dyDescent="0.3">
      <c r="A110"/>
    </row>
    <row r="111" spans="1:1" x14ac:dyDescent="0.3">
      <c r="A111"/>
    </row>
    <row r="112" spans="1:1" x14ac:dyDescent="0.3">
      <c r="A112"/>
    </row>
    <row r="113" spans="1:1" x14ac:dyDescent="0.3">
      <c r="A113"/>
    </row>
    <row r="114" spans="1:1" x14ac:dyDescent="0.3">
      <c r="A114"/>
    </row>
    <row r="115" spans="1:1" x14ac:dyDescent="0.3">
      <c r="A115"/>
    </row>
    <row r="116" spans="1:1" x14ac:dyDescent="0.3">
      <c r="A116"/>
    </row>
    <row r="117" spans="1:1" x14ac:dyDescent="0.3">
      <c r="A117"/>
    </row>
    <row r="118" spans="1:1" x14ac:dyDescent="0.3">
      <c r="A118"/>
    </row>
    <row r="119" spans="1:1" x14ac:dyDescent="0.3">
      <c r="A119"/>
    </row>
    <row r="120" spans="1:1" x14ac:dyDescent="0.3">
      <c r="A120"/>
    </row>
    <row r="121" spans="1:1" x14ac:dyDescent="0.3">
      <c r="A121"/>
    </row>
    <row r="122" spans="1:1" x14ac:dyDescent="0.3">
      <c r="A122"/>
    </row>
    <row r="123" spans="1:1" x14ac:dyDescent="0.3">
      <c r="A123"/>
    </row>
    <row r="124" spans="1:1" x14ac:dyDescent="0.3">
      <c r="A124"/>
    </row>
    <row r="125" spans="1:1" x14ac:dyDescent="0.3">
      <c r="A125"/>
    </row>
    <row r="126" spans="1:1" x14ac:dyDescent="0.3">
      <c r="A126"/>
    </row>
    <row r="127" spans="1:1" x14ac:dyDescent="0.3">
      <c r="A127"/>
    </row>
    <row r="128" spans="1:1" x14ac:dyDescent="0.3">
      <c r="A128"/>
    </row>
    <row r="129" spans="1:1" x14ac:dyDescent="0.3">
      <c r="A129"/>
    </row>
    <row r="130" spans="1:1" x14ac:dyDescent="0.3">
      <c r="A130"/>
    </row>
    <row r="131" spans="1:1" x14ac:dyDescent="0.3">
      <c r="A131"/>
    </row>
    <row r="132" spans="1:1" x14ac:dyDescent="0.3">
      <c r="A132"/>
    </row>
    <row r="133" spans="1:1" x14ac:dyDescent="0.3">
      <c r="A133"/>
    </row>
    <row r="134" spans="1:1" x14ac:dyDescent="0.3">
      <c r="A134"/>
    </row>
    <row r="135" spans="1:1" x14ac:dyDescent="0.3">
      <c r="A135"/>
    </row>
    <row r="136" spans="1:1" x14ac:dyDescent="0.3">
      <c r="A136"/>
    </row>
    <row r="137" spans="1:1" x14ac:dyDescent="0.3">
      <c r="A137"/>
    </row>
    <row r="138" spans="1:1" x14ac:dyDescent="0.3">
      <c r="A138"/>
    </row>
    <row r="139" spans="1:1" x14ac:dyDescent="0.3">
      <c r="A139"/>
    </row>
    <row r="140" spans="1:1" x14ac:dyDescent="0.3">
      <c r="A140"/>
    </row>
    <row r="141" spans="1:1" x14ac:dyDescent="0.3">
      <c r="A141"/>
    </row>
    <row r="142" spans="1:1" x14ac:dyDescent="0.3">
      <c r="A142"/>
    </row>
    <row r="143" spans="1:1" x14ac:dyDescent="0.3">
      <c r="A143"/>
    </row>
    <row r="144" spans="1:1" x14ac:dyDescent="0.3">
      <c r="A144"/>
    </row>
    <row r="145" spans="1:1" x14ac:dyDescent="0.3">
      <c r="A145"/>
    </row>
    <row r="146" spans="1:1" x14ac:dyDescent="0.3">
      <c r="A146"/>
    </row>
    <row r="147" spans="1:1" x14ac:dyDescent="0.3">
      <c r="A147"/>
    </row>
    <row r="148" spans="1:1" x14ac:dyDescent="0.3">
      <c r="A148"/>
    </row>
    <row r="149" spans="1:1" x14ac:dyDescent="0.3">
      <c r="A149"/>
    </row>
    <row r="150" spans="1:1" x14ac:dyDescent="0.3">
      <c r="A150"/>
    </row>
    <row r="151" spans="1:1" x14ac:dyDescent="0.3">
      <c r="A151"/>
    </row>
    <row r="152" spans="1:1" x14ac:dyDescent="0.3">
      <c r="A152"/>
    </row>
    <row r="153" spans="1:1" x14ac:dyDescent="0.3">
      <c r="A153"/>
    </row>
    <row r="154" spans="1:1" x14ac:dyDescent="0.3">
      <c r="A154"/>
    </row>
    <row r="155" spans="1:1" x14ac:dyDescent="0.3">
      <c r="A155"/>
    </row>
    <row r="156" spans="1:1" x14ac:dyDescent="0.3">
      <c r="A156"/>
    </row>
    <row r="157" spans="1:1" x14ac:dyDescent="0.3">
      <c r="A157"/>
    </row>
    <row r="158" spans="1:1" x14ac:dyDescent="0.3">
      <c r="A158"/>
    </row>
    <row r="159" spans="1:1" x14ac:dyDescent="0.3">
      <c r="A159"/>
    </row>
    <row r="160" spans="1:1" x14ac:dyDescent="0.3">
      <c r="A160"/>
    </row>
    <row r="161" spans="1:1" x14ac:dyDescent="0.3">
      <c r="A161"/>
    </row>
    <row r="162" spans="1:1" x14ac:dyDescent="0.3">
      <c r="A162"/>
    </row>
    <row r="163" spans="1:1" x14ac:dyDescent="0.3">
      <c r="A163"/>
    </row>
    <row r="164" spans="1:1" x14ac:dyDescent="0.3">
      <c r="A164"/>
    </row>
    <row r="165" spans="1:1" x14ac:dyDescent="0.3">
      <c r="A165"/>
    </row>
    <row r="166" spans="1:1" x14ac:dyDescent="0.3">
      <c r="A166"/>
    </row>
    <row r="167" spans="1:1" x14ac:dyDescent="0.3">
      <c r="A167"/>
    </row>
    <row r="168" spans="1:1" x14ac:dyDescent="0.3">
      <c r="A168"/>
    </row>
    <row r="169" spans="1:1" x14ac:dyDescent="0.3">
      <c r="A169"/>
    </row>
    <row r="170" spans="1:1" x14ac:dyDescent="0.3">
      <c r="A170"/>
    </row>
    <row r="171" spans="1:1" x14ac:dyDescent="0.3">
      <c r="A171"/>
    </row>
    <row r="172" spans="1:1" x14ac:dyDescent="0.3">
      <c r="A172"/>
    </row>
    <row r="173" spans="1:1" x14ac:dyDescent="0.3">
      <c r="A173"/>
    </row>
    <row r="174" spans="1:1" x14ac:dyDescent="0.3">
      <c r="A174"/>
    </row>
    <row r="175" spans="1:1" x14ac:dyDescent="0.3">
      <c r="A175"/>
    </row>
    <row r="176" spans="1:1" x14ac:dyDescent="0.3">
      <c r="A176"/>
    </row>
    <row r="177" spans="1:1" x14ac:dyDescent="0.3">
      <c r="A177"/>
    </row>
    <row r="178" spans="1:1" x14ac:dyDescent="0.3">
      <c r="A178"/>
    </row>
    <row r="179" spans="1:1" x14ac:dyDescent="0.3">
      <c r="A179"/>
    </row>
    <row r="180" spans="1:1" x14ac:dyDescent="0.3">
      <c r="A180"/>
    </row>
    <row r="181" spans="1:1" x14ac:dyDescent="0.3">
      <c r="A181"/>
    </row>
    <row r="182" spans="1:1" x14ac:dyDescent="0.3">
      <c r="A182"/>
    </row>
    <row r="183" spans="1:1" x14ac:dyDescent="0.3">
      <c r="A183"/>
    </row>
    <row r="184" spans="1:1" x14ac:dyDescent="0.3">
      <c r="A184"/>
    </row>
    <row r="185" spans="1:1" x14ac:dyDescent="0.3">
      <c r="A185"/>
    </row>
    <row r="186" spans="1:1" x14ac:dyDescent="0.3">
      <c r="A186"/>
    </row>
    <row r="187" spans="1:1" x14ac:dyDescent="0.3">
      <c r="A187"/>
    </row>
    <row r="188" spans="1:1" x14ac:dyDescent="0.3">
      <c r="A188"/>
    </row>
    <row r="189" spans="1:1" x14ac:dyDescent="0.3">
      <c r="A189"/>
    </row>
    <row r="190" spans="1:1" x14ac:dyDescent="0.3">
      <c r="A190"/>
    </row>
    <row r="191" spans="1:1" x14ac:dyDescent="0.3">
      <c r="A191"/>
    </row>
    <row r="192" spans="1:1" x14ac:dyDescent="0.3">
      <c r="A192"/>
    </row>
    <row r="193" spans="1:1" x14ac:dyDescent="0.3">
      <c r="A193"/>
    </row>
    <row r="194" spans="1:1" x14ac:dyDescent="0.3">
      <c r="A194"/>
    </row>
    <row r="195" spans="1:1" x14ac:dyDescent="0.3">
      <c r="A195"/>
    </row>
    <row r="196" spans="1:1" x14ac:dyDescent="0.3">
      <c r="A196"/>
    </row>
    <row r="197" spans="1:1" x14ac:dyDescent="0.3">
      <c r="A197"/>
    </row>
    <row r="198" spans="1:1" x14ac:dyDescent="0.3">
      <c r="A198"/>
    </row>
    <row r="199" spans="1:1" x14ac:dyDescent="0.3">
      <c r="A199"/>
    </row>
    <row r="200" spans="1:1" x14ac:dyDescent="0.3">
      <c r="A200"/>
    </row>
    <row r="201" spans="1:1" x14ac:dyDescent="0.3">
      <c r="A201"/>
    </row>
    <row r="202" spans="1:1" x14ac:dyDescent="0.3">
      <c r="A202"/>
    </row>
    <row r="203" spans="1:1" x14ac:dyDescent="0.3">
      <c r="A203"/>
    </row>
    <row r="204" spans="1:1" x14ac:dyDescent="0.3">
      <c r="A204"/>
    </row>
    <row r="205" spans="1:1" x14ac:dyDescent="0.3">
      <c r="A205"/>
    </row>
    <row r="206" spans="1:1" x14ac:dyDescent="0.3">
      <c r="A206"/>
    </row>
    <row r="207" spans="1:1" x14ac:dyDescent="0.3">
      <c r="A207"/>
    </row>
    <row r="208" spans="1:1" x14ac:dyDescent="0.3">
      <c r="A208"/>
    </row>
    <row r="209" spans="1:1" x14ac:dyDescent="0.3">
      <c r="A209"/>
    </row>
    <row r="210" spans="1:1" x14ac:dyDescent="0.3">
      <c r="A210"/>
    </row>
    <row r="211" spans="1:1" x14ac:dyDescent="0.3">
      <c r="A211"/>
    </row>
    <row r="212" spans="1:1" x14ac:dyDescent="0.3">
      <c r="A212"/>
    </row>
    <row r="213" spans="1:1" x14ac:dyDescent="0.3">
      <c r="A213"/>
    </row>
    <row r="214" spans="1:1" x14ac:dyDescent="0.3">
      <c r="A214"/>
    </row>
    <row r="215" spans="1:1" x14ac:dyDescent="0.3">
      <c r="A215"/>
    </row>
    <row r="216" spans="1:1" x14ac:dyDescent="0.3">
      <c r="A216"/>
    </row>
    <row r="217" spans="1:1" x14ac:dyDescent="0.3">
      <c r="A217"/>
    </row>
    <row r="218" spans="1:1" x14ac:dyDescent="0.3">
      <c r="A218"/>
    </row>
    <row r="219" spans="1:1" x14ac:dyDescent="0.3">
      <c r="A219"/>
    </row>
    <row r="220" spans="1:1" x14ac:dyDescent="0.3">
      <c r="A220"/>
    </row>
    <row r="221" spans="1:1" x14ac:dyDescent="0.3">
      <c r="A221"/>
    </row>
    <row r="222" spans="1:1" x14ac:dyDescent="0.3">
      <c r="A222"/>
    </row>
    <row r="223" spans="1:1" x14ac:dyDescent="0.3">
      <c r="A223"/>
    </row>
    <row r="224" spans="1:1" x14ac:dyDescent="0.3">
      <c r="A224"/>
    </row>
    <row r="225" spans="1:1" x14ac:dyDescent="0.3">
      <c r="A225"/>
    </row>
    <row r="226" spans="1:1" x14ac:dyDescent="0.3">
      <c r="A226"/>
    </row>
    <row r="227" spans="1:1" x14ac:dyDescent="0.3">
      <c r="A227"/>
    </row>
    <row r="228" spans="1:1" x14ac:dyDescent="0.3">
      <c r="A228"/>
    </row>
    <row r="229" spans="1:1" x14ac:dyDescent="0.3">
      <c r="A229"/>
    </row>
    <row r="230" spans="1:1" x14ac:dyDescent="0.3">
      <c r="A230"/>
    </row>
    <row r="231" spans="1:1" x14ac:dyDescent="0.3">
      <c r="A231"/>
    </row>
    <row r="232" spans="1:1" x14ac:dyDescent="0.3">
      <c r="A232"/>
    </row>
    <row r="233" spans="1:1" x14ac:dyDescent="0.3">
      <c r="A233"/>
    </row>
    <row r="234" spans="1:1" x14ac:dyDescent="0.3">
      <c r="A234"/>
    </row>
    <row r="235" spans="1:1" x14ac:dyDescent="0.3">
      <c r="A235"/>
    </row>
    <row r="236" spans="1:1" x14ac:dyDescent="0.3">
      <c r="A236"/>
    </row>
    <row r="237" spans="1:1" x14ac:dyDescent="0.3">
      <c r="A237"/>
    </row>
    <row r="238" spans="1:1" x14ac:dyDescent="0.3">
      <c r="A238"/>
    </row>
    <row r="239" spans="1:1" x14ac:dyDescent="0.3">
      <c r="A239"/>
    </row>
    <row r="240" spans="1:1" x14ac:dyDescent="0.3">
      <c r="A240"/>
    </row>
    <row r="241" spans="1:1" x14ac:dyDescent="0.3">
      <c r="A241"/>
    </row>
    <row r="242" spans="1:1" x14ac:dyDescent="0.3">
      <c r="A242"/>
    </row>
    <row r="243" spans="1:1" x14ac:dyDescent="0.3">
      <c r="A243"/>
    </row>
    <row r="244" spans="1:1" x14ac:dyDescent="0.3">
      <c r="A244"/>
    </row>
    <row r="245" spans="1:1" x14ac:dyDescent="0.3">
      <c r="A245"/>
    </row>
    <row r="246" spans="1:1" x14ac:dyDescent="0.3">
      <c r="A246"/>
    </row>
    <row r="247" spans="1:1" x14ac:dyDescent="0.3">
      <c r="A247"/>
    </row>
    <row r="248" spans="1:1" x14ac:dyDescent="0.3">
      <c r="A248"/>
    </row>
    <row r="249" spans="1:1" x14ac:dyDescent="0.3">
      <c r="A249"/>
    </row>
    <row r="250" spans="1:1" x14ac:dyDescent="0.3">
      <c r="A250"/>
    </row>
    <row r="251" spans="1:1" x14ac:dyDescent="0.3">
      <c r="A251"/>
    </row>
    <row r="252" spans="1:1" x14ac:dyDescent="0.3">
      <c r="A252"/>
    </row>
    <row r="253" spans="1:1" x14ac:dyDescent="0.3">
      <c r="A253"/>
    </row>
    <row r="254" spans="1:1" x14ac:dyDescent="0.3">
      <c r="A254"/>
    </row>
    <row r="255" spans="1:1" x14ac:dyDescent="0.3">
      <c r="A255"/>
    </row>
    <row r="256" spans="1:1" x14ac:dyDescent="0.3">
      <c r="A256"/>
    </row>
    <row r="257" spans="1:1" x14ac:dyDescent="0.3">
      <c r="A257"/>
    </row>
    <row r="258" spans="1:1" x14ac:dyDescent="0.3">
      <c r="A258"/>
    </row>
    <row r="259" spans="1:1" x14ac:dyDescent="0.3">
      <c r="A259"/>
    </row>
    <row r="260" spans="1:1" x14ac:dyDescent="0.3">
      <c r="A260"/>
    </row>
    <row r="261" spans="1:1" x14ac:dyDescent="0.3">
      <c r="A261"/>
    </row>
    <row r="262" spans="1:1" x14ac:dyDescent="0.3">
      <c r="A262"/>
    </row>
    <row r="263" spans="1:1" x14ac:dyDescent="0.3">
      <c r="A263"/>
    </row>
    <row r="264" spans="1:1" x14ac:dyDescent="0.3">
      <c r="A264"/>
    </row>
    <row r="265" spans="1:1" x14ac:dyDescent="0.3">
      <c r="A265"/>
    </row>
    <row r="266" spans="1:1" x14ac:dyDescent="0.3">
      <c r="A266"/>
    </row>
    <row r="267" spans="1:1" x14ac:dyDescent="0.3">
      <c r="A267"/>
    </row>
    <row r="268" spans="1:1" x14ac:dyDescent="0.3">
      <c r="A268"/>
    </row>
    <row r="269" spans="1:1" x14ac:dyDescent="0.3">
      <c r="A269"/>
    </row>
    <row r="270" spans="1:1" x14ac:dyDescent="0.3">
      <c r="A270"/>
    </row>
    <row r="271" spans="1:1" x14ac:dyDescent="0.3">
      <c r="A271"/>
    </row>
    <row r="272" spans="1:1" x14ac:dyDescent="0.3">
      <c r="A272"/>
    </row>
    <row r="273" spans="1:1" x14ac:dyDescent="0.3">
      <c r="A273"/>
    </row>
    <row r="274" spans="1:1" x14ac:dyDescent="0.3">
      <c r="A274"/>
    </row>
    <row r="275" spans="1:1" x14ac:dyDescent="0.3">
      <c r="A275"/>
    </row>
    <row r="276" spans="1:1" x14ac:dyDescent="0.3">
      <c r="A276"/>
    </row>
    <row r="277" spans="1:1" x14ac:dyDescent="0.3">
      <c r="A277"/>
    </row>
    <row r="278" spans="1:1" x14ac:dyDescent="0.3">
      <c r="A278"/>
    </row>
    <row r="279" spans="1:1" x14ac:dyDescent="0.3">
      <c r="A279"/>
    </row>
    <row r="280" spans="1:1" x14ac:dyDescent="0.3">
      <c r="A280"/>
    </row>
    <row r="281" spans="1:1" x14ac:dyDescent="0.3">
      <c r="A281"/>
    </row>
    <row r="282" spans="1:1" x14ac:dyDescent="0.3">
      <c r="A282"/>
    </row>
    <row r="283" spans="1:1" x14ac:dyDescent="0.3">
      <c r="A283"/>
    </row>
    <row r="284" spans="1:1" x14ac:dyDescent="0.3">
      <c r="A284"/>
    </row>
    <row r="285" spans="1:1" x14ac:dyDescent="0.3">
      <c r="A285"/>
    </row>
    <row r="286" spans="1:1" x14ac:dyDescent="0.3">
      <c r="A286"/>
    </row>
    <row r="287" spans="1:1" x14ac:dyDescent="0.3">
      <c r="A287"/>
    </row>
    <row r="288" spans="1:1" x14ac:dyDescent="0.3">
      <c r="A288"/>
    </row>
    <row r="289" spans="1:1" x14ac:dyDescent="0.3">
      <c r="A289"/>
    </row>
    <row r="290" spans="1:1" x14ac:dyDescent="0.3">
      <c r="A290"/>
    </row>
    <row r="291" spans="1:1" x14ac:dyDescent="0.3">
      <c r="A291"/>
    </row>
    <row r="292" spans="1:1" x14ac:dyDescent="0.3">
      <c r="A292"/>
    </row>
    <row r="293" spans="1:1" x14ac:dyDescent="0.3">
      <c r="A293"/>
    </row>
    <row r="294" spans="1:1" x14ac:dyDescent="0.3">
      <c r="A294"/>
    </row>
    <row r="295" spans="1:1" x14ac:dyDescent="0.3">
      <c r="A295"/>
    </row>
    <row r="296" spans="1:1" x14ac:dyDescent="0.3">
      <c r="A296"/>
    </row>
    <row r="297" spans="1:1" x14ac:dyDescent="0.3">
      <c r="A297"/>
    </row>
    <row r="298" spans="1:1" x14ac:dyDescent="0.3">
      <c r="A298"/>
    </row>
    <row r="299" spans="1:1" x14ac:dyDescent="0.3">
      <c r="A299"/>
    </row>
  </sheetData>
  <pageMargins left="0.7" right="0.7" top="0.75" bottom="0.75" header="0.3" footer="0.3"/>
  <pageSetup orientation="portrait"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Notes</vt:lpstr>
      <vt:lpstr>NIRL All Projects</vt:lpstr>
      <vt:lpstr>Append Lat Longs</vt:lpstr>
      <vt:lpstr>Load Reductions</vt:lpstr>
      <vt:lpstr>Support Info</vt:lpstr>
      <vt:lpstr>TN Progress Charts</vt:lpstr>
      <vt:lpstr>TP Progress Charts</vt:lpstr>
      <vt:lpstr>Project Type Check 022520</vt:lpstr>
      <vt:lpstr>'NIRL All Projects'!Print_Titles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Heather York</dc:creator>
  <cp:lastModifiedBy>Cecil, Stacy</cp:lastModifiedBy>
  <dcterms:created xsi:type="dcterms:W3CDTF">2015-11-17T19:38:25Z</dcterms:created>
  <dcterms:modified xsi:type="dcterms:W3CDTF">2020-09-18T14:07:50Z</dcterms:modified>
</cp:coreProperties>
</file>