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BMP reductions since 2009\"/>
    </mc:Choice>
  </mc:AlternateContent>
  <bookViews>
    <workbookView xWindow="0" yWindow="90" windowWidth="23955" windowHeight="14370"/>
  </bookViews>
  <sheets>
    <sheet name="Fisheating Creek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C17" i="13" l="1"/>
  <c r="E16" i="13"/>
  <c r="D16" i="13"/>
  <c r="C16" i="13"/>
  <c r="E15" i="13"/>
  <c r="D15" i="13"/>
  <c r="C15" i="13"/>
  <c r="E9" i="13"/>
  <c r="D9" i="13"/>
  <c r="C9" i="13"/>
  <c r="E7" i="13"/>
  <c r="D7" i="13"/>
  <c r="C7" i="13"/>
  <c r="E5" i="13"/>
  <c r="D5" i="13"/>
  <c r="C5" i="13"/>
  <c r="E4" i="13"/>
  <c r="D4" i="13"/>
  <c r="C4" i="13"/>
  <c r="E3" i="13"/>
  <c r="D3" i="13"/>
  <c r="C3" i="13"/>
  <c r="G11" i="13" l="1"/>
  <c r="F11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0" i="13"/>
  <c r="G10" i="13"/>
  <c r="F12" i="13"/>
  <c r="G12" i="13"/>
  <c r="F13" i="13"/>
  <c r="G13" i="13"/>
  <c r="F14" i="13"/>
  <c r="G14" i="13"/>
  <c r="F15" i="13"/>
  <c r="G15" i="13"/>
  <c r="F16" i="13"/>
  <c r="G16" i="13"/>
  <c r="F18" i="13"/>
  <c r="G18" i="13"/>
  <c r="F20" i="13" l="1"/>
  <c r="F21" i="13" s="1"/>
  <c r="G20" i="13"/>
  <c r="G21" i="13" s="1"/>
</calcChain>
</file>

<file path=xl/sharedStrings.xml><?xml version="1.0" encoding="utf-8"?>
<sst xmlns="http://schemas.openxmlformats.org/spreadsheetml/2006/main" count="464" uniqueCount="169">
  <si>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</si>
  <si>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</si>
  <si>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</si>
  <si>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</si>
  <si>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</si>
  <si>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</si>
  <si>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</si>
  <si>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</si>
  <si>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</si>
  <si>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</si>
  <si>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</si>
  <si>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</si>
  <si>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</si>
  <si>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</si>
  <si>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</si>
  <si>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</si>
  <si>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</si>
  <si>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</si>
  <si>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</si>
  <si>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</si>
  <si>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</si>
  <si>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</si>
  <si>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</si>
  <si>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</si>
  <si>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</si>
  <si>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</si>
  <si>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</si>
  <si>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</si>
  <si>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</si>
  <si>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</si>
  <si>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</si>
  <si>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</si>
  <si>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</si>
  <si>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</si>
  <si>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</si>
  <si>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</si>
  <si>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</si>
  <si>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</si>
  <si>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</si>
  <si>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</si>
  <si>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</si>
  <si>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</si>
  <si>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</si>
  <si>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</si>
  <si>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</si>
  <si>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</si>
  <si>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</si>
  <si>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</si>
  <si>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</si>
  <si>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</si>
  <si>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</si>
  <si>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</si>
  <si>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</si>
  <si>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</si>
  <si>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</si>
  <si>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</si>
  <si>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</si>
  <si>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</si>
  <si>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</si>
  <si>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</si>
  <si>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</si>
  <si>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</si>
  <si>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</si>
  <si>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</si>
  <si>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</si>
  <si>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</si>
  <si>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</si>
  <si>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</si>
  <si>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</si>
  <si>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</si>
  <si>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</si>
  <si>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</si>
  <si>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</si>
  <si>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</si>
  <si>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</si>
  <si>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</si>
  <si>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</si>
  <si>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</si>
  <si>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</si>
  <si>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</si>
  <si>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</si>
  <si>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</si>
  <si>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</si>
  <si>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</si>
  <si>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</si>
  <si>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</si>
  <si>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</si>
  <si>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</si>
  <si>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</si>
  <si>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</si>
  <si>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</si>
  <si>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</si>
  <si>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</si>
  <si>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</si>
  <si>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</si>
  <si>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</si>
  <si>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</si>
  <si>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</si>
  <si>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</si>
  <si>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</si>
  <si>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</si>
  <si>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</si>
  <si>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</si>
  <si>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</si>
  <si>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</si>
  <si>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</si>
  <si>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</si>
  <si>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</si>
  <si>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</si>
  <si>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</si>
  <si>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</si>
  <si>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</si>
  <si>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</si>
  <si>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</si>
  <si>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</si>
  <si>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</si>
  <si>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</si>
  <si>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</si>
  <si>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</si>
  <si>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</si>
  <si>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</si>
  <si>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</si>
  <si>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</si>
  <si>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</si>
  <si>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</si>
  <si>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</si>
  <si>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</si>
  <si>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</si>
  <si>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</si>
  <si>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</si>
  <si>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</si>
  <si>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</si>
  <si>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</si>
  <si>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</si>
  <si>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</si>
  <si>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</si>
  <si>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</si>
  <si>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Aquaculture</t>
  </si>
  <si>
    <t>LULC</t>
  </si>
  <si>
    <t>Row Crops</t>
  </si>
  <si>
    <t>Poultry Feeding Op</t>
  </si>
  <si>
    <t>Not OAWP program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</si>
  <si>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</si>
  <si>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</si>
  <si>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</si>
  <si>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</si>
  <si>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</si>
  <si>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</si>
  <si>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 xml:space="preserve"> used hay/field crops, since it specifically mentions poultry</t>
  </si>
  <si>
    <t>Mixed Rangeland</t>
  </si>
  <si>
    <t>Sugar Cane</t>
  </si>
  <si>
    <t>sugar cane</t>
  </si>
  <si>
    <t xml:space="preserve"> rangeland and woodland pastures</t>
  </si>
  <si>
    <t>Other Groves</t>
  </si>
  <si>
    <t>Sod Farms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</si>
  <si>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</si>
  <si>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</si>
  <si>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</si>
  <si>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Calculated Agricultural Reduction Estimates in the Lake O Fisheating Creek Sub-Watershed, Based on SWET 2008 Report Estimates</t>
  </si>
  <si>
    <t>can't enroll</t>
  </si>
  <si>
    <t>citrus</t>
  </si>
  <si>
    <t>Acres</t>
  </si>
  <si>
    <t>sod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</si>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</sst>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3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left"/>
    </xf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1"/>
  <sheetViews>
    <sheetView tabSelected="1" workbookViewId="0">
      <selection activeCell="D17" sqref="D17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7" width="18.5703125" style="20" bestFit="1" customWidth="1"/>
    <col min="8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158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138</v>
      </c>
      <c r="B2" s="33" t="s">
        <v>4</v>
      </c>
      <c r="C2" s="31" t="s">
        <v>161</v>
      </c>
      <c r="D2" s="32" t="s">
        <v>163</v>
      </c>
      <c r="E2" s="33" t="s">
        <v>164</v>
      </c>
      <c r="F2" s="34" t="s">
        <v>165</v>
      </c>
      <c r="G2" s="34" t="s">
        <v>166</v>
      </c>
    </row>
    <row r="3" spans="1:9" x14ac:dyDescent="0.25">
      <c r="A3" s="22">
        <v>2110</v>
      </c>
      <c r="B3" s="22" t="s">
        <v>131</v>
      </c>
      <c r="C3" s="27">
        <f>102611.7-18898.3</f>
        <v>83713.399999999994</v>
      </c>
      <c r="D3" s="27">
        <f>44885.6-8374.5</f>
        <v>36511.1</v>
      </c>
      <c r="E3" s="27">
        <f>253441.6-47366.7</f>
        <v>206074.90000000002</v>
      </c>
      <c r="F3" s="21">
        <f>(($D$3*cowcalf!$C$7)/100)</f>
        <v>4016.2209999999995</v>
      </c>
      <c r="G3" s="21">
        <f>((E3*cowcalf!$E$7)/100)</f>
        <v>35032.733</v>
      </c>
      <c r="H3" s="19" t="s">
        <v>144</v>
      </c>
      <c r="I3" s="19"/>
    </row>
    <row r="4" spans="1:9" x14ac:dyDescent="0.25">
      <c r="A4" s="22">
        <v>2120</v>
      </c>
      <c r="B4" s="22" t="s">
        <v>129</v>
      </c>
      <c r="C4" s="27">
        <f>36919.8-2016</f>
        <v>34903.800000000003</v>
      </c>
      <c r="D4" s="27">
        <f>10058.8-554.5</f>
        <v>9504.2999999999993</v>
      </c>
      <c r="E4" s="27">
        <f>72453.4-3961.6</f>
        <v>68491.799999999988</v>
      </c>
      <c r="F4" s="21">
        <f>((D4*cowcalf!$C$16)/100)</f>
        <v>665.30099999999993</v>
      </c>
      <c r="G4" s="21">
        <f>((E4*cowcalf!$E$16)/100)</f>
        <v>7534.0979999999981</v>
      </c>
      <c r="H4" s="19" t="s">
        <v>145</v>
      </c>
      <c r="I4" s="19"/>
    </row>
    <row r="5" spans="1:9" x14ac:dyDescent="0.25">
      <c r="A5" s="22">
        <v>2130</v>
      </c>
      <c r="B5" s="22" t="s">
        <v>130</v>
      </c>
      <c r="C5" s="27">
        <f>24973.2-3275.4</f>
        <v>21697.8</v>
      </c>
      <c r="D5" s="27">
        <f>4331.2-570.2</f>
        <v>3761</v>
      </c>
      <c r="E5" s="27">
        <f>40589.1-5329.3</f>
        <v>35259.799999999996</v>
      </c>
      <c r="F5" s="21">
        <f>((D5*cowcalf!$C$25)/100)</f>
        <v>150.44</v>
      </c>
      <c r="G5" s="21">
        <f>((E5*cowcalf!$E$25)/100)</f>
        <v>1410.3919999999998</v>
      </c>
      <c r="H5" s="19" t="s">
        <v>146</v>
      </c>
      <c r="I5" s="19"/>
    </row>
    <row r="6" spans="1:9" x14ac:dyDescent="0.25">
      <c r="A6" s="22">
        <v>2140</v>
      </c>
      <c r="B6" s="22" t="s">
        <v>139</v>
      </c>
      <c r="C6" s="27">
        <v>18.8</v>
      </c>
      <c r="D6" s="27">
        <v>5.7</v>
      </c>
      <c r="E6" s="27">
        <v>290.10000000000002</v>
      </c>
      <c r="F6" s="21">
        <f>((D6*rowcrop!$C$7)/100)</f>
        <v>1.71</v>
      </c>
      <c r="G6" s="17">
        <f>((E6*rowcrop!$E$7)/100)</f>
        <v>87.03</v>
      </c>
      <c r="H6" s="19" t="s">
        <v>147</v>
      </c>
      <c r="I6" s="19"/>
    </row>
    <row r="7" spans="1:9" x14ac:dyDescent="0.25">
      <c r="A7" s="22">
        <v>2150</v>
      </c>
      <c r="B7" s="22" t="s">
        <v>132</v>
      </c>
      <c r="C7" s="27">
        <f>793127.2</f>
        <v>793127.2</v>
      </c>
      <c r="D7" s="27">
        <f>861-138.1</f>
        <v>722.9</v>
      </c>
      <c r="E7" s="27">
        <f>1953-313.2</f>
        <v>1639.8</v>
      </c>
      <c r="F7" s="21">
        <f>((D7*hay!$C$7)/100)</f>
        <v>108.435</v>
      </c>
      <c r="G7" s="21">
        <f>((E7*hay!$E$7)/100)</f>
        <v>245.97</v>
      </c>
      <c r="I7" s="19"/>
    </row>
    <row r="8" spans="1:9" x14ac:dyDescent="0.25">
      <c r="A8" s="22">
        <v>2156</v>
      </c>
      <c r="B8" s="22" t="s">
        <v>150</v>
      </c>
      <c r="C8" s="27">
        <v>20.3</v>
      </c>
      <c r="D8" s="27">
        <v>2.2999999999999998</v>
      </c>
      <c r="E8" s="27">
        <v>16.399999999999999</v>
      </c>
      <c r="F8" s="21">
        <f>((D8*sugarcane!$C$7)/100)</f>
        <v>0.23</v>
      </c>
      <c r="G8" s="21">
        <f>((E8*sugarcane!$E$7)/100)</f>
        <v>1.64</v>
      </c>
      <c r="H8" s="19" t="s">
        <v>151</v>
      </c>
      <c r="I8" s="19"/>
    </row>
    <row r="9" spans="1:9" x14ac:dyDescent="0.25">
      <c r="A9" s="22">
        <v>2210</v>
      </c>
      <c r="B9" s="22" t="s">
        <v>133</v>
      </c>
      <c r="C9" s="27">
        <f>7877.5-1629.9</f>
        <v>6247.6</v>
      </c>
      <c r="D9" s="27">
        <f>6969.5-1442.1</f>
        <v>5527.4</v>
      </c>
      <c r="E9" s="27">
        <f>133550.8-27634.8</f>
        <v>105915.99999999999</v>
      </c>
      <c r="F9" s="21">
        <f>((D9*citrus!$C$7)/100)</f>
        <v>663.2879999999999</v>
      </c>
      <c r="G9" s="21">
        <f>((E9*citrus!$E$7)/100)</f>
        <v>10591.599999999999</v>
      </c>
      <c r="H9" s="19" t="s">
        <v>143</v>
      </c>
      <c r="I9" s="19"/>
    </row>
    <row r="10" spans="1:9" x14ac:dyDescent="0.25">
      <c r="A10" s="22">
        <v>2230</v>
      </c>
      <c r="B10" s="22" t="s">
        <v>153</v>
      </c>
      <c r="C10" s="27">
        <v>41</v>
      </c>
      <c r="D10" s="27">
        <v>46.7</v>
      </c>
      <c r="E10" s="27">
        <v>225.7</v>
      </c>
      <c r="F10" s="21">
        <f>((D10*citrus!$C$7)/100)</f>
        <v>5.604000000000001</v>
      </c>
      <c r="G10" s="21">
        <f>((E10*citrus!$E$7)/100)</f>
        <v>22.57</v>
      </c>
      <c r="H10" s="19" t="s">
        <v>143</v>
      </c>
      <c r="I10" s="19"/>
    </row>
    <row r="11" spans="1:9" x14ac:dyDescent="0.25">
      <c r="A11" s="22">
        <v>2240</v>
      </c>
      <c r="B11" s="22" t="s">
        <v>153</v>
      </c>
      <c r="C11" s="27">
        <v>4.7</v>
      </c>
      <c r="D11" s="27">
        <v>5.3</v>
      </c>
      <c r="E11" s="27">
        <v>25.7</v>
      </c>
      <c r="F11" s="21">
        <f>((D11*citrus!$C$7)/100)</f>
        <v>0.6359999999999999</v>
      </c>
      <c r="G11" s="21">
        <f>((E11*citrus!$E$7)/100)</f>
        <v>2.57</v>
      </c>
      <c r="H11" s="19" t="s">
        <v>160</v>
      </c>
      <c r="I11" s="19"/>
    </row>
    <row r="12" spans="1:9" x14ac:dyDescent="0.25">
      <c r="A12" s="22">
        <v>2320</v>
      </c>
      <c r="B12" s="22" t="s">
        <v>140</v>
      </c>
      <c r="C12" s="27">
        <v>5.2</v>
      </c>
      <c r="D12" s="27">
        <v>1.3</v>
      </c>
      <c r="E12" s="27">
        <v>0.6</v>
      </c>
      <c r="F12" s="21">
        <f>((D12*hay!$C$7)/100)</f>
        <v>0.19500000000000001</v>
      </c>
      <c r="G12" s="21">
        <f>((E12*hay!$E$7)/100)</f>
        <v>0.09</v>
      </c>
      <c r="H12" s="19" t="s">
        <v>148</v>
      </c>
      <c r="I12" s="19"/>
    </row>
    <row r="13" spans="1:9" x14ac:dyDescent="0.25">
      <c r="A13" s="22">
        <v>2410</v>
      </c>
      <c r="B13" s="22" t="s">
        <v>134</v>
      </c>
      <c r="C13" s="27">
        <v>123.6</v>
      </c>
      <c r="D13" s="27">
        <v>296.89999999999998</v>
      </c>
      <c r="E13" s="27">
        <v>1710.8</v>
      </c>
      <c r="F13" s="21">
        <f>((D13*ornamentals!$C$7)/100)</f>
        <v>95.007999999999996</v>
      </c>
      <c r="G13" s="21">
        <f>((E13*ornamentals!$E$7)/100)</f>
        <v>427.7</v>
      </c>
      <c r="H13" s="19" t="s">
        <v>142</v>
      </c>
      <c r="I13" s="19"/>
    </row>
    <row r="14" spans="1:9" s="25" customFormat="1" x14ac:dyDescent="0.25">
      <c r="A14" s="26">
        <v>2420</v>
      </c>
      <c r="B14" s="23" t="s">
        <v>154</v>
      </c>
      <c r="C14" s="14">
        <v>737.4</v>
      </c>
      <c r="D14" s="14">
        <v>840.9</v>
      </c>
      <c r="E14" s="14">
        <v>6211.9</v>
      </c>
      <c r="F14" s="27">
        <f>((D14*sod!C7)/100)</f>
        <v>168.18</v>
      </c>
      <c r="G14" s="27">
        <f>((E14*sod!E7)/100)</f>
        <v>1242.3800000000001</v>
      </c>
      <c r="H14" s="25" t="s">
        <v>162</v>
      </c>
    </row>
    <row r="15" spans="1:9" x14ac:dyDescent="0.25">
      <c r="A15" s="22">
        <v>2430</v>
      </c>
      <c r="B15" s="22" t="s">
        <v>135</v>
      </c>
      <c r="C15" s="27">
        <f>391.2-15.2</f>
        <v>376</v>
      </c>
      <c r="D15" s="27">
        <f>346.4-13.5</f>
        <v>332.9</v>
      </c>
      <c r="E15" s="27">
        <f>5278.3-205.4</f>
        <v>5072.9000000000005</v>
      </c>
      <c r="F15" s="21">
        <f>((D15*ornamentals!$C$7)/100)</f>
        <v>106.52799999999999</v>
      </c>
      <c r="G15" s="21">
        <f>((E15*ornamentals!$E$7)/100)</f>
        <v>1268.2250000000001</v>
      </c>
      <c r="H15" s="19" t="s">
        <v>142</v>
      </c>
      <c r="I15" s="19"/>
    </row>
    <row r="16" spans="1:9" s="25" customFormat="1" x14ac:dyDescent="0.25">
      <c r="A16" s="26">
        <v>2520</v>
      </c>
      <c r="B16" s="23" t="s">
        <v>155</v>
      </c>
      <c r="C16" s="14">
        <f>26.7-25.25</f>
        <v>1.4499999999999993</v>
      </c>
      <c r="D16" s="14">
        <f>19.2-18.3</f>
        <v>0.89999999999999858</v>
      </c>
      <c r="E16" s="14">
        <f>131.3-125.2</f>
        <v>6.1000000000000085</v>
      </c>
      <c r="F16" s="27">
        <f>((D16*dairies!C7)/100)</f>
        <v>8.0999999999999878E-2</v>
      </c>
      <c r="G16" s="27">
        <f>((E16*dairies!E7)/100)</f>
        <v>1.2200000000000017</v>
      </c>
    </row>
    <row r="17" spans="1:9" s="18" customFormat="1" x14ac:dyDescent="0.25">
      <c r="A17" s="35">
        <v>2540</v>
      </c>
      <c r="B17" s="35" t="s">
        <v>137</v>
      </c>
      <c r="C17" s="14">
        <f>61.5-0.3</f>
        <v>61.2</v>
      </c>
      <c r="D17" s="14">
        <v>0.1</v>
      </c>
      <c r="E17" s="14">
        <v>6.2</v>
      </c>
      <c r="F17" s="14" t="s">
        <v>141</v>
      </c>
      <c r="G17" s="14" t="s">
        <v>141</v>
      </c>
    </row>
    <row r="18" spans="1:9" x14ac:dyDescent="0.25">
      <c r="A18" s="22">
        <v>2600</v>
      </c>
      <c r="B18" s="22" t="s">
        <v>149</v>
      </c>
      <c r="C18" s="27">
        <v>3.7</v>
      </c>
      <c r="D18" s="27">
        <v>0.1</v>
      </c>
      <c r="E18" s="27">
        <v>6.3</v>
      </c>
      <c r="F18" s="21">
        <f>((D18*cowcalf!$C$25)/100)</f>
        <v>4.0000000000000001E-3</v>
      </c>
      <c r="G18" s="21">
        <f>((E18*cowcalf!$E$25)/100)</f>
        <v>0.252</v>
      </c>
      <c r="H18" s="19" t="s">
        <v>152</v>
      </c>
      <c r="I18" s="19"/>
    </row>
    <row r="19" spans="1:9" s="25" customFormat="1" x14ac:dyDescent="0.25">
      <c r="A19" s="26">
        <v>2610</v>
      </c>
      <c r="B19" s="26" t="s">
        <v>136</v>
      </c>
      <c r="C19" s="27">
        <v>740.8</v>
      </c>
      <c r="D19" s="27">
        <v>22.4</v>
      </c>
      <c r="E19" s="27">
        <v>1266.0999999999999</v>
      </c>
      <c r="F19" s="27" t="s">
        <v>159</v>
      </c>
      <c r="G19" s="27" t="s">
        <v>159</v>
      </c>
    </row>
    <row r="20" spans="1:9" x14ac:dyDescent="0.25">
      <c r="A20" s="36" t="s">
        <v>167</v>
      </c>
      <c r="B20" s="36"/>
      <c r="C20" s="36"/>
      <c r="D20" s="36"/>
      <c r="E20" s="36"/>
      <c r="F20" s="16">
        <f>SUM(F3:F19)</f>
        <v>5981.860999999999</v>
      </c>
      <c r="G20" s="16">
        <f>SUM(G3:G19)</f>
        <v>57868.469999999987</v>
      </c>
      <c r="H20" s="19"/>
      <c r="I20" s="19"/>
    </row>
    <row r="21" spans="1:9" x14ac:dyDescent="0.25">
      <c r="A21" s="36" t="s">
        <v>168</v>
      </c>
      <c r="B21" s="36"/>
      <c r="C21" s="36"/>
      <c r="D21" s="36"/>
      <c r="E21" s="36"/>
      <c r="F21" s="15">
        <f>F20/SUM($D$3:$D$19)</f>
        <v>0.10388385646953396</v>
      </c>
      <c r="G21" s="15">
        <f>G20/SUM($E$3:$E$19)</f>
        <v>0.13388626793092701</v>
      </c>
      <c r="H21" s="19"/>
      <c r="I21" s="19"/>
    </row>
  </sheetData>
  <mergeCells count="2">
    <mergeCell ref="A20:E20"/>
    <mergeCell ref="A21:E21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156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157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4" sqref="A44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156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157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157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156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157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B29:B30"/>
    <mergeCell ref="C29:C30"/>
    <mergeCell ref="B18:B19"/>
    <mergeCell ref="C18:C19"/>
    <mergeCell ref="B20:B21"/>
    <mergeCell ref="C20:C21"/>
    <mergeCell ref="B23:B24"/>
    <mergeCell ref="C23:C24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A1:C1"/>
    <mergeCell ref="A2:A3"/>
    <mergeCell ref="D2:E2"/>
    <mergeCell ref="D5:D6"/>
    <mergeCell ref="E5:E6"/>
    <mergeCell ref="B2:C2"/>
    <mergeCell ref="B5:B6"/>
    <mergeCell ref="C5:C6"/>
    <mergeCell ref="D9:D10"/>
    <mergeCell ref="E9:E10"/>
    <mergeCell ref="D11:D12"/>
    <mergeCell ref="E11:E12"/>
    <mergeCell ref="D14:D15"/>
    <mergeCell ref="E14:E15"/>
    <mergeCell ref="D16:D17"/>
    <mergeCell ref="E16:E17"/>
    <mergeCell ref="D18:D19"/>
    <mergeCell ref="E18:E19"/>
    <mergeCell ref="D20:D21"/>
    <mergeCell ref="E20:E21"/>
    <mergeCell ref="D29:D30"/>
    <mergeCell ref="E29:E30"/>
    <mergeCell ref="D23:D24"/>
    <mergeCell ref="E23:E24"/>
    <mergeCell ref="D25:D26"/>
    <mergeCell ref="E25:E26"/>
    <mergeCell ref="D27:D28"/>
    <mergeCell ref="E27:E28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156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157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A16:C16"/>
    <mergeCell ref="A11:C11"/>
    <mergeCell ref="A1:C1"/>
    <mergeCell ref="A2:A3"/>
    <mergeCell ref="B2:C2"/>
    <mergeCell ref="B5:B6"/>
    <mergeCell ref="C5:C6"/>
    <mergeCell ref="B7:B8"/>
    <mergeCell ref="C7:C8"/>
    <mergeCell ref="D9:D10"/>
    <mergeCell ref="E9:E10"/>
    <mergeCell ref="B9:B10"/>
    <mergeCell ref="C9:C10"/>
    <mergeCell ref="A12:C12"/>
    <mergeCell ref="D2:E2"/>
    <mergeCell ref="D5:D6"/>
    <mergeCell ref="E5:E6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Fisheating Creek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2014-03-10T20:52:09Z</dcterms:modified>
</cp:coreProperties>
</file>