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19" i="13" l="1"/>
  <c r="D19" i="13"/>
  <c r="C19" i="13"/>
  <c r="E17" i="13"/>
  <c r="D17" i="13"/>
  <c r="C17" i="13"/>
  <c r="E15" i="13"/>
  <c r="D15" i="13"/>
  <c r="C15" i="13"/>
  <c r="E13" i="13"/>
  <c r="D13" i="13"/>
  <c r="C13" i="13"/>
  <c r="E12" i="13"/>
  <c r="D12" i="13"/>
  <c r="C12" i="13"/>
  <c r="E10" i="13"/>
  <c r="D10" i="13"/>
  <c r="C10" i="13"/>
  <c r="E8" i="13"/>
  <c r="D8" i="13"/>
  <c r="C8" i="13"/>
  <c r="E6" i="13"/>
  <c r="D6" i="13"/>
  <c r="C6" i="13"/>
  <c r="E5" i="13"/>
  <c r="D5" i="13"/>
  <c r="C5" i="13"/>
  <c r="E4" i="13"/>
  <c r="D4" i="13"/>
  <c r="C4" i="13"/>
  <c r="E3" i="13"/>
  <c r="D3" i="13"/>
  <c r="C3" i="13"/>
  <c r="E16" i="13" l="1"/>
  <c r="E11" i="13"/>
  <c r="G19" i="13" l="1"/>
  <c r="F19" i="13"/>
  <c r="D16" i="13" l="1"/>
  <c r="C16" i="13"/>
  <c r="D11" i="13"/>
  <c r="C11" i="13"/>
  <c r="G17" i="13" l="1"/>
  <c r="F17" i="13"/>
  <c r="G12" i="13"/>
  <c r="F12" i="13"/>
  <c r="F11" i="13"/>
  <c r="G11" i="13"/>
  <c r="G10" i="13" l="1"/>
  <c r="F10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3" i="13"/>
  <c r="G13" i="13"/>
  <c r="F14" i="13"/>
  <c r="G14" i="13"/>
  <c r="F15" i="13"/>
  <c r="G15" i="13"/>
  <c r="F16" i="13"/>
  <c r="G16" i="13"/>
  <c r="G21" i="13" l="1"/>
  <c r="G22" i="13" s="1"/>
  <c r="F21" i="13"/>
  <c r="F22" i="13" s="1"/>
</calcChain>
</file>

<file path=xl/sharedStrings.xml><?xml version="1.0" encoding="utf-8"?>
<sst xmlns="http://schemas.openxmlformats.org/spreadsheetml/2006/main" count="468" uniqueCount="174">
  <si>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</si>
  <si>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</si>
  <si>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</si>
  <si>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</si>
  <si>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</si>
  <si>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</si>
  <si>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</si>
  <si>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</si>
  <si>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</si>
  <si>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</si>
  <si>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</si>
  <si>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</si>
  <si>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</si>
  <si>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</si>
  <si>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</si>
  <si>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</si>
  <si>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</si>
  <si>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</si>
  <si>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</si>
  <si>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</si>
  <si>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</si>
  <si>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</si>
  <si>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</si>
  <si>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</si>
  <si>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</si>
  <si>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</si>
  <si>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</si>
  <si>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</si>
  <si>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</si>
  <si>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</si>
  <si>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</si>
  <si>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</si>
  <si>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</si>
  <si>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</si>
  <si>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</si>
  <si>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</si>
  <si>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</si>
  <si>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</si>
  <si>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</si>
  <si>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</si>
  <si>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</si>
  <si>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</si>
  <si>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</si>
  <si>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</si>
  <si>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</si>
  <si>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</si>
  <si>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</si>
  <si>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</si>
  <si>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</si>
  <si>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</si>
  <si>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</si>
  <si>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</si>
  <si>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</si>
  <si>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</si>
  <si>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</si>
  <si>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</si>
  <si>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</si>
  <si>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</si>
  <si>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</si>
  <si>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</si>
  <si>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</si>
  <si>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</si>
  <si>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</si>
  <si>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</si>
  <si>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</si>
  <si>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</si>
  <si>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</si>
  <si>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</si>
  <si>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</si>
  <si>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</si>
  <si>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</si>
  <si>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</si>
  <si>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</si>
  <si>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</si>
  <si>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</si>
  <si>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</si>
  <si>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</si>
  <si>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</si>
  <si>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</si>
  <si>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</si>
  <si>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</si>
  <si>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</si>
  <si>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</si>
  <si>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</si>
  <si>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</si>
  <si>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</si>
  <si>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</si>
  <si>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</si>
  <si>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</si>
  <si>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</si>
  <si>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</si>
  <si>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</si>
  <si>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</si>
  <si>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</si>
  <si>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</si>
  <si>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</si>
  <si>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</si>
  <si>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</si>
  <si>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</si>
  <si>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</si>
  <si>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</si>
  <si>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</si>
  <si>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</si>
  <si>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</si>
  <si>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</si>
  <si>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</si>
  <si>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</si>
  <si>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</si>
  <si>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</si>
  <si>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</si>
  <si>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</si>
  <si>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</si>
  <si>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</si>
  <si>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</si>
  <si>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</si>
  <si>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</si>
  <si>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</si>
  <si>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</si>
  <si>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</si>
  <si>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</si>
  <si>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</si>
  <si>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</si>
  <si>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</si>
  <si>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</si>
  <si>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</si>
  <si>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</si>
  <si>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</si>
  <si>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</si>
  <si>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</si>
  <si>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</si>
  <si>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</si>
  <si>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</si>
  <si>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</si>
  <si>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</si>
  <si>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</si>
  <si>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</si>
  <si>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</si>
  <si>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</si>
  <si>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</si>
  <si>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</si>
  <si>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</si>
  <si>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</si>
  <si>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</si>
  <si>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</si>
  <si>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</si>
  <si>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</si>
  <si>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</si>
  <si>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</si>
  <si>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</si>
  <si>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</si>
  <si>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</si>
  <si>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</si>
  <si>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</si>
  <si>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</si>
  <si>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</si>
  <si>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</si>
  <si>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sod</t>
  </si>
  <si>
    <t>Calculated Agricultural Reduction Estimates in the Lake O Taylor Creek/Nubbin Slough Sub-Watershed, Based on SWET 2008 Report Estimates</t>
  </si>
  <si>
    <t>2500, 2520</t>
  </si>
  <si>
    <t>Horse Farms</t>
  </si>
  <si>
    <t>2300, 2310</t>
  </si>
  <si>
    <t>Cattle Feeding Op</t>
  </si>
  <si>
    <t>used hay</t>
  </si>
  <si>
    <t>hay</t>
  </si>
  <si>
    <t>2100, 2110</t>
  </si>
  <si>
    <t>2200, 2210</t>
  </si>
  <si>
    <t>2400, 2410</t>
  </si>
  <si>
    <t>Mixed Rangeland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</si>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</sst>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2"/>
  <sheetViews>
    <sheetView tabSelected="1" topLeftCell="A4" workbookViewId="0">
      <selection activeCell="C20" sqref="C20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157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155</v>
      </c>
      <c r="D2" s="32" t="s">
        <v>168</v>
      </c>
      <c r="E2" s="33" t="s">
        <v>169</v>
      </c>
      <c r="F2" s="34" t="s">
        <v>170</v>
      </c>
      <c r="G2" s="34" t="s">
        <v>171</v>
      </c>
    </row>
    <row r="3" spans="1:9" x14ac:dyDescent="0.25">
      <c r="A3" s="22" t="s">
        <v>164</v>
      </c>
      <c r="B3" s="22" t="s">
        <v>131</v>
      </c>
      <c r="C3" s="27">
        <f>4900.1+128003.6-6.9-8343</f>
        <v>124553.80000000002</v>
      </c>
      <c r="D3" s="27">
        <f>169+13075.2-0.2-852.2</f>
        <v>12391.8</v>
      </c>
      <c r="E3" s="27">
        <f>862.8+188428-1.2-12281.4</f>
        <v>177008.19999999998</v>
      </c>
      <c r="F3" s="21">
        <f>(($D$3*cowcalf!$C$7)/100)</f>
        <v>1363.098</v>
      </c>
      <c r="G3" s="21">
        <f>((E3*cowcalf!$E$7)/100)</f>
        <v>30091.394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f>38534.8-4733.3</f>
        <v>33801.5</v>
      </c>
      <c r="D4" s="27">
        <f>1452.9-178.5</f>
        <v>1274.4000000000001</v>
      </c>
      <c r="E4" s="27">
        <f>51366.1-6309.4</f>
        <v>45056.7</v>
      </c>
      <c r="F4" s="21">
        <f>((D4*cowcalf!$C$16)/100)</f>
        <v>89.208000000000013</v>
      </c>
      <c r="G4" s="21">
        <f>((E4*cowcalf!$E$16)/100)</f>
        <v>4956.2369999999992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f>36755.2-1095.4</f>
        <v>35659.799999999996</v>
      </c>
      <c r="D5" s="27">
        <f>1615.2-48.1</f>
        <v>1567.1000000000001</v>
      </c>
      <c r="E5" s="27">
        <f>43103.7-1284.6</f>
        <v>41819.1</v>
      </c>
      <c r="F5" s="21">
        <f>((D5*cowcalf!$C$25)/100)</f>
        <v>62.684000000000005</v>
      </c>
      <c r="G5" s="21">
        <f>((E5*cowcalf!$E$25)/100)</f>
        <v>1672.7639999999999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f>1119.6-1.1</f>
        <v>1118.5</v>
      </c>
      <c r="D6" s="27">
        <f>297.2-0.3</f>
        <v>296.89999999999998</v>
      </c>
      <c r="E6" s="27">
        <f>12929.3-12.4</f>
        <v>12916.9</v>
      </c>
      <c r="F6" s="21">
        <f>((D6*rowcrop!$C$7)/100)</f>
        <v>89.07</v>
      </c>
      <c r="G6" s="17">
        <f>((E6*rowcrop!$E$7)/100)</f>
        <v>3875.07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8022.8</v>
      </c>
      <c r="D7" s="27">
        <v>2180.8000000000002</v>
      </c>
      <c r="E7" s="27">
        <v>14354</v>
      </c>
      <c r="F7" s="21">
        <f>((D7*hay!$C$7)/100)</f>
        <v>327.12000000000006</v>
      </c>
      <c r="G7" s="21">
        <f>((E7*hay!$E$7)/100)</f>
        <v>2153.1</v>
      </c>
      <c r="H7" s="20" t="s">
        <v>163</v>
      </c>
      <c r="I7" s="19"/>
    </row>
    <row r="8" spans="1:9" x14ac:dyDescent="0.25">
      <c r="A8" s="22" t="s">
        <v>165</v>
      </c>
      <c r="B8" s="22" t="s">
        <v>133</v>
      </c>
      <c r="C8" s="27">
        <f>4.4+47322.2-2926.5</f>
        <v>44400.1</v>
      </c>
      <c r="D8" s="27">
        <f>0.1+1526.3-94.4</f>
        <v>1431.9999999999998</v>
      </c>
      <c r="E8" s="27">
        <f>63+655122.1-40514.3</f>
        <v>614670.79999999993</v>
      </c>
      <c r="F8" s="21">
        <f>((D8*citrus!$C$7)/100)</f>
        <v>171.83999999999997</v>
      </c>
      <c r="G8" s="21">
        <f>((E8*citrus!$E$7)/100)</f>
        <v>61467.079999999987</v>
      </c>
      <c r="H8" s="19" t="s">
        <v>143</v>
      </c>
      <c r="I8" s="19"/>
    </row>
    <row r="9" spans="1:9" x14ac:dyDescent="0.25">
      <c r="A9" s="22">
        <v>2230</v>
      </c>
      <c r="B9" s="22" t="s">
        <v>148</v>
      </c>
      <c r="C9" s="27">
        <v>126.5</v>
      </c>
      <c r="D9" s="27">
        <v>23.5</v>
      </c>
      <c r="E9" s="27">
        <v>860.2</v>
      </c>
      <c r="F9" s="21">
        <f>((D9*citrus!$C$7)/100)</f>
        <v>2.82</v>
      </c>
      <c r="G9" s="21">
        <f>((E9*citrus!$E$7)/100)</f>
        <v>86.02</v>
      </c>
      <c r="H9" s="19" t="s">
        <v>143</v>
      </c>
      <c r="I9" s="19"/>
    </row>
    <row r="10" spans="1:9" x14ac:dyDescent="0.25">
      <c r="A10" s="22">
        <v>2240</v>
      </c>
      <c r="B10" s="22" t="s">
        <v>148</v>
      </c>
      <c r="C10" s="27">
        <f>1466.6-75.6</f>
        <v>1391</v>
      </c>
      <c r="D10" s="27">
        <f>272.4-14</f>
        <v>258.39999999999998</v>
      </c>
      <c r="E10" s="27">
        <f>9975.8-514.1</f>
        <v>9461.6999999999989</v>
      </c>
      <c r="F10" s="21">
        <f>((D10*citrus!$C$7)/100)</f>
        <v>31.007999999999996</v>
      </c>
      <c r="G10" s="21">
        <f>((E10*citrus!$E$7)/100)</f>
        <v>946.16999999999985</v>
      </c>
      <c r="H10" s="19" t="s">
        <v>154</v>
      </c>
      <c r="I10" s="19"/>
    </row>
    <row r="11" spans="1:9" x14ac:dyDescent="0.25">
      <c r="A11" s="22" t="s">
        <v>160</v>
      </c>
      <c r="B11" s="22" t="s">
        <v>161</v>
      </c>
      <c r="C11" s="27">
        <f>13.1+5.7</f>
        <v>18.8</v>
      </c>
      <c r="D11" s="27">
        <f>2.7+1.2</f>
        <v>3.9000000000000004</v>
      </c>
      <c r="E11" s="27">
        <f>36.8+15.9</f>
        <v>52.699999999999996</v>
      </c>
      <c r="F11" s="21">
        <f>((D11*dairies!C7)/100)</f>
        <v>0.35100000000000003</v>
      </c>
      <c r="G11" s="21">
        <f>((E11*dairies!E7)/100)</f>
        <v>10.54</v>
      </c>
      <c r="H11" s="19"/>
      <c r="I11" s="19"/>
    </row>
    <row r="12" spans="1:9" s="25" customFormat="1" x14ac:dyDescent="0.25">
      <c r="A12" s="26">
        <v>2320</v>
      </c>
      <c r="B12" s="26" t="s">
        <v>140</v>
      </c>
      <c r="C12" s="27">
        <f>102.3-10.2</f>
        <v>92.1</v>
      </c>
      <c r="D12" s="27">
        <f>8.8-0.9</f>
        <v>7.9</v>
      </c>
      <c r="E12" s="27">
        <f>11.3-1.1</f>
        <v>10.200000000000001</v>
      </c>
      <c r="F12" s="27">
        <f>((D12*hay!C7)/100)</f>
        <v>1.1850000000000001</v>
      </c>
      <c r="G12" s="27">
        <f>((E12*hay!E7)/100)</f>
        <v>1.5300000000000002</v>
      </c>
      <c r="H12" s="25" t="s">
        <v>162</v>
      </c>
    </row>
    <row r="13" spans="1:9" x14ac:dyDescent="0.25">
      <c r="A13" s="22" t="s">
        <v>166</v>
      </c>
      <c r="B13" s="22" t="s">
        <v>134</v>
      </c>
      <c r="C13" s="27">
        <f>80.8+23.9-5.3</f>
        <v>99.399999999999991</v>
      </c>
      <c r="D13" s="27">
        <f>364.5+107.6-1.6</f>
        <v>470.5</v>
      </c>
      <c r="E13" s="27">
        <f>1064.4+4795.1-70.3</f>
        <v>5789.2</v>
      </c>
      <c r="F13" s="21">
        <f>((D13*ornamentals!$C$7)/100)</f>
        <v>150.56</v>
      </c>
      <c r="G13" s="21">
        <f>((E13*ornamentals!$E$7)/100)</f>
        <v>1447.3</v>
      </c>
      <c r="H13" s="19" t="s">
        <v>142</v>
      </c>
      <c r="I13" s="19"/>
    </row>
    <row r="14" spans="1:9" s="25" customFormat="1" x14ac:dyDescent="0.25">
      <c r="A14" s="26">
        <v>2420</v>
      </c>
      <c r="B14" s="23" t="s">
        <v>149</v>
      </c>
      <c r="C14" s="14">
        <v>3537.6</v>
      </c>
      <c r="D14" s="14">
        <v>1073.4000000000001</v>
      </c>
      <c r="E14" s="14">
        <v>20686.400000000001</v>
      </c>
      <c r="F14" s="27">
        <f>((D14*sod!C7)/100)</f>
        <v>214.68</v>
      </c>
      <c r="G14" s="27">
        <f>((E14*sod!E7)/100)</f>
        <v>4137.28</v>
      </c>
      <c r="H14" s="25" t="s">
        <v>156</v>
      </c>
    </row>
    <row r="15" spans="1:9" x14ac:dyDescent="0.25">
      <c r="A15" s="22">
        <v>2430</v>
      </c>
      <c r="B15" s="22" t="s">
        <v>135</v>
      </c>
      <c r="C15" s="27">
        <f>469.5-5.5</f>
        <v>464</v>
      </c>
      <c r="D15" s="27">
        <f>7.3-0.1</f>
        <v>7.2</v>
      </c>
      <c r="E15" s="27">
        <f>-4160.6-49</f>
        <v>-4209.6000000000004</v>
      </c>
      <c r="F15" s="21">
        <f>((D15*ornamentals!$C$7)/100)</f>
        <v>2.3040000000000003</v>
      </c>
      <c r="G15" s="21">
        <f>((E15*ornamentals!$E$7)/100)</f>
        <v>-1052.4000000000001</v>
      </c>
      <c r="H15" s="19" t="s">
        <v>142</v>
      </c>
      <c r="I15" s="19"/>
    </row>
    <row r="16" spans="1:9" s="25" customFormat="1" x14ac:dyDescent="0.25">
      <c r="A16" s="26" t="s">
        <v>158</v>
      </c>
      <c r="B16" s="23" t="s">
        <v>150</v>
      </c>
      <c r="C16" s="14">
        <f>52.6+279</f>
        <v>331.6</v>
      </c>
      <c r="D16" s="14">
        <f>8.7+85.2</f>
        <v>93.9</v>
      </c>
      <c r="E16" s="14">
        <f>353.3</f>
        <v>353.3</v>
      </c>
      <c r="F16" s="27">
        <f>((D16*dairies!C7)/100)</f>
        <v>8.4510000000000005</v>
      </c>
      <c r="G16" s="27">
        <f>((E16*dairies!E7)/100)</f>
        <v>70.66</v>
      </c>
    </row>
    <row r="17" spans="1:9" s="25" customFormat="1" x14ac:dyDescent="0.25">
      <c r="A17" s="26">
        <v>2510</v>
      </c>
      <c r="B17" s="26" t="s">
        <v>159</v>
      </c>
      <c r="C17" s="14">
        <f>220.2-0.5</f>
        <v>219.7</v>
      </c>
      <c r="D17" s="14">
        <f>16.6-0</f>
        <v>16.600000000000001</v>
      </c>
      <c r="E17" s="14">
        <f>346.5-0.7</f>
        <v>345.8</v>
      </c>
      <c r="F17" s="27">
        <f>((D17*equine!C7)/100)</f>
        <v>3.32</v>
      </c>
      <c r="G17" s="27">
        <f>((E17*equine!E7)/100)</f>
        <v>103.74</v>
      </c>
    </row>
    <row r="18" spans="1:9" s="18" customFormat="1" x14ac:dyDescent="0.25">
      <c r="A18" s="35">
        <v>2540</v>
      </c>
      <c r="B18" s="35" t="s">
        <v>137</v>
      </c>
      <c r="C18" s="14">
        <v>279</v>
      </c>
      <c r="D18" s="14">
        <v>85.2</v>
      </c>
      <c r="E18" s="14">
        <v>177.4</v>
      </c>
      <c r="F18" s="14" t="s">
        <v>141</v>
      </c>
      <c r="G18" s="14" t="s">
        <v>141</v>
      </c>
    </row>
    <row r="19" spans="1:9" s="25" customFormat="1" x14ac:dyDescent="0.25">
      <c r="A19" s="26">
        <v>2600</v>
      </c>
      <c r="B19" s="26" t="s">
        <v>167</v>
      </c>
      <c r="C19" s="27">
        <f>3908.5-68.5</f>
        <v>3840</v>
      </c>
      <c r="D19" s="27">
        <f>22.2-0.4</f>
        <v>21.8</v>
      </c>
      <c r="E19" s="27">
        <f>3613-63.4</f>
        <v>3549.6</v>
      </c>
      <c r="F19" s="27">
        <f>((D19*cowcalf!$C$25)/100)</f>
        <v>0.872</v>
      </c>
      <c r="G19" s="27">
        <f>((E19*cowcalf!$E$25)/100)</f>
        <v>141.98400000000001</v>
      </c>
    </row>
    <row r="20" spans="1:9" s="25" customFormat="1" x14ac:dyDescent="0.25">
      <c r="A20" s="26">
        <v>2610</v>
      </c>
      <c r="B20" s="26" t="s">
        <v>136</v>
      </c>
      <c r="C20" s="27">
        <v>213.7</v>
      </c>
      <c r="D20" s="27">
        <v>1.2</v>
      </c>
      <c r="E20" s="27">
        <v>197.7</v>
      </c>
      <c r="F20" s="27" t="s">
        <v>153</v>
      </c>
      <c r="G20" s="27"/>
    </row>
    <row r="21" spans="1:9" x14ac:dyDescent="0.25">
      <c r="A21" s="36" t="s">
        <v>172</v>
      </c>
      <c r="B21" s="36"/>
      <c r="C21" s="36"/>
      <c r="D21" s="36"/>
      <c r="E21" s="36"/>
      <c r="F21" s="16">
        <f>SUM(F3:F20)</f>
        <v>2518.5709999999999</v>
      </c>
      <c r="G21" s="16">
        <f>SUM(G3:G20)</f>
        <v>110108.469</v>
      </c>
      <c r="H21" s="19"/>
      <c r="I21" s="19"/>
    </row>
    <row r="22" spans="1:9" x14ac:dyDescent="0.25">
      <c r="A22" s="36" t="s">
        <v>173</v>
      </c>
      <c r="B22" s="36"/>
      <c r="C22" s="36"/>
      <c r="D22" s="36"/>
      <c r="E22" s="36"/>
      <c r="F22" s="15">
        <f>F21/SUM($D$3:$D$20)</f>
        <v>0.11876410534505925</v>
      </c>
      <c r="G22" s="15">
        <f>G21/SUM($E$3:$E$20)</f>
        <v>0.11675160001539606</v>
      </c>
      <c r="H22" s="19"/>
      <c r="I22" s="19"/>
    </row>
  </sheetData>
  <mergeCells count="2">
    <mergeCell ref="A21:E21"/>
    <mergeCell ref="A22:E22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152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151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152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2014-03-11T12:52:52Z</dcterms:modified>
</cp:coreProperties>
</file>