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Lake Istokpoga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4" i="13" l="1"/>
  <c r="E18" i="13"/>
  <c r="E16" i="13"/>
  <c r="E15" i="13"/>
  <c r="E13" i="13"/>
  <c r="E9" i="13"/>
  <c r="E6" i="13"/>
  <c r="E5" i="13"/>
  <c r="E3" i="13"/>
  <c r="D18" i="13"/>
  <c r="D16" i="13"/>
  <c r="D15" i="13"/>
  <c r="D13" i="13"/>
  <c r="D9" i="13"/>
  <c r="D6" i="13"/>
  <c r="D5" i="13"/>
  <c r="D4" i="13"/>
  <c r="D3" i="13"/>
  <c r="C18" i="13" l="1"/>
  <c r="C16" i="13"/>
  <c r="C15" i="13"/>
  <c r="C13" i="13"/>
  <c r="C9" i="13"/>
  <c r="C6" i="13"/>
  <c r="C5" i="13"/>
  <c r="C4" i="13"/>
  <c r="C3" i="13"/>
  <c r="G12" i="13" l="1"/>
  <c r="F12" i="13"/>
  <c r="G17" i="13" l="1"/>
  <c r="F17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3" i="13"/>
  <c r="G13" i="13"/>
  <c r="F14" i="13"/>
  <c r="G14" i="13"/>
  <c r="F15" i="13"/>
  <c r="G15" i="13"/>
  <c r="F16" i="13"/>
  <c r="G16" i="13"/>
  <c r="F18" i="13"/>
  <c r="G18" i="13"/>
  <c r="G20" i="13" l="1"/>
  <c r="G21" i="13" s="1"/>
  <c r="F20" i="13"/>
  <c r="F21" i="13" s="1"/>
</calcChain>
</file>

<file path=xl/sharedStrings.xml><?xml version="1.0" encoding="utf-8"?>
<sst xmlns="http://schemas.openxmlformats.org/spreadsheetml/2006/main" count="464" uniqueCount="170">
  <si>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</si>
  <si>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</si>
  <si>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</si>
  <si>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</si>
  <si>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</si>
  <si>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</si>
  <si>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</si>
  <si>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</si>
  <si>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</si>
  <si>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</si>
  <si>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</si>
  <si>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</si>
  <si>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</si>
  <si>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</si>
  <si>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</si>
  <si>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</si>
  <si>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</si>
  <si>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</si>
  <si>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</si>
  <si>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</si>
  <si>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</si>
  <si>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</si>
  <si>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</si>
  <si>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</si>
  <si>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</si>
  <si>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</si>
  <si>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</si>
  <si>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</si>
  <si>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</si>
  <si>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</si>
  <si>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</si>
  <si>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</si>
  <si>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</si>
  <si>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</si>
  <si>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</si>
  <si>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</si>
  <si>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</si>
  <si>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</si>
  <si>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</si>
  <si>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</si>
  <si>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</si>
  <si>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</si>
  <si>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</si>
  <si>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</si>
  <si>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</si>
  <si>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</si>
  <si>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</si>
  <si>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</si>
  <si>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</si>
  <si>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</si>
  <si>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</si>
  <si>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</si>
  <si>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</si>
  <si>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</si>
  <si>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</si>
  <si>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</si>
  <si>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</si>
  <si>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</si>
  <si>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</si>
  <si>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</si>
  <si>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</si>
  <si>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</si>
  <si>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</si>
  <si>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</si>
  <si>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</si>
  <si>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</si>
  <si>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</si>
  <si>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</si>
  <si>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</si>
  <si>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</si>
  <si>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</si>
  <si>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</si>
  <si>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</si>
  <si>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</si>
  <si>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</si>
  <si>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</si>
  <si>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</si>
  <si>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</si>
  <si>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</si>
  <si>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</si>
  <si>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</si>
  <si>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</si>
  <si>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</si>
  <si>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</si>
  <si>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</si>
  <si>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</si>
  <si>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</si>
  <si>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</si>
  <si>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</si>
  <si>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</si>
  <si>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</si>
  <si>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</si>
  <si>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</si>
  <si>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</si>
  <si>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</si>
  <si>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</si>
  <si>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</si>
  <si>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</si>
  <si>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</si>
  <si>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</si>
  <si>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</si>
  <si>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</si>
  <si>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</si>
  <si>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</si>
  <si>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</si>
  <si>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</si>
  <si>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</si>
  <si>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</si>
  <si>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</si>
  <si>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</si>
  <si>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</si>
  <si>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</si>
  <si>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</si>
  <si>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</si>
  <si>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</si>
  <si>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</si>
  <si>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</si>
  <si>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</si>
  <si>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</si>
  <si>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</si>
  <si>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</si>
  <si>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</si>
  <si>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</si>
  <si>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</si>
  <si>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</si>
  <si>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</si>
  <si>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</si>
  <si>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</si>
  <si>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</si>
  <si>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</si>
  <si>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</si>
  <si>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</si>
  <si>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</si>
  <si>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</si>
  <si>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</si>
  <si>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</si>
  <si>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</si>
  <si>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LULC</t>
  </si>
  <si>
    <t>Row Crops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</si>
  <si>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</si>
  <si>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</si>
  <si>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</si>
  <si>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</si>
  <si>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</si>
  <si>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</si>
  <si>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Mixed Rangeland</t>
  </si>
  <si>
    <t>Sugar Cane</t>
  </si>
  <si>
    <t>sugar cane</t>
  </si>
  <si>
    <t xml:space="preserve"> rangeland and woodland pastures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</si>
  <si>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</si>
  <si>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</si>
  <si>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</si>
  <si>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</si>
  <si>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</si>
  <si>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</si>
  <si>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</si>
  <si>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</si>
  <si>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</si>
  <si>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2100, 2110</t>
  </si>
  <si>
    <t>2400, 2410</t>
  </si>
  <si>
    <t>2500, 2520</t>
  </si>
  <si>
    <t>Horse Farms</t>
  </si>
  <si>
    <t>Cattle Feeding Op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</si>
  <si>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</si>
  <si>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</si>
  <si>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</si>
  <si>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</si>
  <si>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</si>
  <si>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</si>
  <si>
    <t>Calculated Agricultural Reduction Estimates in the Lake O Lake Istokpoga Sub-Watershed, Based on SWET 2008 Report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</si>
</sst>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4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64" fontId="0" fillId="0" borderId="19" xfId="0" applyNumberFormat="1" applyBorder="1"/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  <xf numFmtId="4" fontId="0" fillId="0" borderId="0" xfId="0" applyNumberForma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5"/>
  <sheetViews>
    <sheetView tabSelected="1" workbookViewId="0">
      <selection activeCell="E22" sqref="E22:E25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169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137</v>
      </c>
      <c r="B2" s="33" t="s">
        <v>4</v>
      </c>
      <c r="C2" s="31" t="s">
        <v>156</v>
      </c>
      <c r="D2" s="32" t="s">
        <v>163</v>
      </c>
      <c r="E2" s="33" t="s">
        <v>164</v>
      </c>
      <c r="F2" s="34" t="s">
        <v>165</v>
      </c>
      <c r="G2" s="34" t="s">
        <v>166</v>
      </c>
    </row>
    <row r="3" spans="1:9" x14ac:dyDescent="0.25">
      <c r="A3" s="22" t="s">
        <v>158</v>
      </c>
      <c r="B3" s="22" t="s">
        <v>131</v>
      </c>
      <c r="C3" s="27">
        <f>8397.6+39743.2-1453.1-13242.7</f>
        <v>33445</v>
      </c>
      <c r="D3" s="27">
        <f>457.9+7230.7-79.2-2409.3</f>
        <v>5200.0999999999995</v>
      </c>
      <c r="E3" s="27">
        <f>1870.9+79240.5-323.7-26403.5</f>
        <v>54384.2</v>
      </c>
      <c r="F3" s="21">
        <f>(($D$3*cowcalf!$C$7)/100)</f>
        <v>572.01099999999997</v>
      </c>
      <c r="G3" s="21">
        <f>((E3*cowcalf!$E$7)/100)</f>
        <v>9245.3139999999985</v>
      </c>
      <c r="H3" s="19" t="s">
        <v>141</v>
      </c>
      <c r="I3" s="19"/>
    </row>
    <row r="4" spans="1:9" x14ac:dyDescent="0.25">
      <c r="A4" s="22">
        <v>2120</v>
      </c>
      <c r="B4" s="22" t="s">
        <v>129</v>
      </c>
      <c r="C4" s="27">
        <f>13546.1-11021.5</f>
        <v>2524.6000000000004</v>
      </c>
      <c r="D4" s="27">
        <f>872.9-710.2</f>
        <v>162.69999999999993</v>
      </c>
      <c r="E4" s="27">
        <f>23409.3-19046.6</f>
        <v>4362.7000000000007</v>
      </c>
      <c r="F4" s="21">
        <f>((D4*cowcalf!$C$16)/100)</f>
        <v>11.388999999999996</v>
      </c>
      <c r="G4" s="21">
        <f>((E4*cowcalf!$E$16)/100)</f>
        <v>479.89700000000011</v>
      </c>
      <c r="H4" s="19" t="s">
        <v>142</v>
      </c>
      <c r="I4" s="19"/>
    </row>
    <row r="5" spans="1:9" x14ac:dyDescent="0.25">
      <c r="A5" s="22">
        <v>2130</v>
      </c>
      <c r="B5" s="22" t="s">
        <v>130</v>
      </c>
      <c r="C5" s="27">
        <f>3669.3-637.6</f>
        <v>3031.7000000000003</v>
      </c>
      <c r="D5" s="27">
        <f>298.7-51.9</f>
        <v>246.79999999999998</v>
      </c>
      <c r="E5" s="27">
        <f>6385.4-1109.7</f>
        <v>5275.7</v>
      </c>
      <c r="F5" s="21">
        <f>((D5*cowcalf!$C$25)/100)</f>
        <v>9.8719999999999999</v>
      </c>
      <c r="G5" s="21">
        <f>((E5*cowcalf!$E$25)/100)</f>
        <v>211.02799999999999</v>
      </c>
      <c r="H5" s="19" t="s">
        <v>143</v>
      </c>
      <c r="I5" s="19"/>
    </row>
    <row r="6" spans="1:9" x14ac:dyDescent="0.25">
      <c r="A6" s="22">
        <v>2140</v>
      </c>
      <c r="B6" s="22" t="s">
        <v>138</v>
      </c>
      <c r="C6" s="27">
        <f>554.8-2</f>
        <v>552.79999999999995</v>
      </c>
      <c r="D6" s="27">
        <f>271.3-1</f>
        <v>270.3</v>
      </c>
      <c r="E6" s="27">
        <f>8653.1-30.8</f>
        <v>8622.3000000000011</v>
      </c>
      <c r="F6" s="21">
        <f>((D6*rowcrop!$C$7)/100)</f>
        <v>81.09</v>
      </c>
      <c r="G6" s="17">
        <f>((E6*rowcrop!$E$7)/100)</f>
        <v>2586.6900000000005</v>
      </c>
      <c r="H6" s="19" t="s">
        <v>144</v>
      </c>
      <c r="I6" s="19"/>
    </row>
    <row r="7" spans="1:9" x14ac:dyDescent="0.25">
      <c r="A7" s="22">
        <v>2150</v>
      </c>
      <c r="B7" s="22" t="s">
        <v>132</v>
      </c>
      <c r="C7" s="27">
        <v>410.7</v>
      </c>
      <c r="D7" s="27">
        <v>220.8</v>
      </c>
      <c r="E7" s="27">
        <v>887.2</v>
      </c>
      <c r="F7" s="21">
        <f>((D7*hay!$C$7)/100)</f>
        <v>33.119999999999997</v>
      </c>
      <c r="G7" s="21">
        <f>((E7*hay!$E$7)/100)</f>
        <v>133.08000000000001</v>
      </c>
      <c r="I7" s="19"/>
    </row>
    <row r="8" spans="1:9" x14ac:dyDescent="0.25">
      <c r="A8" s="22">
        <v>2156</v>
      </c>
      <c r="B8" s="22" t="s">
        <v>146</v>
      </c>
      <c r="C8" s="27">
        <v>2381.8000000000002</v>
      </c>
      <c r="D8" s="27">
        <v>127.3</v>
      </c>
      <c r="E8" s="27">
        <v>1442.6</v>
      </c>
      <c r="F8" s="21">
        <f>((D8*sugarcane!$C$7)/100)</f>
        <v>12.73</v>
      </c>
      <c r="G8" s="21">
        <f>((E8*sugarcane!$E$7)/100)</f>
        <v>144.26</v>
      </c>
      <c r="H8" s="19" t="s">
        <v>147</v>
      </c>
      <c r="I8" s="19"/>
    </row>
    <row r="9" spans="1:9" x14ac:dyDescent="0.25">
      <c r="A9" s="22">
        <v>2210</v>
      </c>
      <c r="B9" s="22" t="s">
        <v>133</v>
      </c>
      <c r="C9" s="27">
        <f>51536.8-6909.8</f>
        <v>44627</v>
      </c>
      <c r="D9" s="27">
        <f>2099.6-281.5</f>
        <v>1818.1</v>
      </c>
      <c r="E9" s="27">
        <f>991278.3-132905.6</f>
        <v>858372.70000000007</v>
      </c>
      <c r="F9" s="21">
        <f>((D9*citrus!$C$7)/100)</f>
        <v>218.17199999999997</v>
      </c>
      <c r="G9" s="21">
        <f>((E9*citrus!$E$7)/100)</f>
        <v>85837.27</v>
      </c>
      <c r="H9" s="19" t="s">
        <v>140</v>
      </c>
      <c r="I9" s="19"/>
    </row>
    <row r="10" spans="1:9" x14ac:dyDescent="0.25">
      <c r="A10" s="22">
        <v>2230</v>
      </c>
      <c r="B10" s="22" t="s">
        <v>149</v>
      </c>
      <c r="C10" s="27">
        <v>111.9</v>
      </c>
      <c r="D10" s="27">
        <v>82.5</v>
      </c>
      <c r="E10" s="27">
        <v>590.70000000000005</v>
      </c>
      <c r="F10" s="21">
        <f>((D10*citrus!$C$7)/100)</f>
        <v>9.9</v>
      </c>
      <c r="G10" s="21">
        <f>((E10*citrus!$E$7)/100)</f>
        <v>59.07</v>
      </c>
      <c r="H10" s="19" t="s">
        <v>140</v>
      </c>
      <c r="I10" s="19"/>
    </row>
    <row r="11" spans="1:9" x14ac:dyDescent="0.25">
      <c r="A11" s="22">
        <v>2240</v>
      </c>
      <c r="B11" s="22" t="s">
        <v>149</v>
      </c>
      <c r="C11" s="27">
        <v>324.39999999999998</v>
      </c>
      <c r="D11" s="27">
        <v>239</v>
      </c>
      <c r="E11" s="27">
        <v>1711.5</v>
      </c>
      <c r="F11" s="21">
        <f>((D11*citrus!$C$7)/100)</f>
        <v>28.68</v>
      </c>
      <c r="G11" s="21">
        <f>((E11*citrus!$E$7)/100)</f>
        <v>171.15</v>
      </c>
      <c r="H11" s="19" t="s">
        <v>155</v>
      </c>
      <c r="I11" s="19"/>
    </row>
    <row r="12" spans="1:9" s="25" customFormat="1" x14ac:dyDescent="0.25">
      <c r="A12" s="26">
        <v>2310</v>
      </c>
      <c r="B12" s="26" t="s">
        <v>162</v>
      </c>
      <c r="C12" s="27">
        <v>5.7</v>
      </c>
      <c r="D12" s="27">
        <v>1.9</v>
      </c>
      <c r="E12" s="27">
        <v>20.7</v>
      </c>
      <c r="F12" s="27">
        <f>((D12*dairies!C7)/100)</f>
        <v>0.17099999999999999</v>
      </c>
      <c r="G12" s="27">
        <f>((E12*dairies!E7)/100)</f>
        <v>4.1399999999999997</v>
      </c>
    </row>
    <row r="13" spans="1:9" x14ac:dyDescent="0.25">
      <c r="A13" s="22" t="s">
        <v>159</v>
      </c>
      <c r="B13" s="22" t="s">
        <v>134</v>
      </c>
      <c r="C13" s="27">
        <f>1073.7+1169.9-44.5-47.8</f>
        <v>2151.3000000000002</v>
      </c>
      <c r="D13" s="27">
        <f>1674.2+293.7-567.3-69.4</f>
        <v>1331.2</v>
      </c>
      <c r="E13" s="27">
        <f>10076.1+1767.7-3414.2-417.6</f>
        <v>8012.0000000000018</v>
      </c>
      <c r="F13" s="21">
        <f>((D13*ornamentals!$C$7)/100)</f>
        <v>425.98400000000004</v>
      </c>
      <c r="G13" s="21">
        <f>((E13*ornamentals!$E$7)/100)</f>
        <v>2003.0000000000007</v>
      </c>
      <c r="H13" s="19" t="s">
        <v>139</v>
      </c>
      <c r="I13" s="19"/>
    </row>
    <row r="14" spans="1:9" s="25" customFormat="1" x14ac:dyDescent="0.25">
      <c r="A14" s="26">
        <v>2420</v>
      </c>
      <c r="B14" s="23" t="s">
        <v>150</v>
      </c>
      <c r="C14" s="14">
        <v>180.1</v>
      </c>
      <c r="D14" s="14">
        <v>71.2</v>
      </c>
      <c r="E14" s="14">
        <v>1752.4</v>
      </c>
      <c r="F14" s="27">
        <f>((D14*sod!C7)/100)</f>
        <v>14.24</v>
      </c>
      <c r="G14" s="27">
        <f>((E14*sod!E7)/100)</f>
        <v>350.48</v>
      </c>
      <c r="H14" s="25" t="s">
        <v>157</v>
      </c>
    </row>
    <row r="15" spans="1:9" x14ac:dyDescent="0.25">
      <c r="A15" s="22">
        <v>2430</v>
      </c>
      <c r="B15" s="22" t="s">
        <v>135</v>
      </c>
      <c r="C15" s="27">
        <f>245.9-47.8</f>
        <v>198.10000000000002</v>
      </c>
      <c r="D15" s="27">
        <f>8.5-1.7</f>
        <v>6.8</v>
      </c>
      <c r="E15" s="27">
        <f>1148.6-223.3</f>
        <v>925.3</v>
      </c>
      <c r="F15" s="21">
        <f>((D15*ornamentals!$C$7)/100)</f>
        <v>2.1760000000000002</v>
      </c>
      <c r="G15" s="21">
        <f>((E15*ornamentals!$E$7)/100)</f>
        <v>231.32499999999999</v>
      </c>
      <c r="H15" s="19" t="s">
        <v>139</v>
      </c>
      <c r="I15" s="19"/>
    </row>
    <row r="16" spans="1:9" s="25" customFormat="1" x14ac:dyDescent="0.25">
      <c r="A16" s="26" t="s">
        <v>160</v>
      </c>
      <c r="B16" s="23" t="s">
        <v>151</v>
      </c>
      <c r="C16" s="14">
        <f>121.1+3036.7-8-3020</f>
        <v>129.79999999999973</v>
      </c>
      <c r="D16" s="14">
        <f>52.8+1324.1-3.5-1316.8</f>
        <v>56.599999999999909</v>
      </c>
      <c r="E16" s="14">
        <f>434.8+10900.3-28.6-10840.1</f>
        <v>466.39999999999782</v>
      </c>
      <c r="F16" s="27">
        <f>((D16*dairies!C7)/100)</f>
        <v>5.0939999999999914</v>
      </c>
      <c r="G16" s="27">
        <f>((E16*dairies!E7)/100)</f>
        <v>93.279999999999561</v>
      </c>
    </row>
    <row r="17" spans="1:9" s="25" customFormat="1" x14ac:dyDescent="0.25">
      <c r="A17" s="26">
        <v>2510</v>
      </c>
      <c r="B17" s="26" t="s">
        <v>161</v>
      </c>
      <c r="C17" s="14">
        <v>17.100000000000001</v>
      </c>
      <c r="D17" s="14">
        <v>2.2999999999999998</v>
      </c>
      <c r="E17" s="14">
        <v>36</v>
      </c>
      <c r="F17" s="27">
        <f>((D17*equine!C7)/100)</f>
        <v>0.46</v>
      </c>
      <c r="G17" s="27">
        <f>((E17*equine!E7)/100)</f>
        <v>10.8</v>
      </c>
    </row>
    <row r="18" spans="1:9" x14ac:dyDescent="0.25">
      <c r="A18" s="22">
        <v>2600</v>
      </c>
      <c r="B18" s="22" t="s">
        <v>145</v>
      </c>
      <c r="C18" s="35">
        <f>4968.3-367.5</f>
        <v>4600.8</v>
      </c>
      <c r="D18" s="35">
        <f>54.7-4</f>
        <v>50.7</v>
      </c>
      <c r="E18" s="27">
        <f>6030.2-446.1</f>
        <v>5584.0999999999995</v>
      </c>
      <c r="F18" s="21">
        <f>((D18*cowcalf!$C$25)/100)</f>
        <v>2.028</v>
      </c>
      <c r="G18" s="21">
        <f>((E18*cowcalf!$E$25)/100)</f>
        <v>223.36399999999998</v>
      </c>
      <c r="H18" s="19" t="s">
        <v>148</v>
      </c>
      <c r="I18" s="19"/>
    </row>
    <row r="19" spans="1:9" s="25" customFormat="1" x14ac:dyDescent="0.25">
      <c r="A19" s="26">
        <v>2610</v>
      </c>
      <c r="B19" s="26" t="s">
        <v>136</v>
      </c>
      <c r="C19" s="35">
        <v>64</v>
      </c>
      <c r="D19" s="35">
        <v>0.7</v>
      </c>
      <c r="E19" s="27">
        <v>77.599999999999994</v>
      </c>
      <c r="F19" s="27" t="s">
        <v>154</v>
      </c>
      <c r="G19" s="27" t="s">
        <v>154</v>
      </c>
    </row>
    <row r="20" spans="1:9" x14ac:dyDescent="0.25">
      <c r="A20" s="36" t="s">
        <v>167</v>
      </c>
      <c r="B20" s="36"/>
      <c r="C20" s="36"/>
      <c r="D20" s="36"/>
      <c r="E20" s="36"/>
      <c r="F20" s="16">
        <f>SUM(F3:F19)</f>
        <v>1427.1170000000002</v>
      </c>
      <c r="G20" s="16">
        <f>SUM(G3:G19)</f>
        <v>101784.148</v>
      </c>
      <c r="H20" s="19"/>
      <c r="I20" s="19"/>
    </row>
    <row r="21" spans="1:9" x14ac:dyDescent="0.25">
      <c r="A21" s="36" t="s">
        <v>168</v>
      </c>
      <c r="B21" s="36"/>
      <c r="C21" s="36"/>
      <c r="D21" s="36"/>
      <c r="E21" s="36"/>
      <c r="F21" s="15">
        <f>F20/SUM($D$3:$D$19)</f>
        <v>0.14431358074628375</v>
      </c>
      <c r="G21" s="15">
        <f>G20/SUM($E$3:$E$19)</f>
        <v>0.10685729421439311</v>
      </c>
      <c r="H21" s="19"/>
      <c r="I21" s="19"/>
    </row>
    <row r="22" spans="1:9" x14ac:dyDescent="0.25">
      <c r="D22" s="43"/>
      <c r="E22" s="20"/>
    </row>
    <row r="23" spans="1:9" x14ac:dyDescent="0.25">
      <c r="D23" s="43"/>
      <c r="E23" s="20"/>
    </row>
    <row r="25" spans="1:9" x14ac:dyDescent="0.25">
      <c r="D25" s="43"/>
      <c r="E25" s="20"/>
    </row>
  </sheetData>
  <mergeCells count="2">
    <mergeCell ref="A20:E20"/>
    <mergeCell ref="A21:E21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153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152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153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Lake Istokpoga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2014-04-02T18:02:27Z</dcterms:modified>
</cp:coreProperties>
</file>