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Notes" sheetId="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" i="1" l="1"/>
  <c r="G2" i="1"/>
  <c r="J4" i="1" l="1"/>
  <c r="G3" i="1"/>
  <c r="J3" i="1"/>
  <c r="J7" i="1" l="1"/>
  <c r="J6" i="1"/>
  <c r="G7" i="1"/>
  <c r="G6" i="1"/>
  <c r="N19" i="8"/>
  <c r="N18" i="8"/>
  <c r="J19" i="8"/>
  <c r="J18" i="8"/>
  <c r="L18" i="8"/>
  <c r="L19" i="8"/>
  <c r="H19" i="8"/>
  <c r="H18" i="8"/>
  <c r="M19" i="8"/>
  <c r="M18" i="8"/>
  <c r="K19" i="8"/>
  <c r="K18" i="8"/>
  <c r="I19" i="8"/>
  <c r="I18" i="8"/>
  <c r="G19" i="8"/>
  <c r="G18" i="8"/>
  <c r="H14" i="8"/>
  <c r="F17" i="8"/>
  <c r="F16" i="8"/>
  <c r="F15" i="8"/>
  <c r="F14" i="8"/>
  <c r="J9" i="1" l="1"/>
  <c r="G9" i="1"/>
  <c r="F10" i="8"/>
  <c r="D10" i="8"/>
  <c r="F8" i="8"/>
  <c r="D8" i="8"/>
  <c r="F6" i="8"/>
  <c r="D6" i="8"/>
  <c r="F4" i="8"/>
  <c r="D4" i="8"/>
  <c r="J5" i="1" l="1"/>
  <c r="G5" i="1"/>
  <c r="G4" i="1" l="1"/>
  <c r="L14" i="8" l="1"/>
  <c r="N14" i="8" s="1"/>
  <c r="J14" i="8"/>
  <c r="H15" i="8"/>
  <c r="J15" i="8" s="1"/>
  <c r="L15" i="8"/>
  <c r="N15" i="8" s="1"/>
  <c r="L16" i="8"/>
  <c r="N16" i="8" s="1"/>
  <c r="H16" i="8"/>
  <c r="J16" i="8" s="1"/>
  <c r="H17" i="8"/>
  <c r="J17" i="8" s="1"/>
  <c r="L17" i="8"/>
  <c r="N17" i="8"/>
</calcChain>
</file>

<file path=xl/sharedStrings.xml><?xml version="1.0" encoding="utf-8"?>
<sst xmlns="http://schemas.openxmlformats.org/spreadsheetml/2006/main" count="125" uniqueCount="42">
  <si>
    <t>Project Number</t>
  </si>
  <si>
    <t>Project Name</t>
  </si>
  <si>
    <t>Project Type</t>
  </si>
  <si>
    <t>TP Efficiency (%)</t>
  </si>
  <si>
    <t>Total Reduction</t>
  </si>
  <si>
    <t>TN Efficiency (%)</t>
  </si>
  <si>
    <t>Sub-Watershed</t>
  </si>
  <si>
    <t>TP Base Load (kg/yr)</t>
  </si>
  <si>
    <t>TP Reduction (kg/yr)</t>
  </si>
  <si>
    <t>TN Base Load (kg/yr)</t>
  </si>
  <si>
    <t>TN Reduction (kg/yr)</t>
  </si>
  <si>
    <t>Lemkin Creek</t>
  </si>
  <si>
    <t>Wolff Ditch</t>
  </si>
  <si>
    <t>HWTT</t>
  </si>
  <si>
    <t>N/A</t>
  </si>
  <si>
    <t>Taylor Creek/ Nubbin Slough</t>
  </si>
  <si>
    <t>Table 5-3. HWTT Average Inflow and Outflow TP and TN Concentrations (from LOPP Update 2011)</t>
  </si>
  <si>
    <t>HWTT Site</t>
  </si>
  <si>
    <t>Sampling Station</t>
  </si>
  <si>
    <r>
      <t>TP (</t>
    </r>
    <r>
      <rPr>
        <b/>
        <sz val="11"/>
        <color theme="1"/>
        <rFont val="Calibri"/>
        <family val="2"/>
      </rPr>
      <t>µ/L)</t>
    </r>
  </si>
  <si>
    <t>TP % Reduction</t>
  </si>
  <si>
    <t>TN (m/L)</t>
  </si>
  <si>
    <t>Inflow</t>
  </si>
  <si>
    <t>Outflow</t>
  </si>
  <si>
    <t>Period of record (POR) for Nubbin and Mosquito: March 2008-December 2010. POR for Lemkin Creek and Wolff Ditch: September 2009-December 2010.</t>
  </si>
  <si>
    <t>Nubbin Slough</t>
  </si>
  <si>
    <t>Mosquito Creek</t>
  </si>
  <si>
    <t>Grassy Island</t>
  </si>
  <si>
    <t>Fisheating Creek</t>
  </si>
  <si>
    <t>FAVT</t>
  </si>
  <si>
    <t>FDACS-1</t>
  </si>
  <si>
    <t>FDACS-2</t>
  </si>
  <si>
    <t>FDACS-3</t>
  </si>
  <si>
    <t>FDACS-4</t>
  </si>
  <si>
    <t>FDACS-5</t>
  </si>
  <si>
    <t>FDACS-6</t>
  </si>
  <si>
    <t>full capacity cfs</t>
  </si>
  <si>
    <t>Estimated cfs capacity</t>
  </si>
  <si>
    <t>Inflow TP, ppb</t>
  </si>
  <si>
    <t>Inflow TN, ppm</t>
  </si>
  <si>
    <t>N.A</t>
  </si>
  <si>
    <t>flows are average treated flows for 7/1/2012 through 6/30/2013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</si>
</sst>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66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0" xfId="0" applyNumberFormat="1" applyFont="1"/>
    <xf numFmtId="0" fontId="8" fillId="0" borderId="0" xfId="0" applyFont="1"/>
    <xf numFmtId="0" fontId="9" fillId="0" borderId="0" xfId="0" applyFont="1"/>
    <xf numFmtId="0" fontId="10" fillId="4" borderId="2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0" fontId="11" fillId="0" borderId="4" xfId="0" applyFont="1" applyBorder="1" applyAlignment="1">
      <alignment vertical="center"/>
    </xf>
    <xf numFmtId="165" fontId="11" fillId="0" borderId="5" xfId="0" applyNumberFormat="1" applyFont="1" applyBorder="1"/>
    <xf numFmtId="0" fontId="11" fillId="0" borderId="6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0" fillId="4" borderId="11" xfId="0" applyFont="1" applyFill="1" applyBorder="1" applyAlignment="1">
      <alignment horizontal="center" wrapText="1"/>
    </xf>
    <xf numFmtId="0" fontId="10" fillId="4" borderId="12" xfId="0" applyFont="1" applyFill="1" applyBorder="1" applyAlignment="1">
      <alignment horizontal="center" wrapText="1"/>
    </xf>
    <xf numFmtId="166" fontId="9" fillId="0" borderId="7" xfId="0" applyNumberFormat="1" applyFont="1" applyBorder="1"/>
    <xf numFmtId="3" fontId="11" fillId="0" borderId="1" xfId="0" quotePrefix="1" applyNumberFormat="1" applyFont="1" applyBorder="1" applyAlignment="1">
      <alignment horizontal="right"/>
    </xf>
    <xf numFmtId="166" fontId="11" fillId="0" borderId="13" xfId="0" quotePrefix="1" applyNumberFormat="1" applyFont="1" applyBorder="1" applyAlignment="1">
      <alignment horizontal="right"/>
    </xf>
    <xf numFmtId="4" fontId="11" fillId="0" borderId="13" xfId="0" applyNumberFormat="1" applyFont="1" applyBorder="1" applyAlignment="1">
      <alignment horizontal="right"/>
    </xf>
    <xf numFmtId="3" fontId="11" fillId="0" borderId="14" xfId="0" quotePrefix="1" applyNumberFormat="1" applyFont="1" applyBorder="1" applyAlignment="1">
      <alignment horizontal="right"/>
    </xf>
    <xf numFmtId="166" fontId="11" fillId="0" borderId="15" xfId="0" quotePrefix="1" applyNumberFormat="1" applyFont="1" applyBorder="1" applyAlignment="1">
      <alignment horizontal="right"/>
    </xf>
    <xf numFmtId="4" fontId="11" fillId="0" borderId="15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165" fontId="11" fillId="0" borderId="9" xfId="0" applyNumberFormat="1" applyFont="1" applyBorder="1"/>
    <xf numFmtId="3" fontId="11" fillId="0" borderId="9" xfId="0" applyNumberFormat="1" applyFont="1" applyBorder="1"/>
    <xf numFmtId="166" fontId="11" fillId="0" borderId="16" xfId="0" applyNumberFormat="1" applyFont="1" applyBorder="1"/>
    <xf numFmtId="4" fontId="11" fillId="0" borderId="16" xfId="0" applyNumberFormat="1" applyFont="1" applyBorder="1"/>
    <xf numFmtId="166" fontId="9" fillId="0" borderId="10" xfId="0" applyNumberFormat="1" applyFont="1" applyBorder="1"/>
    <xf numFmtId="0" fontId="5" fillId="0" borderId="0" xfId="0" applyFont="1" applyAlignment="1">
      <alignment vertical="center"/>
    </xf>
    <xf numFmtId="0" fontId="7" fillId="0" borderId="1" xfId="2" applyFont="1" applyBorder="1" applyAlignment="1">
      <alignment horizontal="center" wrapText="1"/>
    </xf>
    <xf numFmtId="0" fontId="7" fillId="0" borderId="1" xfId="2" applyFont="1" applyFill="1" applyBorder="1" applyAlignment="1">
      <alignment horizontal="center" wrapText="1"/>
    </xf>
    <xf numFmtId="165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center" wrapText="1"/>
    </xf>
    <xf numFmtId="0" fontId="5" fillId="0" borderId="0" xfId="0" applyFont="1" applyFill="1"/>
    <xf numFmtId="3" fontId="11" fillId="0" borderId="5" xfId="0" applyNumberFormat="1" applyFont="1" applyBorder="1"/>
    <xf numFmtId="3" fontId="11" fillId="0" borderId="17" xfId="0" applyNumberFormat="1" applyFont="1" applyBorder="1"/>
    <xf numFmtId="4" fontId="11" fillId="0" borderId="17" xfId="0" applyNumberFormat="1" applyFont="1" applyBorder="1"/>
    <xf numFmtId="0" fontId="9" fillId="0" borderId="7" xfId="0" applyFont="1" applyBorder="1"/>
    <xf numFmtId="166" fontId="11" fillId="0" borderId="17" xfId="0" applyNumberFormat="1" applyFont="1" applyBorder="1"/>
    <xf numFmtId="3" fontId="11" fillId="0" borderId="1" xfId="0" applyNumberFormat="1" applyFont="1" applyBorder="1"/>
    <xf numFmtId="3" fontId="11" fillId="0" borderId="13" xfId="0" applyNumberFormat="1" applyFont="1" applyBorder="1"/>
    <xf numFmtId="4" fontId="11" fillId="0" borderId="13" xfId="0" applyNumberFormat="1" applyFont="1" applyBorder="1"/>
    <xf numFmtId="166" fontId="11" fillId="0" borderId="13" xfId="0" applyNumberFormat="1" applyFont="1" applyBorder="1"/>
    <xf numFmtId="0" fontId="6" fillId="5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wrapText="1"/>
    </xf>
    <xf numFmtId="0" fontId="7" fillId="5" borderId="1" xfId="2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wrapText="1"/>
    </xf>
    <xf numFmtId="164" fontId="6" fillId="5" borderId="1" xfId="0" applyNumberFormat="1" applyFont="1" applyFill="1" applyBorder="1" applyAlignment="1">
      <alignment wrapText="1"/>
    </xf>
    <xf numFmtId="165" fontId="5" fillId="5" borderId="1" xfId="0" applyNumberFormat="1" applyFont="1" applyFill="1" applyBorder="1"/>
    <xf numFmtId="166" fontId="6" fillId="5" borderId="1" xfId="0" applyNumberFormat="1" applyFont="1" applyFill="1" applyBorder="1" applyAlignment="1">
      <alignment wrapText="1"/>
    </xf>
    <xf numFmtId="2" fontId="6" fillId="5" borderId="1" xfId="0" applyNumberFormat="1" applyFont="1" applyFill="1" applyBorder="1" applyAlignment="1">
      <alignment wrapText="1"/>
    </xf>
    <xf numFmtId="0" fontId="5" fillId="6" borderId="0" xfId="0" applyFont="1" applyFill="1" applyAlignment="1">
      <alignment wrapText="1"/>
    </xf>
    <xf numFmtId="0" fontId="5" fillId="6" borderId="0" xfId="0" applyFont="1" applyFill="1"/>
    <xf numFmtId="0" fontId="6" fillId="6" borderId="1" xfId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wrapText="1"/>
    </xf>
    <xf numFmtId="0" fontId="7" fillId="6" borderId="1" xfId="2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wrapText="1"/>
    </xf>
    <xf numFmtId="164" fontId="6" fillId="6" borderId="1" xfId="0" applyNumberFormat="1" applyFont="1" applyFill="1" applyBorder="1" applyAlignment="1">
      <alignment wrapText="1"/>
    </xf>
    <xf numFmtId="165" fontId="5" fillId="6" borderId="1" xfId="0" applyNumberFormat="1" applyFont="1" applyFill="1" applyBorder="1"/>
    <xf numFmtId="166" fontId="6" fillId="6" borderId="1" xfId="0" applyNumberFormat="1" applyFont="1" applyFill="1" applyBorder="1" applyAlignment="1">
      <alignment wrapText="1"/>
    </xf>
    <xf numFmtId="2" fontId="6" fillId="6" borderId="1" xfId="0" applyNumberFormat="1" applyFont="1" applyFill="1" applyBorder="1" applyAlignment="1">
      <alignment wrapText="1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/>
    <xf numFmtId="4" fontId="5" fillId="0" borderId="1" xfId="0" applyNumberFormat="1" applyFont="1" applyBorder="1"/>
    <xf numFmtId="165" fontId="5" fillId="0" borderId="1" xfId="0" applyNumberFormat="1" applyFont="1" applyFill="1" applyBorder="1"/>
    <xf numFmtId="0" fontId="7" fillId="0" borderId="1" xfId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C20" sqref="C20"/>
    </sheetView>
  </sheetViews>
  <sheetFormatPr defaultRowHeight="12.75" x14ac:dyDescent="0.2"/>
  <cols>
    <col min="1" max="1" width="11.140625" style="5" customWidth="1"/>
    <col min="2" max="2" width="21.7109375" style="5" customWidth="1"/>
    <col min="3" max="3" width="12" style="10" customWidth="1"/>
    <col min="4" max="4" width="13.85546875" style="5" customWidth="1"/>
    <col min="5" max="5" width="12" style="14" customWidth="1"/>
    <col min="6" max="6" width="13.140625" style="5" customWidth="1"/>
    <col min="7" max="10" width="11.85546875" style="5" customWidth="1"/>
    <col min="11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2</v>
      </c>
      <c r="D1" s="2" t="s">
        <v>6</v>
      </c>
      <c r="E1" s="3" t="s">
        <v>7</v>
      </c>
      <c r="F1" s="4" t="s">
        <v>3</v>
      </c>
      <c r="G1" s="3" t="s">
        <v>8</v>
      </c>
      <c r="H1" s="3" t="s">
        <v>9</v>
      </c>
      <c r="I1" s="4" t="s">
        <v>5</v>
      </c>
      <c r="J1" s="3" t="s">
        <v>10</v>
      </c>
    </row>
    <row r="2" spans="1:12" ht="25.5" x14ac:dyDescent="0.2">
      <c r="A2" s="77" t="s">
        <v>30</v>
      </c>
      <c r="B2" s="44" t="s">
        <v>11</v>
      </c>
      <c r="C2" s="41" t="s">
        <v>13</v>
      </c>
      <c r="D2" s="44" t="s">
        <v>15</v>
      </c>
      <c r="E2" s="78" t="s">
        <v>14</v>
      </c>
      <c r="F2" s="79" t="s">
        <v>14</v>
      </c>
      <c r="G2" s="78">
        <f>ROUND(180*(1-0.158),1)</f>
        <v>151.6</v>
      </c>
      <c r="H2" s="78" t="s">
        <v>14</v>
      </c>
      <c r="I2" s="79" t="s">
        <v>14</v>
      </c>
      <c r="J2" s="78">
        <f>ROUND(1179.2*(1-0.447),1)</f>
        <v>652.1</v>
      </c>
    </row>
    <row r="3" spans="1:12" ht="25.5" x14ac:dyDescent="0.2">
      <c r="A3" s="77" t="s">
        <v>31</v>
      </c>
      <c r="B3" s="44" t="s">
        <v>12</v>
      </c>
      <c r="C3" s="40" t="s">
        <v>13</v>
      </c>
      <c r="D3" s="44" t="s">
        <v>15</v>
      </c>
      <c r="E3" s="78" t="s">
        <v>14</v>
      </c>
      <c r="F3" s="79" t="s">
        <v>14</v>
      </c>
      <c r="G3" s="80">
        <f>ROUND(1004.1*(1-0.158),1)</f>
        <v>845.5</v>
      </c>
      <c r="H3" s="80" t="s">
        <v>14</v>
      </c>
      <c r="I3" s="81" t="s">
        <v>14</v>
      </c>
      <c r="J3" s="80">
        <f>ROUND(3922.6*(1-0.561),1)</f>
        <v>1722</v>
      </c>
      <c r="L3" s="14"/>
    </row>
    <row r="4" spans="1:12" ht="25.5" x14ac:dyDescent="0.2">
      <c r="A4" s="9" t="s">
        <v>32</v>
      </c>
      <c r="B4" s="11" t="s">
        <v>27</v>
      </c>
      <c r="C4" s="40" t="s">
        <v>13</v>
      </c>
      <c r="D4" s="11" t="s">
        <v>15</v>
      </c>
      <c r="E4" s="42" t="s">
        <v>14</v>
      </c>
      <c r="F4" s="43" t="s">
        <v>14</v>
      </c>
      <c r="G4" s="13">
        <f>ROUND(7299.1*(1-0.24),1)</f>
        <v>5547.3</v>
      </c>
      <c r="H4" s="13" t="s">
        <v>14</v>
      </c>
      <c r="I4" s="12" t="s">
        <v>14</v>
      </c>
      <c r="J4" s="13">
        <f>ROUND(19073.2*(1-0.447),1)</f>
        <v>10547.5</v>
      </c>
      <c r="K4" s="14"/>
    </row>
    <row r="5" spans="1:12" s="45" customFormat="1" x14ac:dyDescent="0.2">
      <c r="A5" s="9" t="s">
        <v>33</v>
      </c>
      <c r="B5" s="11" t="s">
        <v>28</v>
      </c>
      <c r="C5" s="41" t="s">
        <v>29</v>
      </c>
      <c r="D5" s="11" t="s">
        <v>28</v>
      </c>
      <c r="E5" s="42" t="s">
        <v>14</v>
      </c>
      <c r="F5" s="43" t="s">
        <v>14</v>
      </c>
      <c r="G5" s="42">
        <f>ROUND(7297.6*(1-0.47),1)</f>
        <v>3867.7</v>
      </c>
      <c r="H5" s="42" t="s">
        <v>14</v>
      </c>
      <c r="I5" s="43" t="s">
        <v>14</v>
      </c>
      <c r="J5" s="42">
        <f>ROUND(26522.1*(1-0.505),1)</f>
        <v>13128.4</v>
      </c>
    </row>
    <row r="6" spans="1:12" s="45" customFormat="1" ht="25.5" x14ac:dyDescent="0.2">
      <c r="A6" s="9" t="s">
        <v>34</v>
      </c>
      <c r="B6" s="11" t="s">
        <v>25</v>
      </c>
      <c r="C6" s="41" t="s">
        <v>13</v>
      </c>
      <c r="D6" s="11" t="s">
        <v>15</v>
      </c>
      <c r="E6" s="42" t="s">
        <v>14</v>
      </c>
      <c r="F6" s="43" t="s">
        <v>14</v>
      </c>
      <c r="G6" s="42">
        <f>ROUND(Notes!J18*(1-0.24),1)</f>
        <v>554.6</v>
      </c>
      <c r="H6" s="42" t="s">
        <v>14</v>
      </c>
      <c r="I6" s="43" t="s">
        <v>14</v>
      </c>
      <c r="J6" s="42">
        <f>ROUND(Notes!N18*(1-0.561),1)</f>
        <v>370.9</v>
      </c>
    </row>
    <row r="7" spans="1:12" s="45" customFormat="1" ht="25.5" x14ac:dyDescent="0.2">
      <c r="A7" s="9" t="s">
        <v>35</v>
      </c>
      <c r="B7" s="11" t="s">
        <v>26</v>
      </c>
      <c r="C7" s="41" t="s">
        <v>13</v>
      </c>
      <c r="D7" s="11" t="s">
        <v>15</v>
      </c>
      <c r="E7" s="42" t="s">
        <v>14</v>
      </c>
      <c r="F7" s="43" t="s">
        <v>14</v>
      </c>
      <c r="G7" s="42">
        <f>ROUND(Notes!J19*(1-0.24),1)</f>
        <v>475.6</v>
      </c>
      <c r="H7" s="42" t="s">
        <v>14</v>
      </c>
      <c r="I7" s="43" t="s">
        <v>14</v>
      </c>
      <c r="J7" s="42">
        <f>ROUND(Notes!N19*(1-0.561),1)</f>
        <v>602.1</v>
      </c>
    </row>
    <row r="9" spans="1:12" x14ac:dyDescent="0.2">
      <c r="F9" s="7" t="s">
        <v>4</v>
      </c>
      <c r="G9" s="8">
        <f>SUM(G2:G7)</f>
        <v>11442.300000000001</v>
      </c>
      <c r="H9" s="8"/>
      <c r="I9" s="8"/>
      <c r="J9" s="8">
        <f>SUM(J2:J7)</f>
        <v>27023</v>
      </c>
    </row>
    <row r="10" spans="1:12" x14ac:dyDescent="0.2">
      <c r="G10" s="14"/>
      <c r="J10" s="14"/>
    </row>
    <row r="11" spans="1:12" x14ac:dyDescent="0.2">
      <c r="H11" s="14"/>
    </row>
    <row r="14" spans="1:12" x14ac:dyDescent="0.2">
      <c r="J14" s="14"/>
    </row>
    <row r="15" spans="1:12" x14ac:dyDescent="0.2">
      <c r="G15" s="14"/>
    </row>
    <row r="16" spans="1:12" x14ac:dyDescent="0.2">
      <c r="J16" s="14"/>
    </row>
    <row r="17" spans="7:7" x14ac:dyDescent="0.2">
      <c r="G17" s="14"/>
    </row>
  </sheetData>
  <sortState ref="A2:K27">
    <sortCondition ref="A1"/>
  </sortState>
  <pageMargins left="0.7" right="0.7" top="0.75" bottom="0.75" header="0.3" footer="0.3"/>
  <pageSetup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O19" sqref="O19"/>
    </sheetView>
  </sheetViews>
  <sheetFormatPr defaultRowHeight="15" x14ac:dyDescent="0.25"/>
  <cols>
    <col min="1" max="1" width="18.7109375" customWidth="1"/>
    <col min="2" max="3" width="14.42578125" customWidth="1"/>
    <col min="4" max="4" width="15.7109375" customWidth="1"/>
    <col min="6" max="6" width="12.140625" customWidth="1"/>
  </cols>
  <sheetData>
    <row r="1" spans="1:15" ht="16.5" thickBot="1" x14ac:dyDescent="0.3">
      <c r="A1" s="15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5" ht="30.75" thickTop="1" thickBot="1" x14ac:dyDescent="0.3">
      <c r="A2" s="17" t="s">
        <v>17</v>
      </c>
      <c r="B2" s="18" t="s">
        <v>18</v>
      </c>
      <c r="C2" s="18" t="s">
        <v>19</v>
      </c>
      <c r="D2" s="23" t="s">
        <v>20</v>
      </c>
      <c r="E2" s="23" t="s">
        <v>21</v>
      </c>
      <c r="F2" s="24" t="s">
        <v>20</v>
      </c>
      <c r="G2" s="16"/>
      <c r="H2" s="16"/>
      <c r="I2" s="16"/>
      <c r="J2" s="16"/>
      <c r="K2" s="16"/>
      <c r="L2" s="16"/>
    </row>
    <row r="3" spans="1:15" ht="16.5" thickTop="1" x14ac:dyDescent="0.25">
      <c r="A3" s="19" t="s">
        <v>25</v>
      </c>
      <c r="B3" s="20" t="s">
        <v>22</v>
      </c>
      <c r="C3" s="46">
        <v>883</v>
      </c>
      <c r="D3" s="47"/>
      <c r="E3" s="48">
        <v>2.77</v>
      </c>
      <c r="F3" s="49"/>
      <c r="G3" s="16"/>
      <c r="H3" s="16"/>
      <c r="I3" s="16"/>
      <c r="J3" s="16"/>
      <c r="K3" s="16"/>
      <c r="L3" s="16"/>
    </row>
    <row r="4" spans="1:15" ht="15.75" x14ac:dyDescent="0.25">
      <c r="A4" s="19" t="s">
        <v>25</v>
      </c>
      <c r="B4" s="20" t="s">
        <v>23</v>
      </c>
      <c r="C4" s="46">
        <v>140</v>
      </c>
      <c r="D4" s="50">
        <f>1-(C4/C3)</f>
        <v>0.84144960362400911</v>
      </c>
      <c r="E4" s="48">
        <v>1.91</v>
      </c>
      <c r="F4" s="25">
        <f>1-(E4/E3)</f>
        <v>0.31046931407942246</v>
      </c>
      <c r="G4" s="16"/>
      <c r="H4" s="16"/>
      <c r="I4" s="16"/>
      <c r="J4" s="16"/>
      <c r="K4" s="16"/>
      <c r="L4" s="16"/>
    </row>
    <row r="5" spans="1:15" ht="15.75" x14ac:dyDescent="0.25">
      <c r="A5" s="21" t="s">
        <v>26</v>
      </c>
      <c r="B5" s="20" t="s">
        <v>22</v>
      </c>
      <c r="C5" s="51">
        <v>485</v>
      </c>
      <c r="D5" s="52"/>
      <c r="E5" s="53">
        <v>2.37</v>
      </c>
      <c r="F5" s="25"/>
      <c r="G5" s="16"/>
      <c r="H5" s="16"/>
      <c r="I5" s="16"/>
      <c r="J5" s="16"/>
      <c r="K5" s="16"/>
      <c r="L5" s="16"/>
    </row>
    <row r="6" spans="1:15" ht="15.75" x14ac:dyDescent="0.25">
      <c r="A6" s="21" t="s">
        <v>26</v>
      </c>
      <c r="B6" s="20" t="s">
        <v>23</v>
      </c>
      <c r="C6" s="51">
        <v>47</v>
      </c>
      <c r="D6" s="54">
        <f>1-(C6/C5)</f>
        <v>0.90309278350515465</v>
      </c>
      <c r="E6" s="53">
        <v>1.41</v>
      </c>
      <c r="F6" s="25">
        <f>1-(E6/E5)</f>
        <v>0.40506329113924056</v>
      </c>
      <c r="G6" s="16"/>
      <c r="H6" s="16"/>
      <c r="I6" s="16"/>
      <c r="J6" s="16"/>
      <c r="K6" s="16"/>
      <c r="L6" s="16"/>
    </row>
    <row r="7" spans="1:15" ht="15.75" x14ac:dyDescent="0.25">
      <c r="A7" s="21" t="s">
        <v>11</v>
      </c>
      <c r="B7" s="20" t="s">
        <v>22</v>
      </c>
      <c r="C7" s="26">
        <v>63</v>
      </c>
      <c r="D7" s="27"/>
      <c r="E7" s="28">
        <v>1.4</v>
      </c>
      <c r="F7" s="25"/>
      <c r="G7" s="16"/>
      <c r="H7" s="16"/>
      <c r="I7" s="16"/>
      <c r="J7" s="16"/>
      <c r="K7" s="16"/>
      <c r="L7" s="16"/>
    </row>
    <row r="8" spans="1:15" ht="15.75" x14ac:dyDescent="0.25">
      <c r="A8" s="21" t="s">
        <v>11</v>
      </c>
      <c r="B8" s="20" t="s">
        <v>23</v>
      </c>
      <c r="C8" s="29">
        <v>23</v>
      </c>
      <c r="D8" s="30">
        <f>1-(C8/C7)</f>
        <v>0.63492063492063489</v>
      </c>
      <c r="E8" s="31">
        <v>1.21</v>
      </c>
      <c r="F8" s="25">
        <f>1-(E8/E7)</f>
        <v>0.13571428571428568</v>
      </c>
      <c r="G8" s="16"/>
      <c r="H8" s="16"/>
    </row>
    <row r="9" spans="1:15" ht="15.75" x14ac:dyDescent="0.25">
      <c r="A9" s="21" t="s">
        <v>12</v>
      </c>
      <c r="B9" s="20" t="s">
        <v>22</v>
      </c>
      <c r="C9" s="32">
        <v>77</v>
      </c>
      <c r="D9" s="33"/>
      <c r="E9" s="28">
        <v>1.37</v>
      </c>
      <c r="F9" s="25"/>
      <c r="G9" s="16"/>
      <c r="H9" s="16"/>
    </row>
    <row r="10" spans="1:15" ht="16.5" thickBot="1" x14ac:dyDescent="0.3">
      <c r="A10" s="22" t="s">
        <v>12</v>
      </c>
      <c r="B10" s="34" t="s">
        <v>23</v>
      </c>
      <c r="C10" s="35">
        <v>25</v>
      </c>
      <c r="D10" s="36">
        <f>1-(C10/C9)</f>
        <v>0.67532467532467533</v>
      </c>
      <c r="E10" s="37">
        <v>1.25</v>
      </c>
      <c r="F10" s="38">
        <f>1-(E10/E9)</f>
        <v>8.7591240875912524E-2</v>
      </c>
      <c r="G10" s="16"/>
      <c r="H10" s="16"/>
    </row>
    <row r="11" spans="1:15" ht="16.5" thickTop="1" x14ac:dyDescent="0.25">
      <c r="A11" s="39" t="s">
        <v>24</v>
      </c>
      <c r="B11" s="5"/>
      <c r="C11" s="5"/>
      <c r="D11" s="5"/>
      <c r="E11" s="16"/>
      <c r="F11" s="16"/>
      <c r="G11" s="16"/>
      <c r="H11" s="16"/>
    </row>
    <row r="13" spans="1:15" s="5" customFormat="1" ht="38.25" x14ac:dyDescent="0.2">
      <c r="A13" s="1" t="s">
        <v>0</v>
      </c>
      <c r="B13" s="1" t="s">
        <v>1</v>
      </c>
      <c r="C13" s="1" t="s">
        <v>2</v>
      </c>
      <c r="D13" s="2" t="s">
        <v>6</v>
      </c>
      <c r="E13" s="2" t="s">
        <v>36</v>
      </c>
      <c r="F13" s="2" t="s">
        <v>37</v>
      </c>
      <c r="G13" s="2" t="s">
        <v>38</v>
      </c>
      <c r="H13" s="3" t="s">
        <v>7</v>
      </c>
      <c r="I13" s="4" t="s">
        <v>3</v>
      </c>
      <c r="J13" s="3" t="s">
        <v>8</v>
      </c>
      <c r="K13" s="2" t="s">
        <v>39</v>
      </c>
      <c r="L13" s="3" t="s">
        <v>9</v>
      </c>
      <c r="M13" s="4" t="s">
        <v>5</v>
      </c>
      <c r="N13" s="3" t="s">
        <v>10</v>
      </c>
      <c r="O13" s="10"/>
    </row>
    <row r="14" spans="1:15" s="64" customFormat="1" ht="25.5" x14ac:dyDescent="0.2">
      <c r="A14" s="65" t="s">
        <v>30</v>
      </c>
      <c r="B14" s="66" t="s">
        <v>11</v>
      </c>
      <c r="C14" s="67" t="s">
        <v>13</v>
      </c>
      <c r="D14" s="66" t="s">
        <v>15</v>
      </c>
      <c r="E14" s="68">
        <v>5</v>
      </c>
      <c r="F14" s="68">
        <f>0.75*E14</f>
        <v>3.75</v>
      </c>
      <c r="G14" s="69">
        <v>79.053097345132741</v>
      </c>
      <c r="H14" s="70">
        <f>($F14*86400*365/35.31466)*G14/10^6</f>
        <v>264.72913209515247</v>
      </c>
      <c r="I14" s="71">
        <v>0.68</v>
      </c>
      <c r="J14" s="70">
        <f t="shared" ref="J14:J16" si="0">H14*I14</f>
        <v>180.01580982470369</v>
      </c>
      <c r="K14" s="72">
        <v>1.6005387931034494</v>
      </c>
      <c r="L14" s="70">
        <f t="shared" ref="L14:L16" si="1">($F14*86400*365/35.31466)*K14/10^3</f>
        <v>5359.8057484459405</v>
      </c>
      <c r="M14" s="71">
        <v>0.22</v>
      </c>
      <c r="N14" s="70">
        <f t="shared" ref="N14:N16" si="2">L14*M14</f>
        <v>1179.1572646581069</v>
      </c>
      <c r="O14" s="63"/>
    </row>
    <row r="15" spans="1:15" s="64" customFormat="1" ht="25.5" x14ac:dyDescent="0.2">
      <c r="A15" s="65" t="s">
        <v>31</v>
      </c>
      <c r="B15" s="66" t="s">
        <v>12</v>
      </c>
      <c r="C15" s="67" t="s">
        <v>13</v>
      </c>
      <c r="D15" s="66" t="s">
        <v>15</v>
      </c>
      <c r="E15" s="68">
        <v>25</v>
      </c>
      <c r="F15" s="68">
        <f>0.75*E15</f>
        <v>18.75</v>
      </c>
      <c r="G15" s="69">
        <v>95.185589519650648</v>
      </c>
      <c r="H15" s="70">
        <f t="shared" ref="H15:H16" si="3">($F15*86400*365/35.31466)*G15/10^6</f>
        <v>1593.7641501566043</v>
      </c>
      <c r="I15" s="71">
        <v>0.63</v>
      </c>
      <c r="J15" s="70">
        <f t="shared" si="0"/>
        <v>1004.0714145986607</v>
      </c>
      <c r="K15" s="72">
        <v>1.4641995708154516</v>
      </c>
      <c r="L15" s="70">
        <f t="shared" si="1"/>
        <v>24516.198265059793</v>
      </c>
      <c r="M15" s="71">
        <v>0.16</v>
      </c>
      <c r="N15" s="70">
        <f t="shared" si="2"/>
        <v>3922.591722409567</v>
      </c>
      <c r="O15" s="63"/>
    </row>
    <row r="16" spans="1:15" s="64" customFormat="1" ht="25.5" x14ac:dyDescent="0.2">
      <c r="A16" s="55" t="s">
        <v>32</v>
      </c>
      <c r="B16" s="56" t="s">
        <v>27</v>
      </c>
      <c r="C16" s="57" t="s">
        <v>13</v>
      </c>
      <c r="D16" s="56" t="s">
        <v>15</v>
      </c>
      <c r="E16" s="58">
        <v>30</v>
      </c>
      <c r="F16" s="58">
        <f>0.75*E16</f>
        <v>22.5</v>
      </c>
      <c r="G16" s="59">
        <v>427.38461538461536</v>
      </c>
      <c r="H16" s="60">
        <f t="shared" si="3"/>
        <v>8587.2277318345314</v>
      </c>
      <c r="I16" s="61">
        <v>0.85</v>
      </c>
      <c r="J16" s="60">
        <f t="shared" si="0"/>
        <v>7299.1435720593518</v>
      </c>
      <c r="K16" s="62">
        <v>2.3152931034482767</v>
      </c>
      <c r="L16" s="60">
        <f t="shared" si="1"/>
        <v>46520.039396747954</v>
      </c>
      <c r="M16" s="61">
        <v>0.41</v>
      </c>
      <c r="N16" s="60">
        <f t="shared" si="2"/>
        <v>19073.21615266666</v>
      </c>
      <c r="O16" s="63"/>
    </row>
    <row r="17" spans="1:15" s="64" customFormat="1" ht="12.75" x14ac:dyDescent="0.2">
      <c r="A17" s="55" t="s">
        <v>33</v>
      </c>
      <c r="B17" s="56" t="s">
        <v>28</v>
      </c>
      <c r="C17" s="57" t="s">
        <v>29</v>
      </c>
      <c r="D17" s="56" t="s">
        <v>28</v>
      </c>
      <c r="E17" s="58">
        <v>60</v>
      </c>
      <c r="F17" s="58">
        <f>0.75*E17</f>
        <v>45</v>
      </c>
      <c r="G17" s="59">
        <v>227</v>
      </c>
      <c r="H17" s="60">
        <f>($F17*86400*365/35.31466)*G17/10^6</f>
        <v>9121.997493392264</v>
      </c>
      <c r="I17" s="61">
        <v>0.8</v>
      </c>
      <c r="J17" s="60">
        <f>H17*I17</f>
        <v>7297.5979947138112</v>
      </c>
      <c r="K17" s="62">
        <v>1.65</v>
      </c>
      <c r="L17" s="60">
        <f>($F17*86400*365/35.31466)*K17/10^3</f>
        <v>66305.268123776361</v>
      </c>
      <c r="M17" s="61">
        <v>0.4</v>
      </c>
      <c r="N17" s="60">
        <f>L17*M17</f>
        <v>26522.107249510547</v>
      </c>
      <c r="O17" s="63"/>
    </row>
    <row r="18" spans="1:15" ht="26.25" x14ac:dyDescent="0.25">
      <c r="A18" s="73" t="s">
        <v>34</v>
      </c>
      <c r="B18" s="11" t="s">
        <v>25</v>
      </c>
      <c r="C18" s="41" t="s">
        <v>13</v>
      </c>
      <c r="D18" s="11" t="s">
        <v>15</v>
      </c>
      <c r="E18" s="73" t="s">
        <v>14</v>
      </c>
      <c r="F18" s="73">
        <v>1.1000000000000001</v>
      </c>
      <c r="G18" s="74">
        <f>C3</f>
        <v>883</v>
      </c>
      <c r="H18" s="76">
        <f>($F18*86400*365/35.31466)*G18/10^6</f>
        <v>867.37113708584491</v>
      </c>
      <c r="I18" s="6">
        <f>D4</f>
        <v>0.84144960362400911</v>
      </c>
      <c r="J18" s="76">
        <f>ROUND(H18*I18,1)</f>
        <v>729.8</v>
      </c>
      <c r="K18" s="75">
        <f>E3</f>
        <v>2.77</v>
      </c>
      <c r="L18" s="76">
        <f t="shared" ref="L18:L19" si="4">($F18*86400*365/35.31466)*K18/10^3</f>
        <v>2720.9717437460818</v>
      </c>
      <c r="M18" s="6">
        <f>F4</f>
        <v>0.31046931407942246</v>
      </c>
      <c r="N18" s="76">
        <f>ROUND(L18*M18,1)</f>
        <v>844.8</v>
      </c>
      <c r="O18" t="s">
        <v>41</v>
      </c>
    </row>
    <row r="19" spans="1:15" ht="26.25" x14ac:dyDescent="0.25">
      <c r="A19" s="73" t="s">
        <v>35</v>
      </c>
      <c r="B19" s="11" t="s">
        <v>26</v>
      </c>
      <c r="C19" s="41" t="s">
        <v>13</v>
      </c>
      <c r="D19" s="11" t="s">
        <v>15</v>
      </c>
      <c r="E19" s="73" t="s">
        <v>40</v>
      </c>
      <c r="F19" s="73">
        <v>1.6</v>
      </c>
      <c r="G19" s="74">
        <f>C5</f>
        <v>485</v>
      </c>
      <c r="H19" s="76">
        <f>($F19*86400*365/35.31466)*G19/10^6</f>
        <v>692.96818941482093</v>
      </c>
      <c r="I19" s="6">
        <f>D6</f>
        <v>0.90309278350515465</v>
      </c>
      <c r="J19" s="76">
        <f>ROUND(H19*I19,1)</f>
        <v>625.79999999999995</v>
      </c>
      <c r="K19" s="75">
        <f>E5</f>
        <v>2.37</v>
      </c>
      <c r="L19" s="76">
        <f t="shared" si="4"/>
        <v>3386.2569255940734</v>
      </c>
      <c r="M19" s="6">
        <f>F6</f>
        <v>0.40506329113924056</v>
      </c>
      <c r="N19" s="76">
        <f>ROUND(L19*M19,1)</f>
        <v>1371.6</v>
      </c>
      <c r="O19" t="s">
        <v>41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Notes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2014-02-16T20:09:52Z</cp:lastPrinted>
  <dcterms:created xsi:type="dcterms:W3CDTF">2013-09-17T19:44:31Z</dcterms:created>
  <dcterms:modified xsi:type="dcterms:W3CDTF">2014-05-30T16:03:32Z</dcterms:modified>
</cp:coreProperties>
</file>