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marcy.frick\Documents\Projects\FDEP Facilitation\Lake Okeechobee\Project Collection\01 Credit\"/>
    </mc:Choice>
  </mc:AlternateContent>
  <xr:revisionPtr revIDLastSave="0" documentId="13_ncr:1_{48907A6F-5156-4620-BDCB-38693E3F5E3E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Summary" sheetId="1" r:id="rId1"/>
    <sheet name="Wet detention pond calcs" sheetId="2" r:id="rId2"/>
    <sheet name="01" sheetId="3" r:id="rId3"/>
    <sheet name="02" sheetId="4" r:id="rId4"/>
    <sheet name="03" sheetId="5" r:id="rId5"/>
    <sheet name="05" sheetId="6" r:id="rId6"/>
    <sheet name="06" sheetId="7" r:id="rId7"/>
    <sheet name="17" sheetId="9" r:id="rId8"/>
    <sheet name="18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7" i="1" l="1"/>
  <c r="H17" i="1"/>
  <c r="J102" i="9"/>
  <c r="D102" i="9"/>
  <c r="M18" i="1" l="1"/>
  <c r="H18" i="1"/>
  <c r="C4" i="8"/>
  <c r="H4" i="8"/>
  <c r="M7" i="1" l="1"/>
  <c r="H7" i="1"/>
  <c r="M6" i="1"/>
  <c r="H6" i="1"/>
  <c r="M4" i="1"/>
  <c r="H4" i="1"/>
  <c r="M3" i="1"/>
  <c r="H3" i="1"/>
  <c r="M2" i="1"/>
  <c r="H2" i="1"/>
  <c r="C4" i="7"/>
  <c r="C4" i="6"/>
  <c r="C4" i="5"/>
  <c r="C4" i="4"/>
  <c r="C4" i="3"/>
  <c r="H4" i="7"/>
  <c r="H4" i="6"/>
  <c r="H4" i="5"/>
  <c r="H4" i="4"/>
  <c r="H4" i="3"/>
  <c r="P5" i="1" l="1"/>
  <c r="P16" i="1" l="1"/>
  <c r="P15" i="1"/>
  <c r="P14" i="1"/>
  <c r="P13" i="1"/>
  <c r="P12" i="1"/>
  <c r="P11" i="1"/>
  <c r="P10" i="1"/>
  <c r="P9" i="1"/>
  <c r="K16" i="1"/>
  <c r="K15" i="1"/>
  <c r="K14" i="1"/>
  <c r="K13" i="1"/>
  <c r="K12" i="1"/>
  <c r="K11" i="1"/>
  <c r="K10" i="1"/>
  <c r="K9" i="1"/>
  <c r="E17" i="1" l="1"/>
  <c r="N18" i="1"/>
  <c r="P18" i="1" s="1"/>
  <c r="N17" i="1"/>
  <c r="I17" i="1"/>
  <c r="I18" i="1"/>
  <c r="K18" i="1" s="1"/>
  <c r="E18" i="1"/>
  <c r="I3" i="1" l="1"/>
  <c r="I4" i="1"/>
  <c r="I5" i="1"/>
  <c r="I6" i="1"/>
  <c r="I7" i="1"/>
  <c r="N3" i="1"/>
  <c r="N4" i="1"/>
  <c r="Q5" i="1"/>
  <c r="N6" i="1"/>
  <c r="N7" i="1"/>
  <c r="I2" i="1"/>
  <c r="Q18" i="1"/>
  <c r="Q16" i="1"/>
  <c r="Q15" i="1"/>
  <c r="Q14" i="1"/>
  <c r="Q13" i="1"/>
  <c r="Q12" i="1"/>
  <c r="Q11" i="1"/>
  <c r="Q10" i="1"/>
  <c r="Q9" i="1"/>
  <c r="L18" i="1"/>
  <c r="L16" i="1"/>
  <c r="L15" i="1"/>
  <c r="L14" i="1"/>
  <c r="L13" i="1"/>
  <c r="L12" i="1"/>
  <c r="L11" i="1"/>
  <c r="L10" i="1"/>
  <c r="L9" i="1"/>
  <c r="L5" i="1"/>
  <c r="N2" i="1"/>
  <c r="E3" i="1"/>
  <c r="E4" i="1"/>
  <c r="E6" i="1"/>
  <c r="E7" i="1"/>
  <c r="E2" i="1"/>
  <c r="P6" i="1" l="1"/>
  <c r="Q6" i="1" s="1"/>
  <c r="P17" i="1"/>
  <c r="Q17" i="1" l="1"/>
  <c r="K3" i="1"/>
  <c r="L3" i="1" s="1"/>
  <c r="P3" i="1"/>
  <c r="Q3" i="1" s="1"/>
  <c r="P4" i="1"/>
  <c r="Q4" i="1" s="1"/>
  <c r="P2" i="1"/>
  <c r="Q2" i="1" s="1"/>
  <c r="K2" i="1"/>
  <c r="L2" i="1" s="1"/>
  <c r="K4" i="1" l="1"/>
  <c r="L4" i="1" s="1"/>
  <c r="K17" i="1" l="1"/>
  <c r="L17" i="1" s="1"/>
  <c r="K6" i="1"/>
  <c r="L6" i="1" s="1"/>
  <c r="D5" i="2" l="1"/>
  <c r="D4" i="2" l="1"/>
  <c r="B5" i="2"/>
  <c r="B4" i="2" l="1"/>
  <c r="F4" i="2" s="1"/>
  <c r="J7" i="1" s="1"/>
  <c r="K7" i="1" s="1"/>
  <c r="F5" i="2"/>
  <c r="O7" i="1" s="1"/>
  <c r="P7" i="1" s="1"/>
  <c r="P19" i="1" s="1"/>
  <c r="K19" i="1" l="1"/>
  <c r="L7" i="1"/>
  <c r="L19" i="1" s="1"/>
  <c r="Q7" i="1"/>
  <c r="Q19" i="1" s="1"/>
</calcChain>
</file>

<file path=xl/sharedStrings.xml><?xml version="1.0" encoding="utf-8"?>
<sst xmlns="http://schemas.openxmlformats.org/spreadsheetml/2006/main" count="837" uniqueCount="83">
  <si>
    <t>Project Number</t>
  </si>
  <si>
    <t>Project Name</t>
  </si>
  <si>
    <t>Project Type</t>
  </si>
  <si>
    <t>Acres Treated</t>
  </si>
  <si>
    <t>TP Efficiency (%)</t>
  </si>
  <si>
    <t>Total Reduction</t>
  </si>
  <si>
    <t>Provided</t>
  </si>
  <si>
    <t>Required</t>
  </si>
  <si>
    <t>Difference</t>
  </si>
  <si>
    <t>residence time</t>
  </si>
  <si>
    <t>days</t>
  </si>
  <si>
    <t>TP efficiency</t>
  </si>
  <si>
    <t>TN Efficiency (%)</t>
  </si>
  <si>
    <t>TN efficiency</t>
  </si>
  <si>
    <t>ORL-10</t>
  </si>
  <si>
    <t>ORL-11</t>
  </si>
  <si>
    <t>ORL-13</t>
  </si>
  <si>
    <t>ORL-14</t>
  </si>
  <si>
    <t>ORL-15</t>
  </si>
  <si>
    <t>ORL-16</t>
  </si>
  <si>
    <t>ORL-17</t>
  </si>
  <si>
    <t>ORL-18</t>
  </si>
  <si>
    <t>Pine Street/Orange Blossom Trail Corridor Stormwater Improvements</t>
  </si>
  <si>
    <t>Lake Angel Drainage Improvements</t>
  </si>
  <si>
    <t>N/A</t>
  </si>
  <si>
    <t>Lake Angel</t>
  </si>
  <si>
    <t>Upper Kissimmee</t>
  </si>
  <si>
    <t>Sub-Watershed</t>
  </si>
  <si>
    <t>ORL-01</t>
  </si>
  <si>
    <t>ORL-02</t>
  </si>
  <si>
    <t>ORL-03</t>
  </si>
  <si>
    <t>ORL-04</t>
  </si>
  <si>
    <t>ORL-05</t>
  </si>
  <si>
    <t>ORL-06</t>
  </si>
  <si>
    <t>ORL-07</t>
  </si>
  <si>
    <t>ORL-08</t>
  </si>
  <si>
    <t>ORL-09</t>
  </si>
  <si>
    <t>18th Street/Parramore Ave Baffle Box</t>
  </si>
  <si>
    <t>19th Street/Parramore Avenue Baffle Box</t>
  </si>
  <si>
    <t>Lake Holden Terrace/Albert Shores Sanitary Components</t>
  </si>
  <si>
    <t>Lake Holden Terrace/Albert Shores Stormwater Components</t>
  </si>
  <si>
    <t>CEMEX - South Division Avenue Roadway and Drainage Improvements</t>
  </si>
  <si>
    <t>Baffle Boxes- Second Generation</t>
  </si>
  <si>
    <t>Wastewater Service Area Expansion</t>
  </si>
  <si>
    <t>Wet Detention Pond</t>
  </si>
  <si>
    <t>Canceled</t>
  </si>
  <si>
    <t>Lake Pineloch Basin Inlet Baskets</t>
  </si>
  <si>
    <t>Clear Lake Basin Inlet Baskets</t>
  </si>
  <si>
    <t>Lake Lorna Doone Basin Inlet Baskets</t>
  </si>
  <si>
    <t>Lake Mann Basin Inlet Baskets</t>
  </si>
  <si>
    <t>Rock Lake Basin Inlet Baskets</t>
  </si>
  <si>
    <t>Lake Sunset Basin Inlet Baskets</t>
  </si>
  <si>
    <t>Walker Lagoon Basin Inlet Baskets</t>
  </si>
  <si>
    <t>Street Sweeping</t>
  </si>
  <si>
    <t>Education and Outreach</t>
  </si>
  <si>
    <t>Catch Basin Inserts/Inlet Filter Cleanout</t>
  </si>
  <si>
    <t>Education Efforts</t>
  </si>
  <si>
    <t>Lizzie Rogers Park Baffle Box</t>
  </si>
  <si>
    <t>TP Base Load (lbs/yr)</t>
  </si>
  <si>
    <t>TP Reduction (lbs/yr)</t>
  </si>
  <si>
    <t>TN Base Load (lbs/yr)</t>
  </si>
  <si>
    <t>TN Reduction (lbs/yr)</t>
  </si>
  <si>
    <t>Area (square feet)</t>
  </si>
  <si>
    <t>Basin</t>
  </si>
  <si>
    <t>TP (kg/yr)</t>
  </si>
  <si>
    <t>TP Reduction (MT/yr)</t>
  </si>
  <si>
    <t>TN (kg/yr)</t>
  </si>
  <si>
    <t>TN Reduction (MT/yr)</t>
  </si>
  <si>
    <t>Boggy Creek</t>
  </si>
  <si>
    <t>Shingle Creek</t>
  </si>
  <si>
    <t>Shingle Creek, Boggy Creek</t>
  </si>
  <si>
    <t>OBJECTID</t>
  </si>
  <si>
    <t>FREQUENCY</t>
  </si>
  <si>
    <t>SUM_Load</t>
  </si>
  <si>
    <t>TN SUM_Load</t>
  </si>
  <si>
    <t>TP SUM_Load</t>
  </si>
  <si>
    <t>CITIES</t>
  </si>
  <si>
    <t>COUNTIES</t>
  </si>
  <si>
    <t>LU_Type</t>
  </si>
  <si>
    <t>Urban</t>
  </si>
  <si>
    <t>Osceola</t>
  </si>
  <si>
    <t>Orlando</t>
  </si>
  <si>
    <t>Orange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</si>
</sst>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0"/>
      <name val="Arial"/>
      <charset val="1"/>
    </font>
    <font>
      <b/>
      <sz val="1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/>
  </cellStyleXfs>
  <cellXfs count="101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165" fontId="4" fillId="0" borderId="0" xfId="0" applyNumberFormat="1" applyFont="1"/>
    <xf numFmtId="0" fontId="5" fillId="0" borderId="0" xfId="0" applyFont="1" applyAlignment="1">
      <alignment wrapText="1"/>
    </xf>
    <xf numFmtId="0" fontId="8" fillId="0" borderId="0" xfId="0" applyFont="1"/>
    <xf numFmtId="166" fontId="0" fillId="0" borderId="0" xfId="0" applyNumberFormat="1" applyFont="1"/>
    <xf numFmtId="166" fontId="0" fillId="0" borderId="0" xfId="0" applyNumberFormat="1"/>
    <xf numFmtId="165" fontId="5" fillId="0" borderId="0" xfId="0" applyNumberFormat="1" applyFont="1"/>
    <xf numFmtId="0" fontId="3" fillId="2" borderId="1" xfId="1" applyFont="1" applyFill="1" applyBorder="1" applyAlignment="1">
      <alignment horizontal="center" wrapText="1"/>
    </xf>
    <xf numFmtId="164" fontId="3" fillId="2" borderId="1" xfId="1" applyNumberFormat="1" applyFont="1" applyFill="1" applyBorder="1" applyAlignment="1">
      <alignment horizontal="center" wrapText="1"/>
    </xf>
    <xf numFmtId="165" fontId="3" fillId="2" borderId="1" xfId="1" applyNumberFormat="1" applyFont="1" applyFill="1" applyBorder="1" applyAlignment="1">
      <alignment horizontal="center" wrapText="1"/>
    </xf>
    <xf numFmtId="2" fontId="4" fillId="3" borderId="1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  <xf numFmtId="165" fontId="5" fillId="0" borderId="1" xfId="0" applyNumberFormat="1" applyFont="1" applyBorder="1" applyAlignment="1">
      <alignment horizontal="left"/>
    </xf>
    <xf numFmtId="0" fontId="6" fillId="0" borderId="1" xfId="1" applyFont="1" applyFill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1" xfId="2" applyFont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166" fontId="5" fillId="0" borderId="1" xfId="0" applyNumberFormat="1" applyFont="1" applyBorder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1" xfId="2" applyFont="1" applyFill="1" applyBorder="1" applyAlignment="1">
      <alignment horizontal="left" wrapText="1"/>
    </xf>
    <xf numFmtId="165" fontId="5" fillId="0" borderId="1" xfId="0" applyNumberFormat="1" applyFont="1" applyFill="1" applyBorder="1" applyAlignment="1">
      <alignment horizontal="left"/>
    </xf>
    <xf numFmtId="166" fontId="5" fillId="0" borderId="1" xfId="0" applyNumberFormat="1" applyFont="1" applyFill="1" applyBorder="1" applyAlignment="1">
      <alignment horizontal="left"/>
    </xf>
    <xf numFmtId="0" fontId="6" fillId="4" borderId="1" xfId="0" applyFont="1" applyFill="1" applyBorder="1" applyAlignment="1">
      <alignment horizontal="left" wrapText="1"/>
    </xf>
    <xf numFmtId="0" fontId="6" fillId="0" borderId="1" xfId="2" applyFont="1" applyFill="1" applyBorder="1" applyAlignment="1">
      <alignment horizontal="left" wrapText="1"/>
    </xf>
    <xf numFmtId="2" fontId="5" fillId="0" borderId="1" xfId="0" applyNumberFormat="1" applyFont="1" applyBorder="1" applyAlignment="1">
      <alignment horizontal="left"/>
    </xf>
    <xf numFmtId="2" fontId="4" fillId="0" borderId="0" xfId="0" applyNumberFormat="1" applyFont="1"/>
    <xf numFmtId="0" fontId="5" fillId="0" borderId="1" xfId="0" applyFont="1" applyFill="1" applyBorder="1" applyAlignment="1">
      <alignment horizontal="left" wrapText="1"/>
    </xf>
    <xf numFmtId="165" fontId="6" fillId="0" borderId="1" xfId="2" applyNumberFormat="1" applyFont="1" applyFill="1" applyBorder="1" applyAlignment="1">
      <alignment horizontal="left" wrapText="1"/>
    </xf>
    <xf numFmtId="165" fontId="6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2" fontId="5" fillId="0" borderId="1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10" fillId="5" borderId="0" xfId="4" applyFont="1" applyFill="1" applyBorder="1" applyAlignment="1" applyProtection="1">
      <alignment horizontal="center"/>
    </xf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0" fontId="10" fillId="5" borderId="0" xfId="4" applyFont="1" applyFill="1" applyBorder="1" applyAlignment="1" applyProtection="1">
      <alignment horizontal="center"/>
    </xf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0" fontId="10" fillId="5" borderId="0" xfId="4" applyFont="1" applyFill="1" applyBorder="1" applyAlignment="1" applyProtection="1">
      <alignment horizontal="center"/>
    </xf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0" fontId="10" fillId="5" borderId="0" xfId="4" applyFont="1" applyFill="1" applyBorder="1" applyAlignment="1" applyProtection="1">
      <alignment horizontal="center"/>
    </xf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0" fontId="10" fillId="5" borderId="0" xfId="4" applyFont="1" applyFill="1" applyBorder="1" applyAlignment="1" applyProtection="1">
      <alignment horizontal="center"/>
    </xf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0" fontId="10" fillId="5" borderId="0" xfId="4" applyFont="1" applyFill="1" applyBorder="1" applyAlignment="1" applyProtection="1">
      <alignment horizontal="center"/>
    </xf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0" fontId="10" fillId="5" borderId="0" xfId="4" applyFont="1" applyFill="1" applyBorder="1" applyAlignment="1" applyProtection="1">
      <alignment horizontal="center"/>
    </xf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0" fontId="10" fillId="5" borderId="0" xfId="4" applyFont="1" applyFill="1" applyBorder="1" applyAlignment="1" applyProtection="1">
      <alignment horizontal="center"/>
    </xf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0" fontId="10" fillId="5" borderId="0" xfId="4" applyFont="1" applyFill="1" applyBorder="1" applyAlignment="1" applyProtection="1">
      <alignment horizontal="center"/>
    </xf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0" fontId="10" fillId="5" borderId="0" xfId="4" applyFont="1" applyFill="1" applyBorder="1" applyAlignment="1" applyProtection="1">
      <alignment horizontal="center"/>
    </xf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0" fontId="10" fillId="5" borderId="0" xfId="4" applyFont="1" applyFill="1" applyBorder="1" applyAlignment="1" applyProtection="1">
      <alignment horizontal="center"/>
    </xf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0" fontId="10" fillId="5" borderId="0" xfId="4" applyFont="1" applyFill="1" applyBorder="1" applyAlignment="1" applyProtection="1">
      <alignment horizontal="center"/>
    </xf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0" fontId="10" fillId="5" borderId="0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/>
    <xf numFmtId="0" fontId="2" fillId="0" borderId="0" xfId="0" applyFont="1" applyFill="1" applyBorder="1" applyAlignment="1" applyProtection="1"/>
  </cellXfs>
  <cellStyles count="5">
    <cellStyle name="Normal" xfId="0" builtinId="0"/>
    <cellStyle name="Normal 2" xfId="3" xr:uid="{00000000-0005-0000-0000-000001000000}"/>
    <cellStyle name="Normal 3" xfId="2" xr:uid="{00000000-0005-0000-0000-000002000000}"/>
    <cellStyle name="Normal 4" xfId="4" xr:uid="{00000000-0005-0000-0000-000032000000}"/>
    <cellStyle name="Normal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zoomScale="75" zoomScaleNormal="75" workbookViewId="0">
      <pane ySplit="1" topLeftCell="A2" activePane="bottomLeft" state="frozen"/>
      <selection pane="bottomLeft" activeCell="K17" sqref="K17:L17"/>
    </sheetView>
  </sheetViews>
  <sheetFormatPr defaultColWidth="9.109375" defaultRowHeight="13.2" x14ac:dyDescent="0.25"/>
  <cols>
    <col min="1" max="1" width="9.109375" style="4"/>
    <col min="2" max="2" width="22" style="4" customWidth="1"/>
    <col min="3" max="4" width="12" style="7" customWidth="1"/>
    <col min="5" max="5" width="10.21875" style="11" customWidth="1"/>
    <col min="6" max="6" width="11.33203125" style="4" customWidth="1"/>
    <col min="7" max="7" width="10.44140625" style="4" customWidth="1"/>
    <col min="8" max="8" width="11.33203125" style="4" customWidth="1"/>
    <col min="9" max="9" width="9.44140625" style="11" customWidth="1"/>
    <col min="10" max="10" width="10.88671875" style="4" customWidth="1"/>
    <col min="11" max="11" width="10" style="4" customWidth="1"/>
    <col min="12" max="12" width="9.6640625" style="4" customWidth="1"/>
    <col min="13" max="13" width="9.109375" style="4" customWidth="1"/>
    <col min="14" max="14" width="9.21875" style="4" customWidth="1"/>
    <col min="15" max="15" width="9.77734375" style="4" customWidth="1"/>
    <col min="16" max="16" width="10.6640625" style="4" customWidth="1"/>
    <col min="17" max="16384" width="9.109375" style="4"/>
  </cols>
  <sheetData>
    <row r="1" spans="1:17" ht="38.4" customHeight="1" x14ac:dyDescent="0.25">
      <c r="A1" s="1" t="s">
        <v>0</v>
      </c>
      <c r="B1" s="1" t="s">
        <v>1</v>
      </c>
      <c r="C1" s="1" t="s">
        <v>2</v>
      </c>
      <c r="D1" s="12" t="s">
        <v>62</v>
      </c>
      <c r="E1" s="14" t="s">
        <v>3</v>
      </c>
      <c r="F1" s="13" t="s">
        <v>27</v>
      </c>
      <c r="G1" s="13" t="s">
        <v>63</v>
      </c>
      <c r="H1" s="14" t="s">
        <v>64</v>
      </c>
      <c r="I1" s="2" t="s">
        <v>58</v>
      </c>
      <c r="J1" s="3" t="s">
        <v>4</v>
      </c>
      <c r="K1" s="2" t="s">
        <v>59</v>
      </c>
      <c r="L1" s="15" t="s">
        <v>65</v>
      </c>
      <c r="M1" s="2" t="s">
        <v>66</v>
      </c>
      <c r="N1" s="2" t="s">
        <v>60</v>
      </c>
      <c r="O1" s="3" t="s">
        <v>12</v>
      </c>
      <c r="P1" s="2" t="s">
        <v>61</v>
      </c>
      <c r="Q1" s="15" t="s">
        <v>67</v>
      </c>
    </row>
    <row r="2" spans="1:17" s="16" customFormat="1" ht="39.6" x14ac:dyDescent="0.25">
      <c r="A2" s="19" t="s">
        <v>28</v>
      </c>
      <c r="B2" s="20" t="s">
        <v>37</v>
      </c>
      <c r="C2" s="21" t="s">
        <v>42</v>
      </c>
      <c r="D2" s="21">
        <v>107638.673589</v>
      </c>
      <c r="E2" s="33">
        <f t="shared" ref="E2:E7" si="0">ROUND(D2*0.000022956841139,1)</f>
        <v>2.5</v>
      </c>
      <c r="F2" s="22" t="s">
        <v>26</v>
      </c>
      <c r="G2" s="22" t="s">
        <v>68</v>
      </c>
      <c r="H2" s="22">
        <f>'01'!C4</f>
        <v>0.18115828347403212</v>
      </c>
      <c r="I2" s="18">
        <f t="shared" ref="I2:I7" si="1">H2*2.2046226218</f>
        <v>0.39938564987330832</v>
      </c>
      <c r="J2" s="23">
        <v>0.155</v>
      </c>
      <c r="K2" s="18">
        <f>ROUND(I2*J2,1)</f>
        <v>0.1</v>
      </c>
      <c r="L2" s="30">
        <f t="shared" ref="L2:L7" si="2">K2*0.00045359237</f>
        <v>4.5359236999999999E-5</v>
      </c>
      <c r="M2" s="18">
        <f>'01'!H4</f>
        <v>6.2865269071513845</v>
      </c>
      <c r="N2" s="18">
        <f t="shared" ref="N2:N7" si="3">M2*2.2046226218</f>
        <v>13.859419432060331</v>
      </c>
      <c r="O2" s="23">
        <v>0.1905</v>
      </c>
      <c r="P2" s="18">
        <f t="shared" ref="P2:P7" si="4">ROUND(N2*O2,1)</f>
        <v>2.6</v>
      </c>
      <c r="Q2" s="30">
        <f t="shared" ref="Q2:Q18" si="5">P2*0.00045359237</f>
        <v>1.1793401620000001E-3</v>
      </c>
    </row>
    <row r="3" spans="1:17" s="16" customFormat="1" ht="39.6" x14ac:dyDescent="0.25">
      <c r="A3" s="19" t="s">
        <v>29</v>
      </c>
      <c r="B3" s="24" t="s">
        <v>38</v>
      </c>
      <c r="C3" s="21" t="s">
        <v>42</v>
      </c>
      <c r="D3" s="21">
        <v>538193.36794599995</v>
      </c>
      <c r="E3" s="33">
        <f t="shared" si="0"/>
        <v>12.4</v>
      </c>
      <c r="F3" s="22" t="s">
        <v>26</v>
      </c>
      <c r="G3" s="22" t="s">
        <v>68</v>
      </c>
      <c r="H3" s="22">
        <f>'02'!C4</f>
        <v>0.36585080716739671</v>
      </c>
      <c r="I3" s="18">
        <f t="shared" si="1"/>
        <v>0.80656296568503238</v>
      </c>
      <c r="J3" s="23">
        <v>0.155</v>
      </c>
      <c r="K3" s="18">
        <f>ROUND(I3*J3,1)</f>
        <v>0.1</v>
      </c>
      <c r="L3" s="30">
        <f t="shared" si="2"/>
        <v>4.5359236999999999E-5</v>
      </c>
      <c r="M3" s="18">
        <f>'02'!H4</f>
        <v>18.011972734900169</v>
      </c>
      <c r="N3" s="18">
        <f t="shared" si="3"/>
        <v>39.709602554605731</v>
      </c>
      <c r="O3" s="23">
        <v>0.1905</v>
      </c>
      <c r="P3" s="18">
        <f t="shared" si="4"/>
        <v>7.6</v>
      </c>
      <c r="Q3" s="30">
        <f t="shared" si="5"/>
        <v>3.4473020119999997E-3</v>
      </c>
    </row>
    <row r="4" spans="1:17" s="16" customFormat="1" ht="39.6" x14ac:dyDescent="0.25">
      <c r="A4" s="19" t="s">
        <v>30</v>
      </c>
      <c r="B4" s="22" t="s">
        <v>22</v>
      </c>
      <c r="C4" s="21" t="s">
        <v>42</v>
      </c>
      <c r="D4" s="21">
        <v>430554.694357</v>
      </c>
      <c r="E4" s="33">
        <f t="shared" si="0"/>
        <v>9.9</v>
      </c>
      <c r="F4" s="22" t="s">
        <v>26</v>
      </c>
      <c r="G4" s="22" t="s">
        <v>68</v>
      </c>
      <c r="H4" s="22">
        <f>'03'!C4</f>
        <v>3.0095975042055283</v>
      </c>
      <c r="I4" s="18">
        <f t="shared" si="1"/>
        <v>6.6350267402843279</v>
      </c>
      <c r="J4" s="23">
        <v>0.155</v>
      </c>
      <c r="K4" s="18">
        <f>ROUND(I4*J4,1)</f>
        <v>1</v>
      </c>
      <c r="L4" s="30">
        <f t="shared" si="2"/>
        <v>4.5359236999999999E-4</v>
      </c>
      <c r="M4" s="18">
        <f>'03'!H4</f>
        <v>4.2942100363816831</v>
      </c>
      <c r="N4" s="18">
        <f t="shared" si="3"/>
        <v>9.4671125889676588</v>
      </c>
      <c r="O4" s="23">
        <v>0.1905</v>
      </c>
      <c r="P4" s="18">
        <f t="shared" si="4"/>
        <v>1.8</v>
      </c>
      <c r="Q4" s="30">
        <f t="shared" si="5"/>
        <v>8.1646626599999998E-4</v>
      </c>
    </row>
    <row r="5" spans="1:17" s="37" customFormat="1" ht="39.6" x14ac:dyDescent="0.25">
      <c r="A5" s="19" t="s">
        <v>31</v>
      </c>
      <c r="B5" s="22" t="s">
        <v>39</v>
      </c>
      <c r="C5" s="25" t="s">
        <v>43</v>
      </c>
      <c r="D5" s="25" t="s">
        <v>24</v>
      </c>
      <c r="E5" s="33" t="s">
        <v>24</v>
      </c>
      <c r="F5" s="22" t="s">
        <v>26</v>
      </c>
      <c r="G5" s="22" t="s">
        <v>68</v>
      </c>
      <c r="H5" s="22">
        <v>0</v>
      </c>
      <c r="I5" s="26">
        <f t="shared" si="1"/>
        <v>0</v>
      </c>
      <c r="J5" s="27">
        <v>0</v>
      </c>
      <c r="K5" s="26">
        <v>0</v>
      </c>
      <c r="L5" s="36">
        <f t="shared" si="2"/>
        <v>0</v>
      </c>
      <c r="M5" s="26" t="s">
        <v>24</v>
      </c>
      <c r="N5" s="26" t="s">
        <v>24</v>
      </c>
      <c r="O5" s="27" t="s">
        <v>24</v>
      </c>
      <c r="P5" s="26">
        <f>ROUND((77*12.6)*(1-0.67),1)</f>
        <v>320.2</v>
      </c>
      <c r="Q5" s="36">
        <f t="shared" si="5"/>
        <v>0.14524027687399998</v>
      </c>
    </row>
    <row r="6" spans="1:17" s="16" customFormat="1" ht="39.6" x14ac:dyDescent="0.25">
      <c r="A6" s="19" t="s">
        <v>32</v>
      </c>
      <c r="B6" s="28" t="s">
        <v>40</v>
      </c>
      <c r="C6" s="21" t="s">
        <v>42</v>
      </c>
      <c r="D6" s="25">
        <v>3013882.8604990002</v>
      </c>
      <c r="E6" s="33">
        <f t="shared" si="0"/>
        <v>69.2</v>
      </c>
      <c r="F6" s="22" t="s">
        <v>26</v>
      </c>
      <c r="G6" s="22" t="s">
        <v>68</v>
      </c>
      <c r="H6" s="22">
        <f>'05'!C4</f>
        <v>287.96028367936543</v>
      </c>
      <c r="I6" s="18">
        <f t="shared" si="1"/>
        <v>634.84375557947442</v>
      </c>
      <c r="J6" s="23">
        <v>0.155</v>
      </c>
      <c r="K6" s="18">
        <f>ROUND(I6*J6,1)</f>
        <v>98.4</v>
      </c>
      <c r="L6" s="30">
        <f t="shared" si="2"/>
        <v>4.4633489208000005E-2</v>
      </c>
      <c r="M6" s="26">
        <f>'05'!H4</f>
        <v>3779.1464222306522</v>
      </c>
      <c r="N6" s="18">
        <f t="shared" si="3"/>
        <v>8331.591693544231</v>
      </c>
      <c r="O6" s="23">
        <v>0.1905</v>
      </c>
      <c r="P6" s="26">
        <f t="shared" si="4"/>
        <v>1587.2</v>
      </c>
      <c r="Q6" s="30">
        <f t="shared" si="5"/>
        <v>0.71994180966400001</v>
      </c>
    </row>
    <row r="7" spans="1:17" s="16" customFormat="1" ht="39.6" x14ac:dyDescent="0.25">
      <c r="A7" s="19" t="s">
        <v>33</v>
      </c>
      <c r="B7" s="22" t="s">
        <v>23</v>
      </c>
      <c r="C7" s="21" t="s">
        <v>44</v>
      </c>
      <c r="D7" s="21">
        <v>4413185.6171599999</v>
      </c>
      <c r="E7" s="33">
        <f t="shared" si="0"/>
        <v>101.3</v>
      </c>
      <c r="F7" s="22" t="s">
        <v>26</v>
      </c>
      <c r="G7" s="22" t="s">
        <v>68</v>
      </c>
      <c r="H7" s="22">
        <f>'06'!C4</f>
        <v>3.2447206251907184</v>
      </c>
      <c r="I7" s="18">
        <f t="shared" si="1"/>
        <v>7.1533844917164968</v>
      </c>
      <c r="J7" s="23">
        <f>'Wet detention pond calcs'!F4</f>
        <v>8.4000000000000075E-2</v>
      </c>
      <c r="K7" s="18">
        <f>ROUND(I7*J7,1)</f>
        <v>0.6</v>
      </c>
      <c r="L7" s="30">
        <f t="shared" si="2"/>
        <v>2.7215542199999999E-4</v>
      </c>
      <c r="M7" s="18">
        <f>'06'!H4</f>
        <v>151.29578408941967</v>
      </c>
      <c r="N7" s="18">
        <f t="shared" si="3"/>
        <v>333.55010818650311</v>
      </c>
      <c r="O7" s="23">
        <f>'Wet detention pond calcs'!F5</f>
        <v>6.6000000000000003E-2</v>
      </c>
      <c r="P7" s="26">
        <f t="shared" si="4"/>
        <v>22</v>
      </c>
      <c r="Q7" s="30">
        <f t="shared" si="5"/>
        <v>9.97903214E-3</v>
      </c>
    </row>
    <row r="8" spans="1:17" s="16" customFormat="1" ht="39.6" x14ac:dyDescent="0.25">
      <c r="A8" s="19" t="s">
        <v>34</v>
      </c>
      <c r="B8" s="22" t="s">
        <v>41</v>
      </c>
      <c r="C8" s="21" t="s">
        <v>42</v>
      </c>
      <c r="D8" s="22" t="s">
        <v>45</v>
      </c>
      <c r="E8" s="34" t="s">
        <v>45</v>
      </c>
      <c r="F8" s="22" t="s">
        <v>26</v>
      </c>
      <c r="G8" s="22" t="s">
        <v>45</v>
      </c>
      <c r="H8" s="22" t="s">
        <v>45</v>
      </c>
      <c r="I8" s="22" t="s">
        <v>45</v>
      </c>
      <c r="J8" s="22" t="s">
        <v>45</v>
      </c>
      <c r="K8" s="22" t="s">
        <v>45</v>
      </c>
      <c r="L8" s="22" t="s">
        <v>45</v>
      </c>
      <c r="M8" s="22" t="s">
        <v>45</v>
      </c>
      <c r="N8" s="22" t="s">
        <v>45</v>
      </c>
      <c r="O8" s="22" t="s">
        <v>45</v>
      </c>
      <c r="P8" s="22" t="s">
        <v>45</v>
      </c>
      <c r="Q8" s="22" t="s">
        <v>45</v>
      </c>
    </row>
    <row r="9" spans="1:17" s="16" customFormat="1" ht="52.8" x14ac:dyDescent="0.25">
      <c r="A9" s="19" t="s">
        <v>35</v>
      </c>
      <c r="B9" s="22" t="s">
        <v>46</v>
      </c>
      <c r="C9" s="25" t="s">
        <v>55</v>
      </c>
      <c r="D9" s="29" t="s">
        <v>24</v>
      </c>
      <c r="E9" s="33" t="s">
        <v>24</v>
      </c>
      <c r="F9" s="22" t="s">
        <v>26</v>
      </c>
      <c r="G9" s="22" t="s">
        <v>68</v>
      </c>
      <c r="H9" s="26" t="s">
        <v>24</v>
      </c>
      <c r="I9" s="26" t="s">
        <v>24</v>
      </c>
      <c r="J9" s="27" t="s">
        <v>24</v>
      </c>
      <c r="K9" s="26">
        <f>ROUND(26.5*(1-0.47),1)</f>
        <v>14</v>
      </c>
      <c r="L9" s="36">
        <f t="shared" ref="L9:L18" si="6">K9*0.00045359237</f>
        <v>6.3502931800000001E-3</v>
      </c>
      <c r="M9" s="26" t="s">
        <v>24</v>
      </c>
      <c r="N9" s="26" t="s">
        <v>24</v>
      </c>
      <c r="O9" s="27" t="s">
        <v>24</v>
      </c>
      <c r="P9" s="26">
        <f>ROUND(43.1*(1-0.67),1)</f>
        <v>14.2</v>
      </c>
      <c r="Q9" s="36">
        <f t="shared" si="5"/>
        <v>6.4410116539999999E-3</v>
      </c>
    </row>
    <row r="10" spans="1:17" s="16" customFormat="1" ht="52.8" x14ac:dyDescent="0.25">
      <c r="A10" s="19" t="s">
        <v>36</v>
      </c>
      <c r="B10" s="22" t="s">
        <v>47</v>
      </c>
      <c r="C10" s="25" t="s">
        <v>55</v>
      </c>
      <c r="D10" s="29" t="s">
        <v>24</v>
      </c>
      <c r="E10" s="33" t="s">
        <v>24</v>
      </c>
      <c r="F10" s="22" t="s">
        <v>26</v>
      </c>
      <c r="G10" s="22" t="s">
        <v>69</v>
      </c>
      <c r="H10" s="26" t="s">
        <v>24</v>
      </c>
      <c r="I10" s="26" t="s">
        <v>24</v>
      </c>
      <c r="J10" s="27" t="s">
        <v>24</v>
      </c>
      <c r="K10" s="26">
        <f>ROUND(31*(1-0.47),1)</f>
        <v>16.399999999999999</v>
      </c>
      <c r="L10" s="36">
        <f t="shared" si="6"/>
        <v>7.4389148679999996E-3</v>
      </c>
      <c r="M10" s="26" t="s">
        <v>24</v>
      </c>
      <c r="N10" s="26" t="s">
        <v>24</v>
      </c>
      <c r="O10" s="27" t="s">
        <v>24</v>
      </c>
      <c r="P10" s="26">
        <f>ROUND(50.4*(1-0.67),1)</f>
        <v>16.600000000000001</v>
      </c>
      <c r="Q10" s="36">
        <f t="shared" si="5"/>
        <v>7.5296333420000004E-3</v>
      </c>
    </row>
    <row r="11" spans="1:17" s="16" customFormat="1" ht="52.8" x14ac:dyDescent="0.25">
      <c r="A11" s="19" t="s">
        <v>14</v>
      </c>
      <c r="B11" s="22" t="s">
        <v>48</v>
      </c>
      <c r="C11" s="25" t="s">
        <v>55</v>
      </c>
      <c r="D11" s="29" t="s">
        <v>24</v>
      </c>
      <c r="E11" s="33" t="s">
        <v>24</v>
      </c>
      <c r="F11" s="22" t="s">
        <v>26</v>
      </c>
      <c r="G11" s="22" t="s">
        <v>69</v>
      </c>
      <c r="H11" s="26" t="s">
        <v>24</v>
      </c>
      <c r="I11" s="26" t="s">
        <v>24</v>
      </c>
      <c r="J11" s="27" t="s">
        <v>24</v>
      </c>
      <c r="K11" s="26">
        <f>ROUND(30.1*(1-0.47),1)</f>
        <v>16</v>
      </c>
      <c r="L11" s="36">
        <f t="shared" si="6"/>
        <v>7.2574779199999998E-3</v>
      </c>
      <c r="M11" s="26" t="s">
        <v>24</v>
      </c>
      <c r="N11" s="26" t="s">
        <v>24</v>
      </c>
      <c r="O11" s="27" t="s">
        <v>24</v>
      </c>
      <c r="P11" s="26">
        <f>ROUND(49.1*(1-0.67),1)</f>
        <v>16.2</v>
      </c>
      <c r="Q11" s="36">
        <f t="shared" si="5"/>
        <v>7.3481963939999997E-3</v>
      </c>
    </row>
    <row r="12" spans="1:17" s="16" customFormat="1" ht="52.8" x14ac:dyDescent="0.25">
      <c r="A12" s="19" t="s">
        <v>15</v>
      </c>
      <c r="B12" s="22" t="s">
        <v>49</v>
      </c>
      <c r="C12" s="25" t="s">
        <v>55</v>
      </c>
      <c r="D12" s="29" t="s">
        <v>24</v>
      </c>
      <c r="E12" s="33" t="s">
        <v>24</v>
      </c>
      <c r="F12" s="22" t="s">
        <v>26</v>
      </c>
      <c r="G12" s="22" t="s">
        <v>69</v>
      </c>
      <c r="H12" s="26" t="s">
        <v>24</v>
      </c>
      <c r="I12" s="26" t="s">
        <v>24</v>
      </c>
      <c r="J12" s="27" t="s">
        <v>24</v>
      </c>
      <c r="K12" s="26">
        <f>ROUND(50.9*(1-0.47),1)</f>
        <v>27</v>
      </c>
      <c r="L12" s="36">
        <f t="shared" si="6"/>
        <v>1.224699399E-2</v>
      </c>
      <c r="M12" s="26" t="s">
        <v>24</v>
      </c>
      <c r="N12" s="26" t="s">
        <v>24</v>
      </c>
      <c r="O12" s="27" t="s">
        <v>24</v>
      </c>
      <c r="P12" s="26">
        <f>ROUND(83*(1-0.67),1)</f>
        <v>27.4</v>
      </c>
      <c r="Q12" s="36">
        <f t="shared" si="5"/>
        <v>1.2428430938E-2</v>
      </c>
    </row>
    <row r="13" spans="1:17" s="16" customFormat="1" ht="52.8" x14ac:dyDescent="0.25">
      <c r="A13" s="19" t="s">
        <v>16</v>
      </c>
      <c r="B13" s="22" t="s">
        <v>50</v>
      </c>
      <c r="C13" s="25" t="s">
        <v>55</v>
      </c>
      <c r="D13" s="29" t="s">
        <v>24</v>
      </c>
      <c r="E13" s="33" t="s">
        <v>24</v>
      </c>
      <c r="F13" s="22" t="s">
        <v>26</v>
      </c>
      <c r="G13" s="22" t="s">
        <v>69</v>
      </c>
      <c r="H13" s="26" t="s">
        <v>24</v>
      </c>
      <c r="I13" s="26" t="s">
        <v>24</v>
      </c>
      <c r="J13" s="27" t="s">
        <v>24</v>
      </c>
      <c r="K13" s="26">
        <f>ROUND(19.2*(1-0.47),1)</f>
        <v>10.199999999999999</v>
      </c>
      <c r="L13" s="36">
        <f t="shared" si="6"/>
        <v>4.6266421739999996E-3</v>
      </c>
      <c r="M13" s="26" t="s">
        <v>24</v>
      </c>
      <c r="N13" s="26" t="s">
        <v>24</v>
      </c>
      <c r="O13" s="27" t="s">
        <v>24</v>
      </c>
      <c r="P13" s="26">
        <f>ROUND(31.2*(1-0.67),1)</f>
        <v>10.3</v>
      </c>
      <c r="Q13" s="36">
        <f t="shared" si="5"/>
        <v>4.6720014109999999E-3</v>
      </c>
    </row>
    <row r="14" spans="1:17" s="16" customFormat="1" ht="52.8" x14ac:dyDescent="0.25">
      <c r="A14" s="19" t="s">
        <v>17</v>
      </c>
      <c r="B14" s="22" t="s">
        <v>51</v>
      </c>
      <c r="C14" s="25" t="s">
        <v>55</v>
      </c>
      <c r="D14" s="29" t="s">
        <v>24</v>
      </c>
      <c r="E14" s="33" t="s">
        <v>24</v>
      </c>
      <c r="F14" s="22" t="s">
        <v>26</v>
      </c>
      <c r="G14" s="22" t="s">
        <v>69</v>
      </c>
      <c r="H14" s="26" t="s">
        <v>24</v>
      </c>
      <c r="I14" s="26" t="s">
        <v>24</v>
      </c>
      <c r="J14" s="27" t="s">
        <v>24</v>
      </c>
      <c r="K14" s="26">
        <f>ROUND(34.8*(1-0.47),1)</f>
        <v>18.399999999999999</v>
      </c>
      <c r="L14" s="36">
        <f t="shared" si="6"/>
        <v>8.3460996079999985E-3</v>
      </c>
      <c r="M14" s="26" t="s">
        <v>24</v>
      </c>
      <c r="N14" s="26" t="s">
        <v>24</v>
      </c>
      <c r="O14" s="27" t="s">
        <v>24</v>
      </c>
      <c r="P14" s="26">
        <f>ROUND(56.7*(1-0.67),1)</f>
        <v>18.7</v>
      </c>
      <c r="Q14" s="36">
        <f t="shared" si="5"/>
        <v>8.4821773189999988E-3</v>
      </c>
    </row>
    <row r="15" spans="1:17" s="16" customFormat="1" ht="52.8" x14ac:dyDescent="0.25">
      <c r="A15" s="19" t="s">
        <v>18</v>
      </c>
      <c r="B15" s="22" t="s">
        <v>52</v>
      </c>
      <c r="C15" s="25" t="s">
        <v>55</v>
      </c>
      <c r="D15" s="29" t="s">
        <v>24</v>
      </c>
      <c r="E15" s="33" t="s">
        <v>24</v>
      </c>
      <c r="F15" s="22" t="s">
        <v>26</v>
      </c>
      <c r="G15" s="22" t="s">
        <v>69</v>
      </c>
      <c r="H15" s="26" t="s">
        <v>24</v>
      </c>
      <c r="I15" s="26" t="s">
        <v>24</v>
      </c>
      <c r="J15" s="27" t="s">
        <v>24</v>
      </c>
      <c r="K15" s="26">
        <f>ROUND(30.5*(1-0.47),1)</f>
        <v>16.2</v>
      </c>
      <c r="L15" s="36">
        <f t="shared" si="6"/>
        <v>7.3481963939999997E-3</v>
      </c>
      <c r="M15" s="26" t="s">
        <v>24</v>
      </c>
      <c r="N15" s="26" t="s">
        <v>24</v>
      </c>
      <c r="O15" s="27" t="s">
        <v>24</v>
      </c>
      <c r="P15" s="26">
        <f>ROUND(49.7*(1-0.67),1)</f>
        <v>16.399999999999999</v>
      </c>
      <c r="Q15" s="36">
        <f t="shared" si="5"/>
        <v>7.4389148679999996E-3</v>
      </c>
    </row>
    <row r="16" spans="1:17" s="16" customFormat="1" ht="52.8" x14ac:dyDescent="0.25">
      <c r="A16" s="19" t="s">
        <v>19</v>
      </c>
      <c r="B16" s="22" t="s">
        <v>53</v>
      </c>
      <c r="C16" s="21" t="s">
        <v>53</v>
      </c>
      <c r="D16" s="29" t="s">
        <v>24</v>
      </c>
      <c r="E16" s="33" t="s">
        <v>24</v>
      </c>
      <c r="F16" s="22" t="s">
        <v>26</v>
      </c>
      <c r="G16" s="22" t="s">
        <v>70</v>
      </c>
      <c r="H16" s="18" t="s">
        <v>24</v>
      </c>
      <c r="I16" s="18" t="s">
        <v>24</v>
      </c>
      <c r="J16" s="27" t="s">
        <v>24</v>
      </c>
      <c r="K16" s="26">
        <f>ROUND(413*(1-0.47),1)</f>
        <v>218.9</v>
      </c>
      <c r="L16" s="36">
        <f t="shared" si="6"/>
        <v>9.9291369793000003E-2</v>
      </c>
      <c r="M16" s="26" t="s">
        <v>24</v>
      </c>
      <c r="N16" s="26" t="s">
        <v>24</v>
      </c>
      <c r="O16" s="27" t="s">
        <v>24</v>
      </c>
      <c r="P16" s="26">
        <f>ROUND(644*(1-0.67),1)</f>
        <v>212.5</v>
      </c>
      <c r="Q16" s="36">
        <f t="shared" si="5"/>
        <v>9.6388378624999993E-2</v>
      </c>
    </row>
    <row r="17" spans="1:17" s="16" customFormat="1" ht="52.8" x14ac:dyDescent="0.25">
      <c r="A17" s="19" t="s">
        <v>20</v>
      </c>
      <c r="B17" s="22" t="s">
        <v>54</v>
      </c>
      <c r="C17" s="21" t="s">
        <v>56</v>
      </c>
      <c r="D17" s="29">
        <v>1421153407.4000001</v>
      </c>
      <c r="E17" s="33">
        <f t="shared" ref="E17:E18" si="7">ROUND(D17*0.000022956841139,1)</f>
        <v>32625.200000000001</v>
      </c>
      <c r="F17" s="22" t="s">
        <v>26</v>
      </c>
      <c r="G17" s="22" t="s">
        <v>70</v>
      </c>
      <c r="H17" s="22">
        <f>'17'!D102</f>
        <v>9915.5623971862533</v>
      </c>
      <c r="I17" s="18">
        <f t="shared" ref="I17" si="8">H17*2.2046226218</f>
        <v>21860.073168706251</v>
      </c>
      <c r="J17" s="23">
        <v>0.06</v>
      </c>
      <c r="K17" s="18">
        <f>ROUND(I17*J17,1)</f>
        <v>1311.6</v>
      </c>
      <c r="L17" s="30">
        <f t="shared" si="6"/>
        <v>0.59493175249199992</v>
      </c>
      <c r="M17" s="18">
        <f>'17'!J102</f>
        <v>21562.523387680692</v>
      </c>
      <c r="N17" s="18">
        <f t="shared" ref="N17:N18" si="9">M17*2.2046226218</f>
        <v>47537.226843572425</v>
      </c>
      <c r="O17" s="23">
        <v>0.06</v>
      </c>
      <c r="P17" s="18">
        <f>ROUND(N17*O17,1)</f>
        <v>2852.2</v>
      </c>
      <c r="Q17" s="30">
        <f t="shared" si="5"/>
        <v>1.2937361577139999</v>
      </c>
    </row>
    <row r="18" spans="1:17" s="16" customFormat="1" ht="39.6" x14ac:dyDescent="0.25">
      <c r="A18" s="19" t="s">
        <v>21</v>
      </c>
      <c r="B18" s="17" t="s">
        <v>57</v>
      </c>
      <c r="C18" s="17" t="s">
        <v>42</v>
      </c>
      <c r="D18" s="32">
        <v>322916.02076799999</v>
      </c>
      <c r="E18" s="33">
        <f t="shared" si="7"/>
        <v>7.4</v>
      </c>
      <c r="F18" s="22" t="s">
        <v>26</v>
      </c>
      <c r="G18" s="22" t="s">
        <v>69</v>
      </c>
      <c r="H18" s="22">
        <f>'18'!C4</f>
        <v>0.4674232406680997</v>
      </c>
      <c r="I18" s="18">
        <f t="shared" ref="I18" si="10">H18*2.2046226218</f>
        <v>1.0304918503319584</v>
      </c>
      <c r="J18" s="23">
        <v>0.155</v>
      </c>
      <c r="K18" s="18">
        <f>ROUND(I18*J18,1)</f>
        <v>0.2</v>
      </c>
      <c r="L18" s="30">
        <f t="shared" si="6"/>
        <v>9.0718473999999998E-5</v>
      </c>
      <c r="M18" s="35">
        <f>'18'!H4</f>
        <v>12.496943293830256</v>
      </c>
      <c r="N18" s="18">
        <f t="shared" si="9"/>
        <v>27.551043888929986</v>
      </c>
      <c r="O18" s="23">
        <v>0.1905</v>
      </c>
      <c r="P18" s="18">
        <f>ROUND(N18*O18,1)</f>
        <v>5.2</v>
      </c>
      <c r="Q18" s="30">
        <f t="shared" si="5"/>
        <v>2.3586803240000002E-3</v>
      </c>
    </row>
    <row r="19" spans="1:17" x14ac:dyDescent="0.25">
      <c r="J19" s="5" t="s">
        <v>5</v>
      </c>
      <c r="K19" s="6">
        <f>SUM(K2:K18)</f>
        <v>1749.1</v>
      </c>
      <c r="L19" s="31">
        <f>SUM(L2:L18)</f>
        <v>0.79337841436699996</v>
      </c>
      <c r="M19" s="6"/>
      <c r="N19" s="6"/>
      <c r="O19" s="6"/>
      <c r="P19" s="6">
        <f>SUM(P2:P18)</f>
        <v>5131.0999999999995</v>
      </c>
      <c r="Q19" s="31">
        <f>SUM(Q2:Q18)</f>
        <v>2.3274278097069994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"/>
  <sheetViews>
    <sheetView workbookViewId="0">
      <selection activeCell="D6" sqref="D6"/>
    </sheetView>
  </sheetViews>
  <sheetFormatPr defaultRowHeight="14.4" x14ac:dyDescent="0.3"/>
  <cols>
    <col min="1" max="1" width="14.44140625" bestFit="1" customWidth="1"/>
    <col min="2" max="2" width="10.33203125" bestFit="1" customWidth="1"/>
    <col min="5" max="5" width="5" bestFit="1" customWidth="1"/>
    <col min="6" max="6" width="10.44140625" bestFit="1" customWidth="1"/>
  </cols>
  <sheetData>
    <row r="1" spans="1:6" x14ac:dyDescent="0.3">
      <c r="A1" s="8" t="s">
        <v>25</v>
      </c>
    </row>
    <row r="2" spans="1:6" x14ac:dyDescent="0.3">
      <c r="B2" t="s">
        <v>6</v>
      </c>
      <c r="D2" t="s">
        <v>7</v>
      </c>
      <c r="F2" t="s">
        <v>8</v>
      </c>
    </row>
    <row r="3" spans="1:6" x14ac:dyDescent="0.3">
      <c r="A3" t="s">
        <v>9</v>
      </c>
      <c r="B3">
        <v>46</v>
      </c>
      <c r="C3" t="s">
        <v>10</v>
      </c>
      <c r="D3">
        <v>14</v>
      </c>
      <c r="E3" t="s">
        <v>10</v>
      </c>
    </row>
    <row r="4" spans="1:6" x14ac:dyDescent="0.3">
      <c r="A4" t="s">
        <v>11</v>
      </c>
      <c r="B4" s="10">
        <f>(ROUND(44.53+6.146*LN(B3)+0.145*(LN(B3)^2),1))/100</f>
        <v>0.70200000000000007</v>
      </c>
      <c r="C4" s="10"/>
      <c r="D4" s="10">
        <f>(ROUND(44.53+6.146*LN(D3)+0.145*(LN(D3)^2),1))/100</f>
        <v>0.61799999999999999</v>
      </c>
      <c r="E4" s="10"/>
      <c r="F4" s="10">
        <f>B4-D4</f>
        <v>8.4000000000000075E-2</v>
      </c>
    </row>
    <row r="5" spans="1:6" x14ac:dyDescent="0.3">
      <c r="A5" t="s">
        <v>13</v>
      </c>
      <c r="B5" s="9">
        <f>(ROUND((43.75*B3)/(4.38+B3),1))/100</f>
        <v>0.39899999999999997</v>
      </c>
      <c r="D5" s="9">
        <f>(ROUND((43.75*D3)/(4.38+D3),1))/100</f>
        <v>0.33299999999999996</v>
      </c>
      <c r="F5" s="10">
        <f>B5-D5</f>
        <v>6.6000000000000003E-2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1781C-54C6-475B-AE6C-3FEE652BC82E}">
  <dimension ref="A1:H4"/>
  <sheetViews>
    <sheetView workbookViewId="0">
      <selection activeCell="C2" sqref="C2:C4"/>
    </sheetView>
  </sheetViews>
  <sheetFormatPr defaultRowHeight="14.4" x14ac:dyDescent="0.3"/>
  <sheetData>
    <row r="1" spans="1:8" x14ac:dyDescent="0.3">
      <c r="A1" s="53" t="s">
        <v>71</v>
      </c>
      <c r="B1" s="53" t="s">
        <v>72</v>
      </c>
      <c r="C1" s="53" t="s">
        <v>73</v>
      </c>
      <c r="F1" s="38" t="s">
        <v>71</v>
      </c>
      <c r="G1" s="38" t="s">
        <v>72</v>
      </c>
      <c r="H1" s="38" t="s">
        <v>73</v>
      </c>
    </row>
    <row r="2" spans="1:8" x14ac:dyDescent="0.3">
      <c r="A2" s="54">
        <v>1</v>
      </c>
      <c r="B2" s="54">
        <v>6</v>
      </c>
      <c r="C2" s="55">
        <v>0.16199113394394665</v>
      </c>
      <c r="F2" s="39">
        <v>1</v>
      </c>
      <c r="G2" s="39">
        <v>6</v>
      </c>
      <c r="H2" s="40">
        <v>5.2518450587786543</v>
      </c>
    </row>
    <row r="3" spans="1:8" x14ac:dyDescent="0.3">
      <c r="A3" s="78">
        <v>1</v>
      </c>
      <c r="B3" s="78">
        <v>6</v>
      </c>
      <c r="C3" s="79">
        <v>1.9167149530085463E-2</v>
      </c>
      <c r="F3" s="68">
        <v>1</v>
      </c>
      <c r="G3" s="68">
        <v>6</v>
      </c>
      <c r="H3" s="69">
        <v>1.0346818483727305</v>
      </c>
    </row>
    <row r="4" spans="1:8" x14ac:dyDescent="0.3">
      <c r="C4">
        <f>SUM(C2:C3)</f>
        <v>0.18115828347403212</v>
      </c>
      <c r="H4">
        <f>SUM(H2:H3)</f>
        <v>6.2865269071513845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063CB-AAED-42DA-941D-9AD082881017}">
  <dimension ref="A1:H4"/>
  <sheetViews>
    <sheetView workbookViewId="0">
      <selection activeCell="C2" sqref="C2:C4"/>
    </sheetView>
  </sheetViews>
  <sheetFormatPr defaultRowHeight="14.4" x14ac:dyDescent="0.3"/>
  <sheetData>
    <row r="1" spans="1:8" x14ac:dyDescent="0.3">
      <c r="A1" s="56" t="s">
        <v>71</v>
      </c>
      <c r="B1" s="56" t="s">
        <v>72</v>
      </c>
      <c r="C1" s="56" t="s">
        <v>73</v>
      </c>
      <c r="F1" s="41" t="s">
        <v>71</v>
      </c>
      <c r="G1" s="41" t="s">
        <v>72</v>
      </c>
      <c r="H1" s="41" t="s">
        <v>73</v>
      </c>
    </row>
    <row r="2" spans="1:8" x14ac:dyDescent="0.3">
      <c r="A2" s="57">
        <v>1</v>
      </c>
      <c r="B2" s="57">
        <v>8</v>
      </c>
      <c r="C2" s="58">
        <v>0.32680371086641546</v>
      </c>
      <c r="F2" s="42">
        <v>1</v>
      </c>
      <c r="G2" s="42">
        <v>8</v>
      </c>
      <c r="H2" s="43">
        <v>15.299336825819003</v>
      </c>
    </row>
    <row r="3" spans="1:8" x14ac:dyDescent="0.3">
      <c r="A3" s="80">
        <v>1</v>
      </c>
      <c r="B3" s="80">
        <v>8</v>
      </c>
      <c r="C3" s="81">
        <v>3.9047096300981257E-2</v>
      </c>
      <c r="F3" s="70">
        <v>1</v>
      </c>
      <c r="G3" s="70">
        <v>8</v>
      </c>
      <c r="H3" s="71">
        <v>2.7126359090811651</v>
      </c>
    </row>
    <row r="4" spans="1:8" x14ac:dyDescent="0.3">
      <c r="C4">
        <f>SUM(C2:C3)</f>
        <v>0.36585080716739671</v>
      </c>
      <c r="H4">
        <f>SUM(H2:H3)</f>
        <v>18.011972734900169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C277F-A8CA-4C0B-A90F-0B3E2C3DB22F}">
  <dimension ref="A1:H4"/>
  <sheetViews>
    <sheetView workbookViewId="0">
      <selection activeCell="C2" sqref="C2:C4"/>
    </sheetView>
  </sheetViews>
  <sheetFormatPr defaultRowHeight="14.4" x14ac:dyDescent="0.3"/>
  <sheetData>
    <row r="1" spans="1:8" x14ac:dyDescent="0.3">
      <c r="A1" s="59" t="s">
        <v>71</v>
      </c>
      <c r="B1" s="59" t="s">
        <v>72</v>
      </c>
      <c r="C1" s="59" t="s">
        <v>73</v>
      </c>
      <c r="F1" s="44" t="s">
        <v>71</v>
      </c>
      <c r="G1" s="44" t="s">
        <v>72</v>
      </c>
      <c r="H1" s="44" t="s">
        <v>73</v>
      </c>
    </row>
    <row r="2" spans="1:8" x14ac:dyDescent="0.3">
      <c r="A2" s="60">
        <v>1</v>
      </c>
      <c r="B2" s="60">
        <v>15</v>
      </c>
      <c r="C2" s="61">
        <v>0</v>
      </c>
      <c r="F2" s="45">
        <v>1</v>
      </c>
      <c r="G2" s="45">
        <v>15</v>
      </c>
      <c r="H2" s="46">
        <v>0</v>
      </c>
    </row>
    <row r="3" spans="1:8" x14ac:dyDescent="0.3">
      <c r="A3" s="82">
        <v>1</v>
      </c>
      <c r="B3" s="82">
        <v>15</v>
      </c>
      <c r="C3" s="83">
        <v>3.0095975042055283</v>
      </c>
      <c r="F3" s="72">
        <v>1</v>
      </c>
      <c r="G3" s="72">
        <v>15</v>
      </c>
      <c r="H3" s="73">
        <v>4.2942100363816831</v>
      </c>
    </row>
    <row r="4" spans="1:8" x14ac:dyDescent="0.3">
      <c r="C4">
        <f>SUM(C2:C3)</f>
        <v>3.0095975042055283</v>
      </c>
      <c r="H4">
        <f>SUM(H2:H3)</f>
        <v>4.2942100363816831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DA290-3AE0-4F20-9E2D-367292B9C40B}">
  <dimension ref="A1:H4"/>
  <sheetViews>
    <sheetView workbookViewId="0">
      <selection activeCell="C2" sqref="C2:C4"/>
    </sheetView>
  </sheetViews>
  <sheetFormatPr defaultRowHeight="14.4" x14ac:dyDescent="0.3"/>
  <sheetData>
    <row r="1" spans="1:8" x14ac:dyDescent="0.3">
      <c r="A1" s="62" t="s">
        <v>71</v>
      </c>
      <c r="B1" s="62" t="s">
        <v>72</v>
      </c>
      <c r="C1" s="62" t="s">
        <v>73</v>
      </c>
      <c r="F1" s="47" t="s">
        <v>71</v>
      </c>
      <c r="G1" s="47" t="s">
        <v>72</v>
      </c>
      <c r="H1" s="47" t="s">
        <v>73</v>
      </c>
    </row>
    <row r="2" spans="1:8" x14ac:dyDescent="0.3">
      <c r="A2" s="63">
        <v>1</v>
      </c>
      <c r="B2" s="63">
        <v>1961</v>
      </c>
      <c r="C2" s="64">
        <v>48.06553473692518</v>
      </c>
      <c r="F2" s="48">
        <v>1</v>
      </c>
      <c r="G2" s="48">
        <v>1961</v>
      </c>
      <c r="H2" s="49">
        <v>2132.0793290116717</v>
      </c>
    </row>
    <row r="3" spans="1:8" x14ac:dyDescent="0.3">
      <c r="A3" s="84">
        <v>1</v>
      </c>
      <c r="B3" s="84">
        <v>1961</v>
      </c>
      <c r="C3" s="85">
        <v>239.89474894244023</v>
      </c>
      <c r="F3" s="74">
        <v>1</v>
      </c>
      <c r="G3" s="74">
        <v>1961</v>
      </c>
      <c r="H3" s="75">
        <v>1647.0670932189805</v>
      </c>
    </row>
    <row r="4" spans="1:8" x14ac:dyDescent="0.3">
      <c r="C4">
        <f>SUM(C2:C3)</f>
        <v>287.96028367936543</v>
      </c>
      <c r="H4">
        <f>SUM(H2:H3)</f>
        <v>3779.1464222306522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5A9B6-BB73-423D-B3D7-9A5BBADF6ED0}">
  <dimension ref="A1:H4"/>
  <sheetViews>
    <sheetView workbookViewId="0">
      <selection activeCell="C2" sqref="C2:C4"/>
    </sheetView>
  </sheetViews>
  <sheetFormatPr defaultRowHeight="14.4" x14ac:dyDescent="0.3"/>
  <sheetData>
    <row r="1" spans="1:8" x14ac:dyDescent="0.3">
      <c r="A1" s="65" t="s">
        <v>71</v>
      </c>
      <c r="B1" s="65" t="s">
        <v>72</v>
      </c>
      <c r="C1" s="65" t="s">
        <v>73</v>
      </c>
      <c r="F1" s="50" t="s">
        <v>71</v>
      </c>
      <c r="G1" s="50" t="s">
        <v>72</v>
      </c>
      <c r="H1" s="50" t="s">
        <v>73</v>
      </c>
    </row>
    <row r="2" spans="1:8" x14ac:dyDescent="0.3">
      <c r="A2" s="66">
        <v>1</v>
      </c>
      <c r="B2" s="66">
        <v>60</v>
      </c>
      <c r="C2" s="67">
        <v>1.9680924544310543</v>
      </c>
      <c r="F2" s="51">
        <v>1</v>
      </c>
      <c r="G2" s="51">
        <v>60</v>
      </c>
      <c r="H2" s="52">
        <v>134.12506029180918</v>
      </c>
    </row>
    <row r="3" spans="1:8" x14ac:dyDescent="0.3">
      <c r="A3" s="86">
        <v>1</v>
      </c>
      <c r="B3" s="86">
        <v>60</v>
      </c>
      <c r="C3" s="87">
        <v>1.2766281707596641</v>
      </c>
      <c r="F3" s="76">
        <v>1</v>
      </c>
      <c r="G3" s="76">
        <v>60</v>
      </c>
      <c r="H3" s="77">
        <v>17.170723797610489</v>
      </c>
    </row>
    <row r="4" spans="1:8" x14ac:dyDescent="0.3">
      <c r="C4">
        <f>SUM(C2:C3)</f>
        <v>3.2447206251907184</v>
      </c>
      <c r="H4">
        <f>SUM(H2:H3)</f>
        <v>151.29578408941967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64A59-98C2-44FE-8796-A5F612719360}">
  <dimension ref="A1:J102"/>
  <sheetViews>
    <sheetView topLeftCell="A86" workbookViewId="0">
      <selection activeCell="J2" sqref="J2:J102"/>
    </sheetView>
  </sheetViews>
  <sheetFormatPr defaultRowHeight="14.4" x14ac:dyDescent="0.3"/>
  <cols>
    <col min="1" max="1" width="7.33203125" bestFit="1" customWidth="1"/>
    <col min="2" max="2" width="10.44140625" bestFit="1" customWidth="1"/>
    <col min="3" max="3" width="8.6640625" bestFit="1" customWidth="1"/>
    <col min="4" max="4" width="13.33203125" bestFit="1" customWidth="1"/>
    <col min="7" max="7" width="7.33203125" bestFit="1" customWidth="1"/>
    <col min="8" max="8" width="10.44140625" bestFit="1" customWidth="1"/>
    <col min="9" max="9" width="8.6640625" bestFit="1" customWidth="1"/>
    <col min="10" max="10" width="13.44140625" bestFit="1" customWidth="1"/>
  </cols>
  <sheetData>
    <row r="1" spans="1:10" x14ac:dyDescent="0.3">
      <c r="A1" s="98" t="s">
        <v>76</v>
      </c>
      <c r="B1" s="98" t="s">
        <v>77</v>
      </c>
      <c r="C1" s="98" t="s">
        <v>78</v>
      </c>
      <c r="D1" s="98" t="s">
        <v>75</v>
      </c>
      <c r="G1" s="98" t="s">
        <v>76</v>
      </c>
      <c r="H1" s="98" t="s">
        <v>77</v>
      </c>
      <c r="I1" s="98" t="s">
        <v>78</v>
      </c>
      <c r="J1" s="98" t="s">
        <v>74</v>
      </c>
    </row>
    <row r="2" spans="1:10" x14ac:dyDescent="0.3">
      <c r="A2" s="99" t="s">
        <v>81</v>
      </c>
      <c r="B2" s="99" t="s">
        <v>82</v>
      </c>
      <c r="C2" s="99" t="s">
        <v>79</v>
      </c>
      <c r="D2" s="99">
        <v>10.110052212874447</v>
      </c>
      <c r="G2" s="99" t="s">
        <v>81</v>
      </c>
      <c r="H2" s="99" t="s">
        <v>82</v>
      </c>
      <c r="I2" s="99" t="s">
        <v>79</v>
      </c>
      <c r="J2" s="99">
        <v>10.110052212874447</v>
      </c>
    </row>
    <row r="3" spans="1:10" x14ac:dyDescent="0.3">
      <c r="A3" s="99" t="s">
        <v>81</v>
      </c>
      <c r="B3" s="99" t="s">
        <v>82</v>
      </c>
      <c r="C3" s="99" t="s">
        <v>79</v>
      </c>
      <c r="D3" s="99">
        <v>21.538411836675447</v>
      </c>
      <c r="G3" s="99" t="s">
        <v>81</v>
      </c>
      <c r="H3" s="99" t="s">
        <v>82</v>
      </c>
      <c r="I3" s="99" t="s">
        <v>79</v>
      </c>
      <c r="J3" s="99">
        <v>21.538411836675447</v>
      </c>
    </row>
    <row r="4" spans="1:10" x14ac:dyDescent="0.3">
      <c r="A4" s="99" t="s">
        <v>81</v>
      </c>
      <c r="B4" s="99" t="s">
        <v>80</v>
      </c>
      <c r="C4" s="99" t="s">
        <v>79</v>
      </c>
      <c r="D4" s="99">
        <v>9.3192822283683668E-2</v>
      </c>
      <c r="G4" s="99" t="s">
        <v>81</v>
      </c>
      <c r="H4" s="99" t="s">
        <v>82</v>
      </c>
      <c r="I4" s="99" t="s">
        <v>79</v>
      </c>
      <c r="J4" s="99">
        <v>4.9893368921632417</v>
      </c>
    </row>
    <row r="5" spans="1:10" x14ac:dyDescent="0.3">
      <c r="A5" s="99" t="s">
        <v>81</v>
      </c>
      <c r="B5" s="99" t="s">
        <v>82</v>
      </c>
      <c r="C5" s="99" t="s">
        <v>79</v>
      </c>
      <c r="D5" s="99">
        <v>4.9893368921632417</v>
      </c>
      <c r="G5" s="99" t="s">
        <v>81</v>
      </c>
      <c r="H5" s="99" t="s">
        <v>82</v>
      </c>
      <c r="I5" s="99" t="s">
        <v>79</v>
      </c>
      <c r="J5" s="99">
        <v>1.3791031991312797</v>
      </c>
    </row>
    <row r="6" spans="1:10" x14ac:dyDescent="0.3">
      <c r="A6" s="99" t="s">
        <v>81</v>
      </c>
      <c r="B6" s="99" t="s">
        <v>82</v>
      </c>
      <c r="C6" s="99" t="s">
        <v>79</v>
      </c>
      <c r="D6" s="99">
        <v>1.3791031991312797</v>
      </c>
      <c r="G6" s="99" t="s">
        <v>81</v>
      </c>
      <c r="H6" s="99" t="s">
        <v>82</v>
      </c>
      <c r="I6" s="99" t="s">
        <v>79</v>
      </c>
      <c r="J6" s="99">
        <v>5.0764022738890597</v>
      </c>
    </row>
    <row r="7" spans="1:10" x14ac:dyDescent="0.3">
      <c r="A7" s="99" t="s">
        <v>81</v>
      </c>
      <c r="B7" s="99" t="s">
        <v>82</v>
      </c>
      <c r="C7" s="99" t="s">
        <v>79</v>
      </c>
      <c r="D7" s="99">
        <v>5.0764022738890597</v>
      </c>
      <c r="G7" s="99" t="s">
        <v>81</v>
      </c>
      <c r="H7" s="99" t="s">
        <v>82</v>
      </c>
      <c r="I7" s="99" t="s">
        <v>79</v>
      </c>
      <c r="J7" s="99">
        <v>7.4635090520823129</v>
      </c>
    </row>
    <row r="8" spans="1:10" x14ac:dyDescent="0.3">
      <c r="A8" s="99" t="s">
        <v>81</v>
      </c>
      <c r="B8" s="99" t="s">
        <v>80</v>
      </c>
      <c r="C8" s="99" t="s">
        <v>79</v>
      </c>
      <c r="D8" s="99">
        <v>8.1448643180052585E-2</v>
      </c>
      <c r="G8" s="99" t="s">
        <v>81</v>
      </c>
      <c r="H8" s="99" t="s">
        <v>82</v>
      </c>
      <c r="I8" s="99" t="s">
        <v>79</v>
      </c>
      <c r="J8" s="99">
        <v>2916.7202170130722</v>
      </c>
    </row>
    <row r="9" spans="1:10" x14ac:dyDescent="0.3">
      <c r="A9" s="99" t="s">
        <v>81</v>
      </c>
      <c r="B9" s="99" t="s">
        <v>82</v>
      </c>
      <c r="C9" s="99" t="s">
        <v>79</v>
      </c>
      <c r="D9" s="99">
        <v>7.4635090520823129</v>
      </c>
      <c r="G9" s="99" t="s">
        <v>81</v>
      </c>
      <c r="H9" s="99" t="s">
        <v>82</v>
      </c>
      <c r="I9" s="99" t="s">
        <v>79</v>
      </c>
      <c r="J9" s="99">
        <v>2904.7996250789442</v>
      </c>
    </row>
    <row r="10" spans="1:10" x14ac:dyDescent="0.3">
      <c r="A10" s="99" t="s">
        <v>81</v>
      </c>
      <c r="B10" s="99" t="s">
        <v>82</v>
      </c>
      <c r="C10" s="99" t="s">
        <v>79</v>
      </c>
      <c r="D10" s="99">
        <v>2916.7202170130722</v>
      </c>
      <c r="G10" s="99" t="s">
        <v>81</v>
      </c>
      <c r="H10" s="99" t="s">
        <v>82</v>
      </c>
      <c r="I10" s="99" t="s">
        <v>79</v>
      </c>
      <c r="J10" s="99">
        <v>3.8526112094349152</v>
      </c>
    </row>
    <row r="11" spans="1:10" x14ac:dyDescent="0.3">
      <c r="A11" s="99" t="s">
        <v>81</v>
      </c>
      <c r="B11" s="99" t="s">
        <v>82</v>
      </c>
      <c r="C11" s="99" t="s">
        <v>79</v>
      </c>
      <c r="D11" s="99">
        <v>2904.7996250789442</v>
      </c>
      <c r="G11" s="99" t="s">
        <v>81</v>
      </c>
      <c r="H11" s="99" t="s">
        <v>82</v>
      </c>
      <c r="I11" s="99" t="s">
        <v>79</v>
      </c>
      <c r="J11" s="99">
        <v>155.41368336185749</v>
      </c>
    </row>
    <row r="12" spans="1:10" x14ac:dyDescent="0.3">
      <c r="A12" s="99" t="s">
        <v>81</v>
      </c>
      <c r="B12" s="99" t="s">
        <v>80</v>
      </c>
      <c r="C12" s="99" t="s">
        <v>79</v>
      </c>
      <c r="D12" s="99">
        <v>0.11987651124012287</v>
      </c>
      <c r="G12" s="99" t="s">
        <v>81</v>
      </c>
      <c r="H12" s="99" t="s">
        <v>82</v>
      </c>
      <c r="I12" s="99" t="s">
        <v>79</v>
      </c>
      <c r="J12" s="99">
        <v>333.09502455579189</v>
      </c>
    </row>
    <row r="13" spans="1:10" x14ac:dyDescent="0.3">
      <c r="A13" s="99" t="s">
        <v>81</v>
      </c>
      <c r="B13" s="99" t="s">
        <v>82</v>
      </c>
      <c r="C13" s="99" t="s">
        <v>79</v>
      </c>
      <c r="D13" s="99">
        <v>3.8526112094349152</v>
      </c>
      <c r="G13" s="99" t="s">
        <v>81</v>
      </c>
      <c r="H13" s="99" t="s">
        <v>82</v>
      </c>
      <c r="I13" s="99" t="s">
        <v>79</v>
      </c>
      <c r="J13" s="99">
        <v>35.00257476623063</v>
      </c>
    </row>
    <row r="14" spans="1:10" x14ac:dyDescent="0.3">
      <c r="A14" s="99" t="s">
        <v>81</v>
      </c>
      <c r="B14" s="99" t="s">
        <v>80</v>
      </c>
      <c r="C14" s="99" t="s">
        <v>79</v>
      </c>
      <c r="D14" s="99">
        <v>0.13497037042223609</v>
      </c>
      <c r="G14" s="99" t="s">
        <v>81</v>
      </c>
      <c r="H14" s="99" t="s">
        <v>82</v>
      </c>
      <c r="I14" s="99" t="s">
        <v>79</v>
      </c>
      <c r="J14" s="99">
        <v>0.83363493603733863</v>
      </c>
    </row>
    <row r="15" spans="1:10" x14ac:dyDescent="0.3">
      <c r="A15" s="99" t="s">
        <v>81</v>
      </c>
      <c r="B15" s="99" t="s">
        <v>82</v>
      </c>
      <c r="C15" s="99" t="s">
        <v>79</v>
      </c>
      <c r="D15" s="99">
        <v>155.41368336185749</v>
      </c>
      <c r="G15" s="99" t="s">
        <v>81</v>
      </c>
      <c r="H15" s="99" t="s">
        <v>82</v>
      </c>
      <c r="I15" s="99" t="s">
        <v>79</v>
      </c>
      <c r="J15" s="99">
        <v>111.34896657505311</v>
      </c>
    </row>
    <row r="16" spans="1:10" x14ac:dyDescent="0.3">
      <c r="A16" s="99" t="s">
        <v>81</v>
      </c>
      <c r="B16" s="99" t="s">
        <v>80</v>
      </c>
      <c r="C16" s="99" t="s">
        <v>79</v>
      </c>
      <c r="D16" s="99">
        <v>2.34840432005015E-2</v>
      </c>
      <c r="G16" s="99" t="s">
        <v>81</v>
      </c>
      <c r="H16" s="99" t="s">
        <v>82</v>
      </c>
      <c r="I16" s="99" t="s">
        <v>79</v>
      </c>
      <c r="J16" s="99">
        <v>74.248859041668396</v>
      </c>
    </row>
    <row r="17" spans="1:10" x14ac:dyDescent="0.3">
      <c r="A17" s="99" t="s">
        <v>81</v>
      </c>
      <c r="B17" s="99" t="s">
        <v>82</v>
      </c>
      <c r="C17" s="99" t="s">
        <v>79</v>
      </c>
      <c r="D17" s="99">
        <v>333.09502455579189</v>
      </c>
      <c r="G17" s="99" t="s">
        <v>81</v>
      </c>
      <c r="H17" s="99" t="s">
        <v>82</v>
      </c>
      <c r="I17" s="99" t="s">
        <v>79</v>
      </c>
      <c r="J17" s="99">
        <v>0.21212897125827082</v>
      </c>
    </row>
    <row r="18" spans="1:10" x14ac:dyDescent="0.3">
      <c r="A18" s="99" t="s">
        <v>81</v>
      </c>
      <c r="B18" s="99" t="s">
        <v>82</v>
      </c>
      <c r="C18" s="99" t="s">
        <v>79</v>
      </c>
      <c r="D18" s="99">
        <v>35.00257476623063</v>
      </c>
      <c r="G18" s="99" t="s">
        <v>81</v>
      </c>
      <c r="H18" s="99" t="s">
        <v>82</v>
      </c>
      <c r="I18" s="99" t="s">
        <v>79</v>
      </c>
      <c r="J18" s="99">
        <v>10.259600601195626</v>
      </c>
    </row>
    <row r="19" spans="1:10" x14ac:dyDescent="0.3">
      <c r="A19" s="99" t="s">
        <v>81</v>
      </c>
      <c r="B19" s="99" t="s">
        <v>82</v>
      </c>
      <c r="C19" s="99" t="s">
        <v>79</v>
      </c>
      <c r="D19" s="99">
        <v>0.83363493603733863</v>
      </c>
      <c r="G19" s="99" t="s">
        <v>81</v>
      </c>
      <c r="H19" s="99" t="s">
        <v>82</v>
      </c>
      <c r="I19" s="99" t="s">
        <v>79</v>
      </c>
      <c r="J19" s="99">
        <v>197.16675259493212</v>
      </c>
    </row>
    <row r="20" spans="1:10" x14ac:dyDescent="0.3">
      <c r="A20" s="99" t="s">
        <v>81</v>
      </c>
      <c r="B20" s="99" t="s">
        <v>82</v>
      </c>
      <c r="C20" s="99" t="s">
        <v>79</v>
      </c>
      <c r="D20" s="99">
        <v>111.34896657505311</v>
      </c>
      <c r="G20" s="99" t="s">
        <v>81</v>
      </c>
      <c r="H20" s="99" t="s">
        <v>82</v>
      </c>
      <c r="I20" s="99" t="s">
        <v>79</v>
      </c>
      <c r="J20" s="99">
        <v>8.5545395485650548</v>
      </c>
    </row>
    <row r="21" spans="1:10" x14ac:dyDescent="0.3">
      <c r="A21" s="99" t="s">
        <v>81</v>
      </c>
      <c r="B21" s="99" t="s">
        <v>82</v>
      </c>
      <c r="C21" s="99" t="s">
        <v>79</v>
      </c>
      <c r="D21" s="99">
        <v>74.248859041668396</v>
      </c>
      <c r="G21" s="99" t="s">
        <v>81</v>
      </c>
      <c r="H21" s="99" t="s">
        <v>82</v>
      </c>
      <c r="I21" s="99" t="s">
        <v>79</v>
      </c>
      <c r="J21" s="99">
        <v>1.5411179249117635E-2</v>
      </c>
    </row>
    <row r="22" spans="1:10" x14ac:dyDescent="0.3">
      <c r="A22" s="99" t="s">
        <v>81</v>
      </c>
      <c r="B22" s="99" t="s">
        <v>82</v>
      </c>
      <c r="C22" s="99" t="s">
        <v>79</v>
      </c>
      <c r="D22" s="99">
        <v>0.21212897125827082</v>
      </c>
      <c r="G22" s="99" t="s">
        <v>81</v>
      </c>
      <c r="H22" s="99" t="s">
        <v>82</v>
      </c>
      <c r="I22" s="99" t="s">
        <v>79</v>
      </c>
      <c r="J22" s="99">
        <v>11.67545185712269</v>
      </c>
    </row>
    <row r="23" spans="1:10" x14ac:dyDescent="0.3">
      <c r="A23" s="99" t="s">
        <v>81</v>
      </c>
      <c r="B23" s="99" t="s">
        <v>82</v>
      </c>
      <c r="C23" s="99" t="s">
        <v>79</v>
      </c>
      <c r="D23" s="99">
        <v>10.259600601195626</v>
      </c>
      <c r="G23" s="99" t="s">
        <v>81</v>
      </c>
      <c r="H23" s="99" t="s">
        <v>82</v>
      </c>
      <c r="I23" s="99" t="s">
        <v>79</v>
      </c>
      <c r="J23" s="99">
        <v>3.9717816586844132</v>
      </c>
    </row>
    <row r="24" spans="1:10" x14ac:dyDescent="0.3">
      <c r="A24" s="99" t="s">
        <v>81</v>
      </c>
      <c r="B24" s="99" t="s">
        <v>82</v>
      </c>
      <c r="C24" s="99" t="s">
        <v>79</v>
      </c>
      <c r="D24" s="99">
        <v>197.16675259493212</v>
      </c>
      <c r="G24" s="99" t="s">
        <v>81</v>
      </c>
      <c r="H24" s="99" t="s">
        <v>82</v>
      </c>
      <c r="I24" s="99" t="s">
        <v>79</v>
      </c>
      <c r="J24" s="99">
        <v>0.57286314683706108</v>
      </c>
    </row>
    <row r="25" spans="1:10" x14ac:dyDescent="0.3">
      <c r="A25" s="99" t="s">
        <v>81</v>
      </c>
      <c r="B25" s="99" t="s">
        <v>82</v>
      </c>
      <c r="C25" s="99" t="s">
        <v>79</v>
      </c>
      <c r="D25" s="99">
        <v>8.5545395485650548</v>
      </c>
      <c r="G25" s="99" t="s">
        <v>81</v>
      </c>
      <c r="H25" s="99" t="s">
        <v>82</v>
      </c>
      <c r="I25" s="99" t="s">
        <v>79</v>
      </c>
      <c r="J25" s="99">
        <v>46.893886088065393</v>
      </c>
    </row>
    <row r="26" spans="1:10" x14ac:dyDescent="0.3">
      <c r="A26" s="99" t="s">
        <v>81</v>
      </c>
      <c r="B26" s="99" t="s">
        <v>82</v>
      </c>
      <c r="C26" s="99" t="s">
        <v>79</v>
      </c>
      <c r="D26" s="99">
        <v>1.5411179249117635E-2</v>
      </c>
      <c r="G26" s="99" t="s">
        <v>81</v>
      </c>
      <c r="H26" s="99" t="s">
        <v>82</v>
      </c>
      <c r="I26" s="99" t="s">
        <v>79</v>
      </c>
      <c r="J26" s="99">
        <v>50.840965417765688</v>
      </c>
    </row>
    <row r="27" spans="1:10" x14ac:dyDescent="0.3">
      <c r="A27" s="99" t="s">
        <v>81</v>
      </c>
      <c r="B27" s="99" t="s">
        <v>82</v>
      </c>
      <c r="C27" s="99" t="s">
        <v>79</v>
      </c>
      <c r="D27" s="99">
        <v>11.67545185712269</v>
      </c>
      <c r="G27" s="99" t="s">
        <v>81</v>
      </c>
      <c r="H27" s="99" t="s">
        <v>82</v>
      </c>
      <c r="I27" s="99" t="s">
        <v>79</v>
      </c>
      <c r="J27" s="99">
        <v>5.4768604538893157</v>
      </c>
    </row>
    <row r="28" spans="1:10" x14ac:dyDescent="0.3">
      <c r="A28" s="99" t="s">
        <v>81</v>
      </c>
      <c r="B28" s="99" t="s">
        <v>82</v>
      </c>
      <c r="C28" s="99" t="s">
        <v>79</v>
      </c>
      <c r="D28" s="99">
        <v>3.9717816586844132</v>
      </c>
      <c r="G28" s="99" t="s">
        <v>81</v>
      </c>
      <c r="H28" s="99" t="s">
        <v>82</v>
      </c>
      <c r="I28" s="99" t="s">
        <v>79</v>
      </c>
      <c r="J28" s="99">
        <v>17.704436390946874</v>
      </c>
    </row>
    <row r="29" spans="1:10" x14ac:dyDescent="0.3">
      <c r="A29" s="99" t="s">
        <v>81</v>
      </c>
      <c r="B29" s="99" t="s">
        <v>82</v>
      </c>
      <c r="C29" s="99" t="s">
        <v>79</v>
      </c>
      <c r="D29" s="99">
        <v>0.57286314683706108</v>
      </c>
      <c r="G29" s="99" t="s">
        <v>81</v>
      </c>
      <c r="H29" s="99" t="s">
        <v>82</v>
      </c>
      <c r="I29" s="99" t="s">
        <v>79</v>
      </c>
      <c r="J29" s="99">
        <v>46.011214334828793</v>
      </c>
    </row>
    <row r="30" spans="1:10" x14ac:dyDescent="0.3">
      <c r="A30" s="99" t="s">
        <v>81</v>
      </c>
      <c r="B30" s="99" t="s">
        <v>82</v>
      </c>
      <c r="C30" s="99" t="s">
        <v>79</v>
      </c>
      <c r="D30" s="99">
        <v>46.893886088065393</v>
      </c>
      <c r="G30" s="99" t="s">
        <v>81</v>
      </c>
      <c r="H30" s="99" t="s">
        <v>82</v>
      </c>
      <c r="I30" s="99" t="s">
        <v>79</v>
      </c>
      <c r="J30" s="99">
        <v>0.24791058750257733</v>
      </c>
    </row>
    <row r="31" spans="1:10" x14ac:dyDescent="0.3">
      <c r="A31" s="99" t="s">
        <v>81</v>
      </c>
      <c r="B31" s="99" t="s">
        <v>82</v>
      </c>
      <c r="C31" s="99" t="s">
        <v>79</v>
      </c>
      <c r="D31" s="99">
        <v>50.840965417765688</v>
      </c>
      <c r="G31" s="99" t="s">
        <v>81</v>
      </c>
      <c r="H31" s="99" t="s">
        <v>82</v>
      </c>
      <c r="I31" s="99" t="s">
        <v>79</v>
      </c>
      <c r="J31" s="99">
        <v>2.2151262621758244E-3</v>
      </c>
    </row>
    <row r="32" spans="1:10" x14ac:dyDescent="0.3">
      <c r="A32" s="99" t="s">
        <v>81</v>
      </c>
      <c r="B32" s="99" t="s">
        <v>82</v>
      </c>
      <c r="C32" s="99" t="s">
        <v>79</v>
      </c>
      <c r="D32" s="99">
        <v>5.4768604538893157</v>
      </c>
      <c r="G32" s="99" t="s">
        <v>81</v>
      </c>
      <c r="H32" s="99" t="s">
        <v>82</v>
      </c>
      <c r="I32" s="99" t="s">
        <v>79</v>
      </c>
      <c r="J32" s="99">
        <v>52.20966800010045</v>
      </c>
    </row>
    <row r="33" spans="1:10" x14ac:dyDescent="0.3">
      <c r="A33" s="99" t="s">
        <v>81</v>
      </c>
      <c r="B33" s="99" t="s">
        <v>82</v>
      </c>
      <c r="C33" s="99" t="s">
        <v>79</v>
      </c>
      <c r="D33" s="99">
        <v>17.704436390946874</v>
      </c>
      <c r="G33" s="99" t="s">
        <v>81</v>
      </c>
      <c r="H33" s="99" t="s">
        <v>82</v>
      </c>
      <c r="I33" s="99" t="s">
        <v>79</v>
      </c>
      <c r="J33" s="99">
        <v>3.7793632155235415E-2</v>
      </c>
    </row>
    <row r="34" spans="1:10" x14ac:dyDescent="0.3">
      <c r="A34" s="99" t="s">
        <v>81</v>
      </c>
      <c r="B34" s="99" t="s">
        <v>82</v>
      </c>
      <c r="C34" s="99" t="s">
        <v>79</v>
      </c>
      <c r="D34" s="99">
        <v>46.011214334828793</v>
      </c>
      <c r="G34" s="99" t="s">
        <v>81</v>
      </c>
      <c r="H34" s="99" t="s">
        <v>82</v>
      </c>
      <c r="I34" s="99" t="s">
        <v>79</v>
      </c>
      <c r="J34" s="99">
        <v>115.24073300547899</v>
      </c>
    </row>
    <row r="35" spans="1:10" x14ac:dyDescent="0.3">
      <c r="A35" s="99" t="s">
        <v>81</v>
      </c>
      <c r="B35" s="99" t="s">
        <v>82</v>
      </c>
      <c r="C35" s="99" t="s">
        <v>79</v>
      </c>
      <c r="D35" s="99">
        <v>0.24791058750257733</v>
      </c>
      <c r="G35" s="99" t="s">
        <v>81</v>
      </c>
      <c r="H35" s="99" t="s">
        <v>82</v>
      </c>
      <c r="I35" s="99" t="s">
        <v>79</v>
      </c>
      <c r="J35" s="99">
        <v>7.3242597394172049E-2</v>
      </c>
    </row>
    <row r="36" spans="1:10" x14ac:dyDescent="0.3">
      <c r="A36" s="99" t="s">
        <v>81</v>
      </c>
      <c r="B36" s="99" t="s">
        <v>82</v>
      </c>
      <c r="C36" s="99" t="s">
        <v>79</v>
      </c>
      <c r="D36" s="99">
        <v>2.2151262621758244E-3</v>
      </c>
      <c r="G36" s="99" t="s">
        <v>81</v>
      </c>
      <c r="H36" s="99" t="s">
        <v>82</v>
      </c>
      <c r="I36" s="99" t="s">
        <v>79</v>
      </c>
      <c r="J36" s="99">
        <v>6.0334739307399179</v>
      </c>
    </row>
    <row r="37" spans="1:10" x14ac:dyDescent="0.3">
      <c r="A37" s="99" t="s">
        <v>81</v>
      </c>
      <c r="B37" s="99" t="s">
        <v>82</v>
      </c>
      <c r="C37" s="99" t="s">
        <v>79</v>
      </c>
      <c r="D37" s="99">
        <v>52.20966800010045</v>
      </c>
      <c r="G37" s="99" t="s">
        <v>81</v>
      </c>
      <c r="H37" s="99" t="s">
        <v>82</v>
      </c>
      <c r="I37" s="99" t="s">
        <v>79</v>
      </c>
      <c r="J37" s="99">
        <v>1.0132493246997003</v>
      </c>
    </row>
    <row r="38" spans="1:10" x14ac:dyDescent="0.3">
      <c r="A38" s="99" t="s">
        <v>81</v>
      </c>
      <c r="B38" s="99" t="s">
        <v>82</v>
      </c>
      <c r="C38" s="99" t="s">
        <v>79</v>
      </c>
      <c r="D38" s="99">
        <v>3.7793632155235415E-2</v>
      </c>
      <c r="G38" s="99" t="s">
        <v>81</v>
      </c>
      <c r="H38" s="99" t="s">
        <v>82</v>
      </c>
      <c r="I38" s="99" t="s">
        <v>79</v>
      </c>
      <c r="J38" s="99">
        <v>15.070664461579481</v>
      </c>
    </row>
    <row r="39" spans="1:10" x14ac:dyDescent="0.3">
      <c r="A39" s="99" t="s">
        <v>81</v>
      </c>
      <c r="B39" s="99" t="s">
        <v>82</v>
      </c>
      <c r="C39" s="99" t="s">
        <v>79</v>
      </c>
      <c r="D39" s="99">
        <v>115.24073300547899</v>
      </c>
      <c r="G39" s="99" t="s">
        <v>81</v>
      </c>
      <c r="H39" s="99" t="s">
        <v>82</v>
      </c>
      <c r="I39" s="99" t="s">
        <v>79</v>
      </c>
      <c r="J39" s="99">
        <v>1.945076188780088E-5</v>
      </c>
    </row>
    <row r="40" spans="1:10" x14ac:dyDescent="0.3">
      <c r="A40" s="99" t="s">
        <v>81</v>
      </c>
      <c r="B40" s="99" t="s">
        <v>82</v>
      </c>
      <c r="C40" s="99" t="s">
        <v>79</v>
      </c>
      <c r="D40" s="99">
        <v>7.3242597394172049E-2</v>
      </c>
      <c r="G40" s="99" t="s">
        <v>81</v>
      </c>
      <c r="H40" s="99" t="s">
        <v>82</v>
      </c>
      <c r="I40" s="99" t="s">
        <v>79</v>
      </c>
      <c r="J40" s="99">
        <v>85.773513614850572</v>
      </c>
    </row>
    <row r="41" spans="1:10" x14ac:dyDescent="0.3">
      <c r="A41" s="99" t="s">
        <v>81</v>
      </c>
      <c r="B41" s="99" t="s">
        <v>82</v>
      </c>
      <c r="C41" s="99" t="s">
        <v>79</v>
      </c>
      <c r="D41" s="99">
        <v>6.0334739307399179</v>
      </c>
      <c r="G41" s="99" t="s">
        <v>81</v>
      </c>
      <c r="H41" s="99" t="s">
        <v>82</v>
      </c>
      <c r="I41" s="99" t="s">
        <v>79</v>
      </c>
      <c r="J41" s="99">
        <v>0.63010274126288135</v>
      </c>
    </row>
    <row r="42" spans="1:10" x14ac:dyDescent="0.3">
      <c r="A42" s="99" t="s">
        <v>81</v>
      </c>
      <c r="B42" s="99" t="s">
        <v>82</v>
      </c>
      <c r="C42" s="99" t="s">
        <v>79</v>
      </c>
      <c r="D42" s="99">
        <v>1.0132493246997003</v>
      </c>
      <c r="G42" s="99" t="s">
        <v>81</v>
      </c>
      <c r="H42" s="99" t="s">
        <v>82</v>
      </c>
      <c r="I42" s="99" t="s">
        <v>79</v>
      </c>
      <c r="J42" s="99">
        <v>4.2072796806166997</v>
      </c>
    </row>
    <row r="43" spans="1:10" x14ac:dyDescent="0.3">
      <c r="A43" s="99" t="s">
        <v>81</v>
      </c>
      <c r="B43" s="99" t="s">
        <v>82</v>
      </c>
      <c r="C43" s="99" t="s">
        <v>79</v>
      </c>
      <c r="D43" s="99">
        <v>15.070664461579481</v>
      </c>
      <c r="G43" s="99" t="s">
        <v>81</v>
      </c>
      <c r="H43" s="99" t="s">
        <v>82</v>
      </c>
      <c r="I43" s="99" t="s">
        <v>79</v>
      </c>
      <c r="J43" s="99">
        <v>0</v>
      </c>
    </row>
    <row r="44" spans="1:10" x14ac:dyDescent="0.3">
      <c r="A44" s="99" t="s">
        <v>81</v>
      </c>
      <c r="B44" s="99" t="s">
        <v>82</v>
      </c>
      <c r="C44" s="99" t="s">
        <v>79</v>
      </c>
      <c r="D44" s="99">
        <v>1.945076188780088E-5</v>
      </c>
      <c r="G44" s="99" t="s">
        <v>81</v>
      </c>
      <c r="H44" s="99" t="s">
        <v>82</v>
      </c>
      <c r="I44" s="99" t="s">
        <v>79</v>
      </c>
      <c r="J44" s="99">
        <v>8.9988023890668085</v>
      </c>
    </row>
    <row r="45" spans="1:10" x14ac:dyDescent="0.3">
      <c r="A45" s="99" t="s">
        <v>81</v>
      </c>
      <c r="B45" s="99" t="s">
        <v>82</v>
      </c>
      <c r="C45" s="99" t="s">
        <v>79</v>
      </c>
      <c r="D45" s="99">
        <v>85.773513614850572</v>
      </c>
      <c r="G45" s="99" t="s">
        <v>81</v>
      </c>
      <c r="H45" s="99" t="s">
        <v>82</v>
      </c>
      <c r="I45" s="99" t="s">
        <v>79</v>
      </c>
      <c r="J45" s="99">
        <v>1.307324381299494E-2</v>
      </c>
    </row>
    <row r="46" spans="1:10" x14ac:dyDescent="0.3">
      <c r="A46" s="99" t="s">
        <v>81</v>
      </c>
      <c r="B46" s="99" t="s">
        <v>82</v>
      </c>
      <c r="C46" s="99" t="s">
        <v>79</v>
      </c>
      <c r="D46" s="99">
        <v>0.63010274126288135</v>
      </c>
      <c r="G46" s="99" t="s">
        <v>81</v>
      </c>
      <c r="H46" s="99" t="s">
        <v>82</v>
      </c>
      <c r="I46" s="99" t="s">
        <v>79</v>
      </c>
      <c r="J46" s="99">
        <v>1.1327335848908302</v>
      </c>
    </row>
    <row r="47" spans="1:10" x14ac:dyDescent="0.3">
      <c r="A47" s="99" t="s">
        <v>81</v>
      </c>
      <c r="B47" s="99" t="s">
        <v>82</v>
      </c>
      <c r="C47" s="99" t="s">
        <v>79</v>
      </c>
      <c r="D47" s="99">
        <v>4.2072796806166997</v>
      </c>
      <c r="G47" s="99" t="s">
        <v>81</v>
      </c>
      <c r="H47" s="99" t="s">
        <v>80</v>
      </c>
      <c r="I47" s="99" t="s">
        <v>79</v>
      </c>
      <c r="J47" s="99">
        <v>9.3192822283683668E-2</v>
      </c>
    </row>
    <row r="48" spans="1:10" x14ac:dyDescent="0.3">
      <c r="A48" s="99" t="s">
        <v>81</v>
      </c>
      <c r="B48" s="99" t="s">
        <v>82</v>
      </c>
      <c r="C48" s="99" t="s">
        <v>79</v>
      </c>
      <c r="D48" s="99">
        <v>0</v>
      </c>
      <c r="G48" s="99" t="s">
        <v>81</v>
      </c>
      <c r="H48" s="99" t="s">
        <v>80</v>
      </c>
      <c r="I48" s="99" t="s">
        <v>79</v>
      </c>
      <c r="J48" s="99">
        <v>8.1448643180052585E-2</v>
      </c>
    </row>
    <row r="49" spans="1:10" x14ac:dyDescent="0.3">
      <c r="A49" s="99" t="s">
        <v>81</v>
      </c>
      <c r="B49" s="99" t="s">
        <v>82</v>
      </c>
      <c r="C49" s="99" t="s">
        <v>79</v>
      </c>
      <c r="D49" s="99">
        <v>8.9988023890668085</v>
      </c>
      <c r="G49" s="99" t="s">
        <v>81</v>
      </c>
      <c r="H49" s="99" t="s">
        <v>80</v>
      </c>
      <c r="I49" s="99" t="s">
        <v>79</v>
      </c>
      <c r="J49" s="99">
        <v>0.11987651124012287</v>
      </c>
    </row>
    <row r="50" spans="1:10" x14ac:dyDescent="0.3">
      <c r="A50" s="99" t="s">
        <v>81</v>
      </c>
      <c r="B50" s="99" t="s">
        <v>82</v>
      </c>
      <c r="C50" s="99" t="s">
        <v>79</v>
      </c>
      <c r="D50" s="99">
        <v>1.307324381299494E-2</v>
      </c>
      <c r="G50" s="99" t="s">
        <v>81</v>
      </c>
      <c r="H50" s="99" t="s">
        <v>80</v>
      </c>
      <c r="I50" s="99" t="s">
        <v>79</v>
      </c>
      <c r="J50" s="99">
        <v>0.13497037042223609</v>
      </c>
    </row>
    <row r="51" spans="1:10" x14ac:dyDescent="0.3">
      <c r="A51" s="99" t="s">
        <v>81</v>
      </c>
      <c r="B51" s="99" t="s">
        <v>82</v>
      </c>
      <c r="C51" s="99" t="s">
        <v>79</v>
      </c>
      <c r="D51" s="99">
        <v>1.1327335848908302</v>
      </c>
      <c r="G51" s="99" t="s">
        <v>81</v>
      </c>
      <c r="H51" s="99" t="s">
        <v>80</v>
      </c>
      <c r="I51" s="99" t="s">
        <v>79</v>
      </c>
      <c r="J51" s="99">
        <v>2.34840432005015E-2</v>
      </c>
    </row>
    <row r="52" spans="1:10" x14ac:dyDescent="0.3">
      <c r="A52" s="100" t="s">
        <v>81</v>
      </c>
      <c r="B52" s="100" t="s">
        <v>82</v>
      </c>
      <c r="C52" s="100" t="s">
        <v>79</v>
      </c>
      <c r="D52" s="100">
        <v>9.6559880729505179E-2</v>
      </c>
      <c r="G52" s="100" t="s">
        <v>81</v>
      </c>
      <c r="H52" s="100" t="s">
        <v>82</v>
      </c>
      <c r="I52" s="100" t="s">
        <v>79</v>
      </c>
      <c r="J52" s="100">
        <v>0.85730773499041391</v>
      </c>
    </row>
    <row r="53" spans="1:10" x14ac:dyDescent="0.3">
      <c r="A53" s="100" t="s">
        <v>81</v>
      </c>
      <c r="B53" s="100" t="s">
        <v>82</v>
      </c>
      <c r="C53" s="100" t="s">
        <v>79</v>
      </c>
      <c r="D53" s="100">
        <v>4.3187416080071444</v>
      </c>
      <c r="G53" s="100" t="s">
        <v>81</v>
      </c>
      <c r="H53" s="100" t="s">
        <v>82</v>
      </c>
      <c r="I53" s="100" t="s">
        <v>79</v>
      </c>
      <c r="J53" s="100">
        <v>41.384275248474879</v>
      </c>
    </row>
    <row r="54" spans="1:10" x14ac:dyDescent="0.3">
      <c r="A54" s="100" t="s">
        <v>81</v>
      </c>
      <c r="B54" s="100" t="s">
        <v>80</v>
      </c>
      <c r="C54" s="100" t="s">
        <v>79</v>
      </c>
      <c r="D54" s="100">
        <v>2.1386056666391354E-3</v>
      </c>
      <c r="G54" s="100" t="s">
        <v>81</v>
      </c>
      <c r="H54" s="100" t="s">
        <v>80</v>
      </c>
      <c r="I54" s="100" t="s">
        <v>79</v>
      </c>
      <c r="J54" s="100">
        <v>7.9984790334827457E-2</v>
      </c>
    </row>
    <row r="55" spans="1:10" x14ac:dyDescent="0.3">
      <c r="A55" s="100" t="s">
        <v>81</v>
      </c>
      <c r="B55" s="100" t="s">
        <v>82</v>
      </c>
      <c r="C55" s="100" t="s">
        <v>79</v>
      </c>
      <c r="D55" s="100">
        <v>3.8611882460740869E-2</v>
      </c>
      <c r="G55" s="100" t="s">
        <v>81</v>
      </c>
      <c r="H55" s="100" t="s">
        <v>82</v>
      </c>
      <c r="I55" s="100" t="s">
        <v>79</v>
      </c>
      <c r="J55" s="100">
        <v>0.42762857822776501</v>
      </c>
    </row>
    <row r="56" spans="1:10" x14ac:dyDescent="0.3">
      <c r="A56" s="100" t="s">
        <v>81</v>
      </c>
      <c r="B56" s="100" t="s">
        <v>82</v>
      </c>
      <c r="C56" s="100" t="s">
        <v>79</v>
      </c>
      <c r="D56" s="100">
        <v>2.5888195734319931E-2</v>
      </c>
      <c r="G56" s="100" t="s">
        <v>81</v>
      </c>
      <c r="H56" s="100" t="s">
        <v>82</v>
      </c>
      <c r="I56" s="100" t="s">
        <v>79</v>
      </c>
      <c r="J56" s="100">
        <v>0.21332268136702504</v>
      </c>
    </row>
    <row r="57" spans="1:10" x14ac:dyDescent="0.3">
      <c r="A57" s="100" t="s">
        <v>81</v>
      </c>
      <c r="B57" s="100" t="s">
        <v>82</v>
      </c>
      <c r="C57" s="100" t="s">
        <v>79</v>
      </c>
      <c r="D57" s="100">
        <v>2.3214676658465025</v>
      </c>
      <c r="G57" s="100" t="s">
        <v>81</v>
      </c>
      <c r="H57" s="100" t="s">
        <v>82</v>
      </c>
      <c r="I57" s="100" t="s">
        <v>79</v>
      </c>
      <c r="J57" s="100">
        <v>10.00545259119807</v>
      </c>
    </row>
    <row r="58" spans="1:10" x14ac:dyDescent="0.3">
      <c r="A58" s="100" t="s">
        <v>81</v>
      </c>
      <c r="B58" s="100" t="s">
        <v>80</v>
      </c>
      <c r="C58" s="100" t="s">
        <v>79</v>
      </c>
      <c r="D58" s="100">
        <v>1.4289577080100029E-2</v>
      </c>
      <c r="G58" s="100" t="s">
        <v>81</v>
      </c>
      <c r="H58" s="100" t="s">
        <v>80</v>
      </c>
      <c r="I58" s="100" t="s">
        <v>79</v>
      </c>
      <c r="J58" s="100">
        <v>0.12695995219624204</v>
      </c>
    </row>
    <row r="59" spans="1:10" x14ac:dyDescent="0.3">
      <c r="A59" s="100" t="s">
        <v>81</v>
      </c>
      <c r="B59" s="100" t="s">
        <v>82</v>
      </c>
      <c r="C59" s="100" t="s">
        <v>79</v>
      </c>
      <c r="D59" s="100">
        <v>0.43455018599847045</v>
      </c>
      <c r="G59" s="100" t="s">
        <v>81</v>
      </c>
      <c r="H59" s="100" t="s">
        <v>82</v>
      </c>
      <c r="I59" s="100" t="s">
        <v>79</v>
      </c>
      <c r="J59" s="100">
        <v>5.4379513892069724</v>
      </c>
    </row>
    <row r="60" spans="1:10" x14ac:dyDescent="0.3">
      <c r="A60" s="100" t="s">
        <v>81</v>
      </c>
      <c r="B60" s="100" t="s">
        <v>82</v>
      </c>
      <c r="C60" s="100" t="s">
        <v>79</v>
      </c>
      <c r="D60" s="100">
        <v>20.880820368329175</v>
      </c>
      <c r="G60" s="100" t="s">
        <v>81</v>
      </c>
      <c r="H60" s="100" t="s">
        <v>82</v>
      </c>
      <c r="I60" s="100" t="s">
        <v>79</v>
      </c>
      <c r="J60" s="100">
        <v>209.05956962059247</v>
      </c>
    </row>
    <row r="61" spans="1:10" x14ac:dyDescent="0.3">
      <c r="A61" s="100" t="s">
        <v>81</v>
      </c>
      <c r="B61" s="100" t="s">
        <v>82</v>
      </c>
      <c r="C61" s="100" t="s">
        <v>79</v>
      </c>
      <c r="D61" s="100">
        <v>241.08483643221467</v>
      </c>
      <c r="G61" s="100" t="s">
        <v>81</v>
      </c>
      <c r="H61" s="100" t="s">
        <v>82</v>
      </c>
      <c r="I61" s="100" t="s">
        <v>79</v>
      </c>
      <c r="J61" s="100">
        <v>1718.5477701719115</v>
      </c>
    </row>
    <row r="62" spans="1:10" x14ac:dyDescent="0.3">
      <c r="A62" s="100" t="s">
        <v>81</v>
      </c>
      <c r="B62" s="100" t="s">
        <v>80</v>
      </c>
      <c r="C62" s="100" t="s">
        <v>79</v>
      </c>
      <c r="D62" s="100">
        <v>2.9314468548737985E-2</v>
      </c>
      <c r="G62" s="100" t="s">
        <v>81</v>
      </c>
      <c r="H62" s="100" t="s">
        <v>80</v>
      </c>
      <c r="I62" s="100" t="s">
        <v>79</v>
      </c>
      <c r="J62" s="100">
        <v>0.19962439637897819</v>
      </c>
    </row>
    <row r="63" spans="1:10" x14ac:dyDescent="0.3">
      <c r="A63" s="100" t="s">
        <v>81</v>
      </c>
      <c r="B63" s="100" t="s">
        <v>82</v>
      </c>
      <c r="C63" s="100" t="s">
        <v>79</v>
      </c>
      <c r="D63" s="100">
        <v>0.29216589398449611</v>
      </c>
      <c r="G63" s="100" t="s">
        <v>81</v>
      </c>
      <c r="H63" s="100" t="s">
        <v>82</v>
      </c>
      <c r="I63" s="100" t="s">
        <v>79</v>
      </c>
      <c r="J63" s="100">
        <v>4.3116320424864911</v>
      </c>
    </row>
    <row r="64" spans="1:10" x14ac:dyDescent="0.3">
      <c r="A64" s="100" t="s">
        <v>81</v>
      </c>
      <c r="B64" s="100" t="s">
        <v>80</v>
      </c>
      <c r="C64" s="100" t="s">
        <v>79</v>
      </c>
      <c r="D64" s="100">
        <v>4.6677512406092221E-3</v>
      </c>
      <c r="G64" s="100" t="s">
        <v>81</v>
      </c>
      <c r="H64" s="100" t="s">
        <v>80</v>
      </c>
      <c r="I64" s="100" t="s">
        <v>79</v>
      </c>
      <c r="J64" s="100">
        <v>0.12511941260751769</v>
      </c>
    </row>
    <row r="65" spans="1:10" x14ac:dyDescent="0.3">
      <c r="A65" s="100" t="s">
        <v>81</v>
      </c>
      <c r="B65" s="100" t="s">
        <v>82</v>
      </c>
      <c r="C65" s="100" t="s">
        <v>79</v>
      </c>
      <c r="D65" s="100">
        <v>6.1800454237902729</v>
      </c>
      <c r="G65" s="100" t="s">
        <v>81</v>
      </c>
      <c r="H65" s="100" t="s">
        <v>82</v>
      </c>
      <c r="I65" s="100" t="s">
        <v>79</v>
      </c>
      <c r="J65" s="100">
        <v>46.449647476492899</v>
      </c>
    </row>
    <row r="66" spans="1:10" x14ac:dyDescent="0.3">
      <c r="A66" s="100" t="s">
        <v>81</v>
      </c>
      <c r="B66" s="100" t="s">
        <v>80</v>
      </c>
      <c r="C66" s="100" t="s">
        <v>79</v>
      </c>
      <c r="D66" s="100">
        <v>8.0060360186055887E-3</v>
      </c>
      <c r="G66" s="100" t="s">
        <v>81</v>
      </c>
      <c r="H66" s="100" t="s">
        <v>80</v>
      </c>
      <c r="I66" s="100" t="s">
        <v>79</v>
      </c>
      <c r="J66" s="100">
        <v>5.8653345616428612E-2</v>
      </c>
    </row>
    <row r="67" spans="1:10" x14ac:dyDescent="0.3">
      <c r="A67" s="100" t="s">
        <v>81</v>
      </c>
      <c r="B67" s="100" t="s">
        <v>82</v>
      </c>
      <c r="C67" s="100" t="s">
        <v>79</v>
      </c>
      <c r="D67" s="100">
        <v>8.6090319938923336</v>
      </c>
      <c r="G67" s="100" t="s">
        <v>81</v>
      </c>
      <c r="H67" s="100" t="s">
        <v>82</v>
      </c>
      <c r="I67" s="100" t="s">
        <v>79</v>
      </c>
      <c r="J67" s="100">
        <v>99.037506975144851</v>
      </c>
    </row>
    <row r="68" spans="1:10" x14ac:dyDescent="0.3">
      <c r="A68" s="100" t="s">
        <v>81</v>
      </c>
      <c r="B68" s="100" t="s">
        <v>82</v>
      </c>
      <c r="C68" s="100" t="s">
        <v>79</v>
      </c>
      <c r="D68" s="100">
        <v>8.4087340407523854</v>
      </c>
      <c r="G68" s="100" t="s">
        <v>81</v>
      </c>
      <c r="H68" s="100" t="s">
        <v>82</v>
      </c>
      <c r="I68" s="100" t="s">
        <v>79</v>
      </c>
      <c r="J68" s="100">
        <v>74.41217077316189</v>
      </c>
    </row>
    <row r="69" spans="1:10" x14ac:dyDescent="0.3">
      <c r="A69" s="100" t="s">
        <v>81</v>
      </c>
      <c r="B69" s="100" t="s">
        <v>82</v>
      </c>
      <c r="C69" s="100" t="s">
        <v>79</v>
      </c>
      <c r="D69" s="100">
        <v>0.29817268921190748</v>
      </c>
      <c r="G69" s="100" t="s">
        <v>81</v>
      </c>
      <c r="H69" s="100" t="s">
        <v>82</v>
      </c>
      <c r="I69" s="100" t="s">
        <v>79</v>
      </c>
      <c r="J69" s="100">
        <v>5.1491923647176732</v>
      </c>
    </row>
    <row r="70" spans="1:10" x14ac:dyDescent="0.3">
      <c r="A70" s="100" t="s">
        <v>81</v>
      </c>
      <c r="B70" s="100" t="s">
        <v>82</v>
      </c>
      <c r="C70" s="100" t="s">
        <v>79</v>
      </c>
      <c r="D70" s="100">
        <v>115.58413885723246</v>
      </c>
      <c r="G70" s="100" t="s">
        <v>81</v>
      </c>
      <c r="H70" s="100" t="s">
        <v>82</v>
      </c>
      <c r="I70" s="100" t="s">
        <v>79</v>
      </c>
      <c r="J70" s="100">
        <v>656.39165062952441</v>
      </c>
    </row>
    <row r="71" spans="1:10" x14ac:dyDescent="0.3">
      <c r="A71" s="100" t="s">
        <v>81</v>
      </c>
      <c r="B71" s="100" t="s">
        <v>82</v>
      </c>
      <c r="C71" s="100" t="s">
        <v>79</v>
      </c>
      <c r="D71" s="100">
        <v>101.83515083110441</v>
      </c>
      <c r="G71" s="100" t="s">
        <v>81</v>
      </c>
      <c r="H71" s="100" t="s">
        <v>82</v>
      </c>
      <c r="I71" s="100" t="s">
        <v>79</v>
      </c>
      <c r="J71" s="100">
        <v>497.98281497535703</v>
      </c>
    </row>
    <row r="72" spans="1:10" x14ac:dyDescent="0.3">
      <c r="A72" s="100" t="s">
        <v>81</v>
      </c>
      <c r="B72" s="100" t="s">
        <v>82</v>
      </c>
      <c r="C72" s="100" t="s">
        <v>79</v>
      </c>
      <c r="D72" s="100">
        <v>1.4033442322752796</v>
      </c>
      <c r="G72" s="100" t="s">
        <v>81</v>
      </c>
      <c r="H72" s="100" t="s">
        <v>82</v>
      </c>
      <c r="I72" s="100" t="s">
        <v>79</v>
      </c>
      <c r="J72" s="100">
        <v>2.758227135289812</v>
      </c>
    </row>
    <row r="73" spans="1:10" x14ac:dyDescent="0.3">
      <c r="A73" s="100" t="s">
        <v>81</v>
      </c>
      <c r="B73" s="100" t="s">
        <v>82</v>
      </c>
      <c r="C73" s="100" t="s">
        <v>79</v>
      </c>
      <c r="D73" s="100">
        <v>2.502938605360054</v>
      </c>
      <c r="G73" s="100" t="s">
        <v>81</v>
      </c>
      <c r="H73" s="100" t="s">
        <v>82</v>
      </c>
      <c r="I73" s="100" t="s">
        <v>79</v>
      </c>
      <c r="J73" s="100">
        <v>21.50025936201957</v>
      </c>
    </row>
    <row r="74" spans="1:10" x14ac:dyDescent="0.3">
      <c r="A74" s="100" t="s">
        <v>81</v>
      </c>
      <c r="B74" s="100" t="s">
        <v>82</v>
      </c>
      <c r="C74" s="100" t="s">
        <v>79</v>
      </c>
      <c r="D74" s="100">
        <v>627.07069066557028</v>
      </c>
      <c r="G74" s="100" t="s">
        <v>81</v>
      </c>
      <c r="H74" s="100" t="s">
        <v>82</v>
      </c>
      <c r="I74" s="100" t="s">
        <v>79</v>
      </c>
      <c r="J74" s="100">
        <v>3270.1004257986169</v>
      </c>
    </row>
    <row r="75" spans="1:10" x14ac:dyDescent="0.3">
      <c r="A75" s="100" t="s">
        <v>81</v>
      </c>
      <c r="B75" s="100" t="s">
        <v>82</v>
      </c>
      <c r="C75" s="100" t="s">
        <v>79</v>
      </c>
      <c r="D75" s="100">
        <v>96.18375546251248</v>
      </c>
      <c r="G75" s="100" t="s">
        <v>81</v>
      </c>
      <c r="H75" s="100" t="s">
        <v>82</v>
      </c>
      <c r="I75" s="100" t="s">
        <v>79</v>
      </c>
      <c r="J75" s="100">
        <v>372.84188465484073</v>
      </c>
    </row>
    <row r="76" spans="1:10" x14ac:dyDescent="0.3">
      <c r="A76" s="100" t="s">
        <v>81</v>
      </c>
      <c r="B76" s="100" t="s">
        <v>82</v>
      </c>
      <c r="C76" s="100" t="s">
        <v>79</v>
      </c>
      <c r="D76" s="100">
        <v>0.6808938041646132</v>
      </c>
      <c r="G76" s="100" t="s">
        <v>81</v>
      </c>
      <c r="H76" s="100" t="s">
        <v>82</v>
      </c>
      <c r="I76" s="100" t="s">
        <v>79</v>
      </c>
      <c r="J76" s="100">
        <v>5.0703497699600772</v>
      </c>
    </row>
    <row r="77" spans="1:10" x14ac:dyDescent="0.3">
      <c r="A77" s="100" t="s">
        <v>81</v>
      </c>
      <c r="B77" s="100" t="s">
        <v>82</v>
      </c>
      <c r="C77" s="100" t="s">
        <v>79</v>
      </c>
      <c r="D77" s="100">
        <v>1.9566087754891524</v>
      </c>
      <c r="G77" s="100" t="s">
        <v>81</v>
      </c>
      <c r="H77" s="100" t="s">
        <v>82</v>
      </c>
      <c r="I77" s="100" t="s">
        <v>79</v>
      </c>
      <c r="J77" s="100">
        <v>5.9662893953106675</v>
      </c>
    </row>
    <row r="78" spans="1:10" x14ac:dyDescent="0.3">
      <c r="A78" s="100" t="s">
        <v>81</v>
      </c>
      <c r="B78" s="100" t="s">
        <v>82</v>
      </c>
      <c r="C78" s="100" t="s">
        <v>79</v>
      </c>
      <c r="D78" s="100">
        <v>52.137985547523726</v>
      </c>
      <c r="G78" s="100" t="s">
        <v>81</v>
      </c>
      <c r="H78" s="100" t="s">
        <v>82</v>
      </c>
      <c r="I78" s="100" t="s">
        <v>79</v>
      </c>
      <c r="J78" s="100">
        <v>268.19576531745156</v>
      </c>
    </row>
    <row r="79" spans="1:10" x14ac:dyDescent="0.3">
      <c r="A79" s="100" t="s">
        <v>81</v>
      </c>
      <c r="B79" s="100" t="s">
        <v>82</v>
      </c>
      <c r="C79" s="100" t="s">
        <v>79</v>
      </c>
      <c r="D79" s="100">
        <v>13.085685403111794</v>
      </c>
      <c r="G79" s="100" t="s">
        <v>81</v>
      </c>
      <c r="H79" s="100" t="s">
        <v>82</v>
      </c>
      <c r="I79" s="100" t="s">
        <v>79</v>
      </c>
      <c r="J79" s="100">
        <v>48.471898908507157</v>
      </c>
    </row>
    <row r="80" spans="1:10" x14ac:dyDescent="0.3">
      <c r="A80" s="100" t="s">
        <v>81</v>
      </c>
      <c r="B80" s="100" t="s">
        <v>82</v>
      </c>
      <c r="C80" s="100" t="s">
        <v>79</v>
      </c>
      <c r="D80" s="100">
        <v>78.982732362330722</v>
      </c>
      <c r="G80" s="100" t="s">
        <v>81</v>
      </c>
      <c r="H80" s="100" t="s">
        <v>82</v>
      </c>
      <c r="I80" s="100" t="s">
        <v>79</v>
      </c>
      <c r="J80" s="100">
        <v>341.42247049490362</v>
      </c>
    </row>
    <row r="81" spans="1:10" x14ac:dyDescent="0.3">
      <c r="A81" s="100" t="s">
        <v>81</v>
      </c>
      <c r="B81" s="100" t="s">
        <v>82</v>
      </c>
      <c r="C81" s="100" t="s">
        <v>79</v>
      </c>
      <c r="D81" s="100">
        <v>47.067125358165832</v>
      </c>
      <c r="G81" s="100" t="s">
        <v>81</v>
      </c>
      <c r="H81" s="100" t="s">
        <v>82</v>
      </c>
      <c r="I81" s="100" t="s">
        <v>79</v>
      </c>
      <c r="J81" s="100">
        <v>251.95388409684134</v>
      </c>
    </row>
    <row r="82" spans="1:10" x14ac:dyDescent="0.3">
      <c r="A82" s="100" t="s">
        <v>81</v>
      </c>
      <c r="B82" s="100" t="s">
        <v>82</v>
      </c>
      <c r="C82" s="100" t="s">
        <v>79</v>
      </c>
      <c r="D82" s="100">
        <v>32.050700018976514</v>
      </c>
      <c r="G82" s="100" t="s">
        <v>81</v>
      </c>
      <c r="H82" s="100" t="s">
        <v>82</v>
      </c>
      <c r="I82" s="100" t="s">
        <v>79</v>
      </c>
      <c r="J82" s="100">
        <v>164.67777031223127</v>
      </c>
    </row>
    <row r="83" spans="1:10" x14ac:dyDescent="0.3">
      <c r="A83" s="100" t="s">
        <v>81</v>
      </c>
      <c r="B83" s="100" t="s">
        <v>82</v>
      </c>
      <c r="C83" s="100" t="s">
        <v>79</v>
      </c>
      <c r="D83" s="100">
        <v>23.374421648113948</v>
      </c>
      <c r="G83" s="100" t="s">
        <v>81</v>
      </c>
      <c r="H83" s="100" t="s">
        <v>82</v>
      </c>
      <c r="I83" s="100" t="s">
        <v>79</v>
      </c>
      <c r="J83" s="100">
        <v>160.4900973262437</v>
      </c>
    </row>
    <row r="84" spans="1:10" x14ac:dyDescent="0.3">
      <c r="A84" s="100" t="s">
        <v>81</v>
      </c>
      <c r="B84" s="100" t="s">
        <v>82</v>
      </c>
      <c r="C84" s="100" t="s">
        <v>79</v>
      </c>
      <c r="D84" s="100">
        <v>44.311735817187405</v>
      </c>
      <c r="G84" s="100" t="s">
        <v>81</v>
      </c>
      <c r="H84" s="100" t="s">
        <v>82</v>
      </c>
      <c r="I84" s="100" t="s">
        <v>79</v>
      </c>
      <c r="J84" s="100">
        <v>296.33217784105011</v>
      </c>
    </row>
    <row r="85" spans="1:10" x14ac:dyDescent="0.3">
      <c r="A85" s="100" t="s">
        <v>81</v>
      </c>
      <c r="B85" s="100" t="s">
        <v>82</v>
      </c>
      <c r="C85" s="100" t="s">
        <v>79</v>
      </c>
      <c r="D85" s="100">
        <v>8.3499838311258165E-2</v>
      </c>
      <c r="G85" s="100" t="s">
        <v>81</v>
      </c>
      <c r="H85" s="100" t="s">
        <v>82</v>
      </c>
      <c r="I85" s="100" t="s">
        <v>79</v>
      </c>
      <c r="J85" s="100">
        <v>1.734285964572394</v>
      </c>
    </row>
    <row r="86" spans="1:10" x14ac:dyDescent="0.3">
      <c r="A86" s="100" t="s">
        <v>81</v>
      </c>
      <c r="B86" s="100" t="s">
        <v>82</v>
      </c>
      <c r="C86" s="100" t="s">
        <v>79</v>
      </c>
      <c r="D86" s="100">
        <v>2.6930356449730302</v>
      </c>
      <c r="G86" s="100" t="s">
        <v>81</v>
      </c>
      <c r="H86" s="100" t="s">
        <v>82</v>
      </c>
      <c r="I86" s="100" t="s">
        <v>79</v>
      </c>
      <c r="J86" s="100">
        <v>9.1858785189022676</v>
      </c>
    </row>
    <row r="87" spans="1:10" x14ac:dyDescent="0.3">
      <c r="A87" s="100" t="s">
        <v>81</v>
      </c>
      <c r="B87" s="100" t="s">
        <v>82</v>
      </c>
      <c r="C87" s="100" t="s">
        <v>79</v>
      </c>
      <c r="D87" s="100">
        <v>116.04901686263779</v>
      </c>
      <c r="G87" s="100" t="s">
        <v>81</v>
      </c>
      <c r="H87" s="100" t="s">
        <v>82</v>
      </c>
      <c r="I87" s="100" t="s">
        <v>79</v>
      </c>
      <c r="J87" s="100">
        <v>591.34158753945667</v>
      </c>
    </row>
    <row r="88" spans="1:10" x14ac:dyDescent="0.3">
      <c r="A88" s="100" t="s">
        <v>81</v>
      </c>
      <c r="B88" s="100" t="s">
        <v>82</v>
      </c>
      <c r="C88" s="100" t="s">
        <v>79</v>
      </c>
      <c r="D88" s="100">
        <v>0.22934099642908023</v>
      </c>
      <c r="G88" s="100" t="s">
        <v>81</v>
      </c>
      <c r="H88" s="100" t="s">
        <v>82</v>
      </c>
      <c r="I88" s="100" t="s">
        <v>79</v>
      </c>
      <c r="J88" s="100">
        <v>1.6682525229289806</v>
      </c>
    </row>
    <row r="89" spans="1:10" x14ac:dyDescent="0.3">
      <c r="A89" s="100" t="s">
        <v>81</v>
      </c>
      <c r="B89" s="100" t="s">
        <v>82</v>
      </c>
      <c r="C89" s="100" t="s">
        <v>79</v>
      </c>
      <c r="D89" s="100">
        <v>130.52475850800712</v>
      </c>
      <c r="G89" s="100" t="s">
        <v>81</v>
      </c>
      <c r="H89" s="100" t="s">
        <v>82</v>
      </c>
      <c r="I89" s="100" t="s">
        <v>79</v>
      </c>
      <c r="J89" s="100">
        <v>654.11818501710331</v>
      </c>
    </row>
    <row r="90" spans="1:10" x14ac:dyDescent="0.3">
      <c r="A90" s="100" t="s">
        <v>81</v>
      </c>
      <c r="B90" s="100" t="s">
        <v>82</v>
      </c>
      <c r="C90" s="100" t="s">
        <v>79</v>
      </c>
      <c r="D90" s="100">
        <v>0.1797908543578064</v>
      </c>
      <c r="G90" s="100" t="s">
        <v>81</v>
      </c>
      <c r="H90" s="100" t="s">
        <v>82</v>
      </c>
      <c r="I90" s="100" t="s">
        <v>79</v>
      </c>
      <c r="J90" s="100">
        <v>3.135305013873225</v>
      </c>
    </row>
    <row r="91" spans="1:10" x14ac:dyDescent="0.3">
      <c r="A91" s="100" t="s">
        <v>81</v>
      </c>
      <c r="B91" s="100" t="s">
        <v>82</v>
      </c>
      <c r="C91" s="100" t="s">
        <v>79</v>
      </c>
      <c r="D91" s="100">
        <v>5.887066242186191</v>
      </c>
      <c r="G91" s="100" t="s">
        <v>81</v>
      </c>
      <c r="H91" s="100" t="s">
        <v>82</v>
      </c>
      <c r="I91" s="100" t="s">
        <v>79</v>
      </c>
      <c r="J91" s="100">
        <v>28.640915688685205</v>
      </c>
    </row>
    <row r="92" spans="1:10" x14ac:dyDescent="0.3">
      <c r="A92" s="100" t="s">
        <v>81</v>
      </c>
      <c r="B92" s="100" t="s">
        <v>82</v>
      </c>
      <c r="C92" s="100" t="s">
        <v>79</v>
      </c>
      <c r="D92" s="100">
        <v>5.676015768046593</v>
      </c>
      <c r="G92" s="100" t="s">
        <v>81</v>
      </c>
      <c r="H92" s="100" t="s">
        <v>82</v>
      </c>
      <c r="I92" s="100" t="s">
        <v>79</v>
      </c>
      <c r="J92" s="100">
        <v>37.185254830493122</v>
      </c>
    </row>
    <row r="93" spans="1:10" x14ac:dyDescent="0.3">
      <c r="A93" s="100" t="s">
        <v>81</v>
      </c>
      <c r="B93" s="100" t="s">
        <v>82</v>
      </c>
      <c r="C93" s="100" t="s">
        <v>79</v>
      </c>
      <c r="D93" s="100">
        <v>741.89397014850022</v>
      </c>
      <c r="G93" s="100" t="s">
        <v>81</v>
      </c>
      <c r="H93" s="100" t="s">
        <v>82</v>
      </c>
      <c r="I93" s="100" t="s">
        <v>79</v>
      </c>
      <c r="J93" s="100">
        <v>3795.2463865826921</v>
      </c>
    </row>
    <row r="94" spans="1:10" x14ac:dyDescent="0.3">
      <c r="A94" s="100" t="s">
        <v>81</v>
      </c>
      <c r="B94" s="100" t="s">
        <v>82</v>
      </c>
      <c r="C94" s="100" t="s">
        <v>79</v>
      </c>
      <c r="D94" s="100">
        <v>0.61676710148812297</v>
      </c>
      <c r="G94" s="100" t="s">
        <v>81</v>
      </c>
      <c r="H94" s="100" t="s">
        <v>82</v>
      </c>
      <c r="I94" s="100" t="s">
        <v>79</v>
      </c>
      <c r="J94" s="100">
        <v>3.9211616992190725</v>
      </c>
    </row>
    <row r="95" spans="1:10" x14ac:dyDescent="0.3">
      <c r="A95" s="100" t="s">
        <v>81</v>
      </c>
      <c r="B95" s="100" t="s">
        <v>82</v>
      </c>
      <c r="C95" s="100" t="s">
        <v>79</v>
      </c>
      <c r="D95" s="100">
        <v>69.954532052324083</v>
      </c>
      <c r="G95" s="100" t="s">
        <v>81</v>
      </c>
      <c r="H95" s="100" t="s">
        <v>82</v>
      </c>
      <c r="I95" s="100" t="s">
        <v>79</v>
      </c>
      <c r="J95" s="100">
        <v>395.15466847604858</v>
      </c>
    </row>
    <row r="96" spans="1:10" x14ac:dyDescent="0.3">
      <c r="A96" s="100" t="s">
        <v>81</v>
      </c>
      <c r="B96" s="100" t="s">
        <v>82</v>
      </c>
      <c r="C96" s="100" t="s">
        <v>79</v>
      </c>
      <c r="D96" s="100">
        <v>8.1318564759764005</v>
      </c>
      <c r="G96" s="100" t="s">
        <v>81</v>
      </c>
      <c r="H96" s="100" t="s">
        <v>82</v>
      </c>
      <c r="I96" s="100" t="s">
        <v>79</v>
      </c>
      <c r="J96" s="100">
        <v>48.059584888490278</v>
      </c>
    </row>
    <row r="97" spans="1:10" x14ac:dyDescent="0.3">
      <c r="A97" s="100" t="s">
        <v>81</v>
      </c>
      <c r="B97" s="100" t="s">
        <v>82</v>
      </c>
      <c r="C97" s="100" t="s">
        <v>79</v>
      </c>
      <c r="D97" s="100">
        <v>0.40814179857014316</v>
      </c>
      <c r="G97" s="100" t="s">
        <v>81</v>
      </c>
      <c r="H97" s="100" t="s">
        <v>82</v>
      </c>
      <c r="I97" s="100" t="s">
        <v>79</v>
      </c>
      <c r="J97" s="100">
        <v>2.8834306701614492</v>
      </c>
    </row>
    <row r="98" spans="1:10" x14ac:dyDescent="0.3">
      <c r="A98" s="100" t="s">
        <v>81</v>
      </c>
      <c r="B98" s="100" t="s">
        <v>82</v>
      </c>
      <c r="C98" s="100" t="s">
        <v>79</v>
      </c>
      <c r="D98" s="100">
        <v>7.9634869998913453</v>
      </c>
      <c r="G98" s="100" t="s">
        <v>81</v>
      </c>
      <c r="H98" s="100" t="s">
        <v>82</v>
      </c>
      <c r="I98" s="100" t="s">
        <v>79</v>
      </c>
      <c r="J98" s="100">
        <v>49.734617265020681</v>
      </c>
    </row>
    <row r="99" spans="1:10" x14ac:dyDescent="0.3">
      <c r="A99" s="100" t="s">
        <v>81</v>
      </c>
      <c r="B99" s="100" t="s">
        <v>82</v>
      </c>
      <c r="C99" s="100" t="s">
        <v>79</v>
      </c>
      <c r="D99" s="100">
        <v>16.893990174156329</v>
      </c>
      <c r="G99" s="100" t="s">
        <v>81</v>
      </c>
      <c r="H99" s="100" t="s">
        <v>82</v>
      </c>
      <c r="I99" s="100" t="s">
        <v>79</v>
      </c>
      <c r="J99" s="100">
        <v>73.068193927510649</v>
      </c>
    </row>
    <row r="100" spans="1:10" x14ac:dyDescent="0.3">
      <c r="A100" s="100" t="s">
        <v>81</v>
      </c>
      <c r="B100" s="100" t="s">
        <v>82</v>
      </c>
      <c r="C100" s="100" t="s">
        <v>79</v>
      </c>
      <c r="D100" s="100">
        <v>7.3019775882209644E-4</v>
      </c>
      <c r="G100" s="100" t="s">
        <v>81</v>
      </c>
      <c r="H100" s="100" t="s">
        <v>82</v>
      </c>
      <c r="I100" s="100" t="s">
        <v>79</v>
      </c>
      <c r="J100" s="100">
        <v>4.3363789965436671E-3</v>
      </c>
    </row>
    <row r="101" spans="1:10" x14ac:dyDescent="0.3">
      <c r="A101" s="100" t="s">
        <v>81</v>
      </c>
      <c r="B101" s="100" t="s">
        <v>82</v>
      </c>
      <c r="C101" s="100" t="s">
        <v>79</v>
      </c>
      <c r="D101" s="100">
        <v>0.73509542426106167</v>
      </c>
      <c r="G101" s="100" t="s">
        <v>81</v>
      </c>
      <c r="H101" s="100" t="s">
        <v>82</v>
      </c>
      <c r="I101" s="100" t="s">
        <v>79</v>
      </c>
      <c r="J101" s="100">
        <v>11.036255123542151</v>
      </c>
    </row>
    <row r="102" spans="1:10" x14ac:dyDescent="0.3">
      <c r="D102">
        <f>SUM(D2:D101)</f>
        <v>9915.5623971862533</v>
      </c>
      <c r="J102">
        <f>SUM(J2:J101)</f>
        <v>21562.523387680692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55A05-DB31-4CF3-87D9-B34A5A03A498}">
  <dimension ref="A1:H4"/>
  <sheetViews>
    <sheetView workbookViewId="0">
      <selection activeCell="C2" sqref="C2:C4"/>
    </sheetView>
  </sheetViews>
  <sheetFormatPr defaultRowHeight="14.4" x14ac:dyDescent="0.3"/>
  <cols>
    <col min="1" max="1" width="10.21875" bestFit="1" customWidth="1"/>
    <col min="2" max="2" width="12.44140625" bestFit="1" customWidth="1"/>
    <col min="3" max="3" width="13.33203125" bestFit="1" customWidth="1"/>
    <col min="6" max="6" width="10.21875" bestFit="1" customWidth="1"/>
    <col min="7" max="7" width="12.44140625" bestFit="1" customWidth="1"/>
    <col min="8" max="8" width="13.44140625" bestFit="1" customWidth="1"/>
  </cols>
  <sheetData>
    <row r="1" spans="1:8" x14ac:dyDescent="0.3">
      <c r="A1" s="91" t="s">
        <v>71</v>
      </c>
      <c r="B1" s="91" t="s">
        <v>72</v>
      </c>
      <c r="C1" s="91" t="s">
        <v>75</v>
      </c>
      <c r="F1" s="88" t="s">
        <v>71</v>
      </c>
      <c r="G1" s="88" t="s">
        <v>72</v>
      </c>
      <c r="H1" s="88" t="s">
        <v>74</v>
      </c>
    </row>
    <row r="2" spans="1:8" x14ac:dyDescent="0.3">
      <c r="A2" s="92">
        <v>1</v>
      </c>
      <c r="B2" s="92">
        <v>6</v>
      </c>
      <c r="C2" s="93">
        <v>0.19196630981768398</v>
      </c>
      <c r="F2" s="89">
        <v>1</v>
      </c>
      <c r="G2" s="89">
        <v>6</v>
      </c>
      <c r="H2" s="90">
        <v>10.637280083161457</v>
      </c>
    </row>
    <row r="3" spans="1:8" x14ac:dyDescent="0.3">
      <c r="A3" s="96">
        <v>1</v>
      </c>
      <c r="B3" s="96">
        <v>6</v>
      </c>
      <c r="C3" s="97">
        <v>0.27545693085041573</v>
      </c>
      <c r="F3" s="94">
        <v>1</v>
      </c>
      <c r="G3" s="94">
        <v>6</v>
      </c>
      <c r="H3" s="95">
        <v>1.8596632106687987</v>
      </c>
    </row>
    <row r="4" spans="1:8" x14ac:dyDescent="0.3">
      <c r="C4">
        <f>SUM(C2:C3)</f>
        <v>0.4674232406680997</v>
      </c>
      <c r="H4">
        <f>SUM(H2:H3)</f>
        <v>12.496943293830256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Wet detention pond calcs</vt:lpstr>
      <vt:lpstr>01</vt:lpstr>
      <vt:lpstr>02</vt:lpstr>
      <vt:lpstr>03</vt:lpstr>
      <vt:lpstr>05</vt:lpstr>
      <vt:lpstr>06</vt:lpstr>
      <vt:lpstr>17</vt:lpstr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Frick, Marcy</cp:lastModifiedBy>
  <cp:lastPrinted>2013-09-17T19:48:47Z</cp:lastPrinted>
  <dcterms:created xsi:type="dcterms:W3CDTF">2013-09-17T19:44:31Z</dcterms:created>
  <dcterms:modified xsi:type="dcterms:W3CDTF">2020-01-10T17:54:08Z</dcterms:modified>
</cp:coreProperties>
</file>