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24226"/>
  <mc:AlternateContent xmlns:mc="http://schemas.openxmlformats.org/markup-compatibility/2006">
    <mc:Choice Requires="x15">
      <x15ac:absPath xmlns:x15ac="http://schemas.microsoft.com/office/spreadsheetml/2010/11/ac" url="C:\Users\marcy.frick\Documents\Projects\FDEP Facilitation\Lake Okeechobee\Project Collection\01 Credit\"/>
    </mc:Choice>
  </mc:AlternateContent>
  <xr:revisionPtr revIDLastSave="0" documentId="13_ncr:1_{573D5661-4434-4F55-9F46-6DB809AA5C2B}" xr6:coauthVersionLast="36" xr6:coauthVersionMax="36" xr10:uidLastSave="{00000000-0000-0000-0000-000000000000}"/>
  <bookViews>
    <workbookView xWindow="120" yWindow="120" windowWidth="15180" windowHeight="8832" tabRatio="845" xr2:uid="{00000000-000D-0000-FFFF-FFFF00000000}"/>
  </bookViews>
  <sheets>
    <sheet name="Summary" sheetId="1" r:id="rId1"/>
    <sheet name="Wet detention pond calcs" sheetId="2" r:id="rId2"/>
    <sheet name="Retention calcs" sheetId="3" r:id="rId3"/>
    <sheet name="01" sheetId="4" r:id="rId4"/>
    <sheet name="02" sheetId="5" r:id="rId5"/>
    <sheet name="03" sheetId="6" r:id="rId6"/>
    <sheet name="04" sheetId="7" r:id="rId7"/>
    <sheet name="05" sheetId="8" r:id="rId8"/>
    <sheet name="06" sheetId="9" r:id="rId9"/>
    <sheet name="07" sheetId="10" r:id="rId10"/>
    <sheet name="08" sheetId="11" r:id="rId11"/>
    <sheet name="09" sheetId="12" r:id="rId12"/>
    <sheet name="10" sheetId="13" r:id="rId13"/>
    <sheet name="11" sheetId="14" r:id="rId14"/>
    <sheet name="12" sheetId="15" r:id="rId15"/>
    <sheet name="13" sheetId="16" r:id="rId16"/>
    <sheet name="14" sheetId="17" r:id="rId17"/>
    <sheet name="15" sheetId="18" r:id="rId18"/>
    <sheet name="16" sheetId="19" r:id="rId19"/>
    <sheet name="17" sheetId="20" r:id="rId20"/>
    <sheet name="18" sheetId="21" r:id="rId21"/>
    <sheet name="19" sheetId="22" r:id="rId22"/>
    <sheet name="20" sheetId="23" r:id="rId23"/>
    <sheet name="21" sheetId="24" r:id="rId24"/>
    <sheet name="22" sheetId="25" r:id="rId25"/>
    <sheet name="23" sheetId="26" r:id="rId26"/>
    <sheet name="25" sheetId="31" r:id="rId27"/>
    <sheet name="28" sheetId="27" r:id="rId28"/>
    <sheet name="29" sheetId="28" r:id="rId29"/>
    <sheet name="30" sheetId="29" r:id="rId30"/>
    <sheet name="31" sheetId="30" r:id="rId31"/>
  </sheets>
  <definedNames>
    <definedName name="_xlnm.Print_Area" localSheetId="0">Summary!$A$1:$U$27</definedName>
    <definedName name="_xlnm.Print_Titles" localSheetId="0">Summary!$1:$1</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M26" i="1" l="1"/>
  <c r="H26" i="1"/>
  <c r="H300" i="31"/>
  <c r="C300" i="31"/>
  <c r="M32" i="1" l="1"/>
  <c r="H32" i="1"/>
  <c r="M31" i="1"/>
  <c r="H31" i="1"/>
  <c r="M30" i="1"/>
  <c r="H30" i="1"/>
  <c r="M29" i="1"/>
  <c r="H29" i="1"/>
  <c r="H4" i="30"/>
  <c r="H4" i="29"/>
  <c r="H4" i="28"/>
  <c r="H4" i="27"/>
  <c r="C4" i="30"/>
  <c r="C4" i="29"/>
  <c r="C4" i="28"/>
  <c r="C4" i="27"/>
  <c r="M24" i="1"/>
  <c r="H24" i="1"/>
  <c r="N23" i="1"/>
  <c r="H23" i="1"/>
  <c r="M22" i="1"/>
  <c r="H22" i="1"/>
  <c r="M21" i="1"/>
  <c r="H21" i="1"/>
  <c r="M20" i="1"/>
  <c r="H20" i="1"/>
  <c r="M19" i="1"/>
  <c r="H19" i="1"/>
  <c r="M18" i="1"/>
  <c r="H18" i="1"/>
  <c r="M17" i="1"/>
  <c r="H17" i="1"/>
  <c r="M16" i="1"/>
  <c r="H16" i="1"/>
  <c r="M15" i="1"/>
  <c r="H15" i="1"/>
  <c r="M14" i="1"/>
  <c r="H14" i="1"/>
  <c r="M13" i="1"/>
  <c r="H13" i="1"/>
  <c r="M12" i="1"/>
  <c r="H12" i="1"/>
  <c r="M11" i="1"/>
  <c r="H11" i="1"/>
  <c r="M10" i="1"/>
  <c r="H10" i="1"/>
  <c r="M9" i="1"/>
  <c r="H9" i="1"/>
  <c r="M8" i="1"/>
  <c r="H8" i="1"/>
  <c r="M7" i="1"/>
  <c r="H7" i="1"/>
  <c r="M6" i="1"/>
  <c r="H6" i="1"/>
  <c r="M5" i="1"/>
  <c r="N5" i="1" s="1"/>
  <c r="P5" i="1" s="1"/>
  <c r="I5" i="1"/>
  <c r="K5" i="1" s="1"/>
  <c r="H5" i="1"/>
  <c r="M4" i="1"/>
  <c r="H4" i="1"/>
  <c r="M3" i="1"/>
  <c r="H3" i="1"/>
  <c r="M2" i="1"/>
  <c r="H2" i="1"/>
  <c r="H4" i="26"/>
  <c r="H4" i="25"/>
  <c r="H4" i="24"/>
  <c r="H4" i="23"/>
  <c r="H4" i="22"/>
  <c r="H4" i="21"/>
  <c r="H4" i="20"/>
  <c r="H4" i="19"/>
  <c r="H4" i="18"/>
  <c r="H4" i="17"/>
  <c r="H4" i="16"/>
  <c r="H4" i="15"/>
  <c r="H4" i="14"/>
  <c r="H4" i="13"/>
  <c r="H4" i="12"/>
  <c r="H4" i="11"/>
  <c r="H4" i="10"/>
  <c r="H4" i="9"/>
  <c r="H4" i="8"/>
  <c r="H4" i="7"/>
  <c r="H4" i="6"/>
  <c r="H4" i="5"/>
  <c r="H4" i="4"/>
  <c r="C4" i="26"/>
  <c r="C4" i="25"/>
  <c r="C4" i="24"/>
  <c r="C4" i="23"/>
  <c r="C4" i="22"/>
  <c r="C4" i="21"/>
  <c r="C4" i="20"/>
  <c r="C4" i="19"/>
  <c r="C4" i="18"/>
  <c r="C4" i="17"/>
  <c r="C4" i="16"/>
  <c r="C4" i="15"/>
  <c r="C4" i="14"/>
  <c r="C4" i="13"/>
  <c r="C4" i="12"/>
  <c r="C4" i="11"/>
  <c r="C4" i="10"/>
  <c r="C4" i="9"/>
  <c r="C4" i="8"/>
  <c r="C4" i="7"/>
  <c r="C4" i="6"/>
  <c r="C4" i="5"/>
  <c r="C4" i="4"/>
  <c r="D318" i="2" l="1"/>
  <c r="B318" i="2"/>
  <c r="D310" i="2"/>
  <c r="B310" i="2"/>
  <c r="D326" i="2" l="1"/>
  <c r="B326" i="2"/>
  <c r="D327" i="2"/>
  <c r="D329" i="2" s="1"/>
  <c r="B327" i="2"/>
  <c r="B329" i="2" s="1"/>
  <c r="D319" i="2"/>
  <c r="D321" i="2" s="1"/>
  <c r="B319" i="2"/>
  <c r="B321" i="2" s="1"/>
  <c r="D311" i="2"/>
  <c r="D313" i="2" s="1"/>
  <c r="B311" i="2"/>
  <c r="B312" i="2" s="1"/>
  <c r="D312" i="2" l="1"/>
  <c r="F312" i="2" s="1"/>
  <c r="B313" i="2"/>
  <c r="F313" i="2" s="1"/>
  <c r="F329" i="2"/>
  <c r="D328" i="2"/>
  <c r="B328" i="2"/>
  <c r="F321" i="2"/>
  <c r="D320" i="2"/>
  <c r="B320" i="2"/>
  <c r="P37" i="1"/>
  <c r="P36" i="1"/>
  <c r="P35" i="1"/>
  <c r="P34" i="1"/>
  <c r="P33" i="1"/>
  <c r="K37" i="1"/>
  <c r="K36" i="1"/>
  <c r="K35" i="1"/>
  <c r="K34" i="1"/>
  <c r="K33" i="1"/>
  <c r="P28" i="1"/>
  <c r="K28" i="1"/>
  <c r="P27" i="1"/>
  <c r="K27" i="1"/>
  <c r="P25" i="1"/>
  <c r="K25" i="1"/>
  <c r="F320" i="2" l="1"/>
  <c r="F328" i="2"/>
  <c r="I32" i="1"/>
  <c r="K32" i="1" s="1"/>
  <c r="L32" i="1" s="1"/>
  <c r="I31" i="1"/>
  <c r="K31" i="1" s="1"/>
  <c r="L31" i="1" s="1"/>
  <c r="I30" i="1"/>
  <c r="K30" i="1" s="1"/>
  <c r="L30" i="1" s="1"/>
  <c r="I29" i="1"/>
  <c r="K29" i="1" s="1"/>
  <c r="L29" i="1" s="1"/>
  <c r="I26" i="1"/>
  <c r="I3" i="1"/>
  <c r="K3" i="1" s="1"/>
  <c r="L3" i="1" s="1"/>
  <c r="I4" i="1"/>
  <c r="K4" i="1" s="1"/>
  <c r="L4" i="1" s="1"/>
  <c r="L5" i="1"/>
  <c r="I6" i="1"/>
  <c r="I7" i="1"/>
  <c r="K7" i="1" s="1"/>
  <c r="L7" i="1" s="1"/>
  <c r="I8" i="1"/>
  <c r="K8" i="1" s="1"/>
  <c r="L8" i="1" s="1"/>
  <c r="I9" i="1"/>
  <c r="I10" i="1"/>
  <c r="I11" i="1"/>
  <c r="I12" i="1"/>
  <c r="I13" i="1"/>
  <c r="I14" i="1"/>
  <c r="I15" i="1"/>
  <c r="I16" i="1"/>
  <c r="K16" i="1" s="1"/>
  <c r="L16" i="1" s="1"/>
  <c r="I17" i="1"/>
  <c r="I18" i="1"/>
  <c r="I19" i="1"/>
  <c r="I20" i="1"/>
  <c r="I21" i="1"/>
  <c r="K21" i="1" s="1"/>
  <c r="L21" i="1" s="1"/>
  <c r="I22" i="1"/>
  <c r="K22" i="1" s="1"/>
  <c r="L22" i="1" s="1"/>
  <c r="I23" i="1"/>
  <c r="K23" i="1" s="1"/>
  <c r="L23" i="1" s="1"/>
  <c r="I24" i="1"/>
  <c r="K24" i="1" s="1"/>
  <c r="L24" i="1" s="1"/>
  <c r="I2" i="1"/>
  <c r="L25" i="1"/>
  <c r="L27" i="1"/>
  <c r="L28" i="1"/>
  <c r="L33" i="1"/>
  <c r="L34" i="1"/>
  <c r="L35" i="1"/>
  <c r="L36" i="1"/>
  <c r="L37" i="1"/>
  <c r="Q25" i="1"/>
  <c r="Q27" i="1"/>
  <c r="Q28" i="1"/>
  <c r="Q33" i="1"/>
  <c r="Q34" i="1"/>
  <c r="Q35" i="1"/>
  <c r="Q36" i="1"/>
  <c r="Q37" i="1"/>
  <c r="N32" i="1"/>
  <c r="P32" i="1" s="1"/>
  <c r="Q32" i="1" s="1"/>
  <c r="N31" i="1"/>
  <c r="P31" i="1" s="1"/>
  <c r="Q31" i="1" s="1"/>
  <c r="N30" i="1"/>
  <c r="P30" i="1" s="1"/>
  <c r="Q30" i="1" s="1"/>
  <c r="N29" i="1"/>
  <c r="P29" i="1" s="1"/>
  <c r="Q29" i="1" s="1"/>
  <c r="N26" i="1"/>
  <c r="N3" i="1"/>
  <c r="N4" i="1"/>
  <c r="N6" i="1"/>
  <c r="P6" i="1" s="1"/>
  <c r="Q6" i="1" s="1"/>
  <c r="N7" i="1"/>
  <c r="N8" i="1"/>
  <c r="N9" i="1"/>
  <c r="N10" i="1"/>
  <c r="N11" i="1"/>
  <c r="N12" i="1"/>
  <c r="N13" i="1"/>
  <c r="N14" i="1"/>
  <c r="N15" i="1"/>
  <c r="N16" i="1"/>
  <c r="N17" i="1"/>
  <c r="N18" i="1"/>
  <c r="N19" i="1"/>
  <c r="N20" i="1"/>
  <c r="N21" i="1"/>
  <c r="N22" i="1"/>
  <c r="N24" i="1"/>
  <c r="N2" i="1"/>
  <c r="E3" i="1"/>
  <c r="E4" i="1"/>
  <c r="E6" i="1"/>
  <c r="E7" i="1"/>
  <c r="E8" i="1"/>
  <c r="E9" i="1"/>
  <c r="E10" i="1"/>
  <c r="E11" i="1"/>
  <c r="E12" i="1"/>
  <c r="E13" i="1"/>
  <c r="E14" i="1"/>
  <c r="E15" i="1"/>
  <c r="E16" i="1"/>
  <c r="E17" i="1"/>
  <c r="E18" i="1"/>
  <c r="E19" i="1"/>
  <c r="E20" i="1"/>
  <c r="E21" i="1"/>
  <c r="E22" i="1"/>
  <c r="E23" i="1"/>
  <c r="E24" i="1"/>
  <c r="E26" i="1"/>
  <c r="E29" i="1"/>
  <c r="E30" i="1"/>
  <c r="E31" i="1"/>
  <c r="E32" i="1"/>
  <c r="E2" i="1"/>
  <c r="K20" i="1" l="1"/>
  <c r="L20" i="1" s="1"/>
  <c r="K19" i="1"/>
  <c r="L19" i="1" s="1"/>
  <c r="K18" i="1"/>
  <c r="L18" i="1" s="1"/>
  <c r="K17" i="1"/>
  <c r="L17" i="1" s="1"/>
  <c r="K13" i="1"/>
  <c r="L13" i="1" s="1"/>
  <c r="K12" i="1"/>
  <c r="L12" i="1" s="1"/>
  <c r="K11" i="1"/>
  <c r="L11" i="1" s="1"/>
  <c r="K10" i="1"/>
  <c r="L10" i="1" s="1"/>
  <c r="K9" i="1"/>
  <c r="L9" i="1" s="1"/>
  <c r="K6" i="1"/>
  <c r="L6" i="1" s="1"/>
  <c r="K26" i="1"/>
  <c r="L26" i="1" s="1"/>
  <c r="P26" i="1"/>
  <c r="Q26" i="1" s="1"/>
  <c r="P24" i="1" l="1"/>
  <c r="Q24" i="1" s="1"/>
  <c r="P23" i="1"/>
  <c r="Q23" i="1" s="1"/>
  <c r="P22" i="1"/>
  <c r="Q22" i="1" s="1"/>
  <c r="P21" i="1"/>
  <c r="Q21" i="1" s="1"/>
  <c r="P20" i="1"/>
  <c r="Q20" i="1" s="1"/>
  <c r="P19" i="1"/>
  <c r="Q19" i="1" s="1"/>
  <c r="P18" i="1"/>
  <c r="Q18" i="1" s="1"/>
  <c r="P17" i="1"/>
  <c r="Q17" i="1" s="1"/>
  <c r="P16" i="1"/>
  <c r="Q16" i="1" s="1"/>
  <c r="P8" i="1"/>
  <c r="Q8" i="1" s="1"/>
  <c r="P3" i="1"/>
  <c r="Q3" i="1" s="1"/>
  <c r="P7" i="1" l="1"/>
  <c r="Q7" i="1" s="1"/>
  <c r="P13" i="1"/>
  <c r="Q13" i="1" s="1"/>
  <c r="P11" i="1"/>
  <c r="Q11" i="1" s="1"/>
  <c r="P12" i="1"/>
  <c r="Q12" i="1" s="1"/>
  <c r="P10" i="1"/>
  <c r="Q10" i="1" s="1"/>
  <c r="P9" i="1"/>
  <c r="Q9" i="1" s="1"/>
  <c r="P4" i="1"/>
  <c r="Q4" i="1" s="1"/>
  <c r="Q5" i="1" l="1"/>
  <c r="D34" i="3"/>
  <c r="B34" i="3"/>
  <c r="F34" i="3" s="1"/>
  <c r="O15" i="1" s="1"/>
  <c r="P15" i="1" s="1"/>
  <c r="Q15" i="1" s="1"/>
  <c r="F33" i="3"/>
  <c r="D303" i="2"/>
  <c r="D305" i="2" s="1"/>
  <c r="B303" i="2"/>
  <c r="B305" i="2" s="1"/>
  <c r="J15" i="1" l="1"/>
  <c r="K15" i="1" s="1"/>
  <c r="L15" i="1" s="1"/>
  <c r="B304" i="2"/>
  <c r="D304" i="2"/>
  <c r="F305" i="2"/>
  <c r="D295" i="2"/>
  <c r="D296" i="2" s="1"/>
  <c r="B295" i="2"/>
  <c r="B296" i="2" s="1"/>
  <c r="F296" i="2" s="1"/>
  <c r="D287" i="2"/>
  <c r="D288" i="2" s="1"/>
  <c r="B287" i="2"/>
  <c r="B288" i="2" s="1"/>
  <c r="F288" i="2" s="1"/>
  <c r="D279" i="2"/>
  <c r="D281" i="2" s="1"/>
  <c r="B279" i="2"/>
  <c r="B280" i="2" s="1"/>
  <c r="D271" i="2"/>
  <c r="D272" i="2" s="1"/>
  <c r="B271" i="2"/>
  <c r="B272" i="2" s="1"/>
  <c r="F272" i="2" s="1"/>
  <c r="D263" i="2"/>
  <c r="D264" i="2" s="1"/>
  <c r="B263" i="2"/>
  <c r="B264" i="2" s="1"/>
  <c r="F264" i="2" s="1"/>
  <c r="D255" i="2"/>
  <c r="D256" i="2" s="1"/>
  <c r="B255" i="2"/>
  <c r="B256" i="2" s="1"/>
  <c r="F256" i="2" s="1"/>
  <c r="D247" i="2"/>
  <c r="D248" i="2" s="1"/>
  <c r="B247" i="2"/>
  <c r="B248" i="2" s="1"/>
  <c r="D239" i="2"/>
  <c r="D241" i="2" s="1"/>
  <c r="B239" i="2"/>
  <c r="B241" i="2" s="1"/>
  <c r="D231" i="2"/>
  <c r="D232" i="2" s="1"/>
  <c r="B231" i="2"/>
  <c r="B232" i="2" s="1"/>
  <c r="F232" i="2" s="1"/>
  <c r="D223" i="2"/>
  <c r="D224" i="2" s="1"/>
  <c r="B223" i="2"/>
  <c r="B224" i="2" s="1"/>
  <c r="D215" i="2"/>
  <c r="D216" i="2" s="1"/>
  <c r="B215" i="2"/>
  <c r="B216" i="2" s="1"/>
  <c r="F216" i="2" s="1"/>
  <c r="D207" i="2"/>
  <c r="D208" i="2" s="1"/>
  <c r="B207" i="2"/>
  <c r="B208" i="2" s="1"/>
  <c r="D199" i="2"/>
  <c r="D200" i="2" s="1"/>
  <c r="B199" i="2"/>
  <c r="B200" i="2" s="1"/>
  <c r="D191" i="2"/>
  <c r="D192" i="2" s="1"/>
  <c r="B191" i="2"/>
  <c r="B192" i="2" s="1"/>
  <c r="F192" i="2" s="1"/>
  <c r="D183" i="2"/>
  <c r="D184" i="2" s="1"/>
  <c r="B183" i="2"/>
  <c r="B184" i="2" s="1"/>
  <c r="D175" i="2"/>
  <c r="D176" i="2" s="1"/>
  <c r="B175" i="2"/>
  <c r="B176" i="2" s="1"/>
  <c r="D167" i="2"/>
  <c r="D168" i="2" s="1"/>
  <c r="B167" i="2"/>
  <c r="B168" i="2" s="1"/>
  <c r="F168" i="2" s="1"/>
  <c r="B135" i="2"/>
  <c r="B136" i="2" s="1"/>
  <c r="F136" i="2" s="1"/>
  <c r="D161" i="2"/>
  <c r="D159" i="2"/>
  <c r="D160" i="2" s="1"/>
  <c r="B159" i="2"/>
  <c r="B161" i="2" s="1"/>
  <c r="D151" i="2"/>
  <c r="D152" i="2" s="1"/>
  <c r="B151" i="2"/>
  <c r="B152" i="2" s="1"/>
  <c r="D143" i="2"/>
  <c r="D144" i="2" s="1"/>
  <c r="B143" i="2"/>
  <c r="B144" i="2" s="1"/>
  <c r="D135" i="2"/>
  <c r="D136" i="2" s="1"/>
  <c r="D127" i="2"/>
  <c r="D128" i="2" s="1"/>
  <c r="B127" i="2"/>
  <c r="B128" i="2" s="1"/>
  <c r="F128" i="2" s="1"/>
  <c r="D119" i="2"/>
  <c r="D120" i="2" s="1"/>
  <c r="B119" i="2"/>
  <c r="B120" i="2" s="1"/>
  <c r="F120" i="2" s="1"/>
  <c r="D111" i="2"/>
  <c r="D112" i="2" s="1"/>
  <c r="B111" i="2"/>
  <c r="B112" i="2" s="1"/>
  <c r="D29" i="3"/>
  <c r="B29" i="3"/>
  <c r="F28" i="3"/>
  <c r="B19" i="3"/>
  <c r="D19" i="3"/>
  <c r="F18" i="3"/>
  <c r="D24" i="3"/>
  <c r="F24" i="3" s="1"/>
  <c r="F23" i="3"/>
  <c r="D14" i="3"/>
  <c r="F14" i="3" s="1"/>
  <c r="F13" i="3"/>
  <c r="D105" i="2"/>
  <c r="B105" i="2"/>
  <c r="D104" i="2"/>
  <c r="B104" i="2"/>
  <c r="F104" i="2" s="1"/>
  <c r="F200" i="2" l="1"/>
  <c r="F176" i="2"/>
  <c r="F208" i="2"/>
  <c r="F304" i="2"/>
  <c r="F29" i="3"/>
  <c r="B240" i="2"/>
  <c r="F161" i="2"/>
  <c r="B160" i="2"/>
  <c r="F160" i="2" s="1"/>
  <c r="F152" i="2"/>
  <c r="F112" i="2"/>
  <c r="B297" i="2"/>
  <c r="D297" i="2"/>
  <c r="D280" i="2"/>
  <c r="F280" i="2" s="1"/>
  <c r="B289" i="2"/>
  <c r="D289" i="2"/>
  <c r="B281" i="2"/>
  <c r="F281" i="2" s="1"/>
  <c r="F248" i="2"/>
  <c r="B273" i="2"/>
  <c r="D273" i="2"/>
  <c r="B265" i="2"/>
  <c r="D265" i="2"/>
  <c r="B257" i="2"/>
  <c r="D257" i="2"/>
  <c r="B249" i="2"/>
  <c r="D249" i="2"/>
  <c r="D240" i="2"/>
  <c r="F241" i="2"/>
  <c r="F224" i="2"/>
  <c r="B233" i="2"/>
  <c r="D233" i="2"/>
  <c r="B225" i="2"/>
  <c r="D225" i="2"/>
  <c r="B217" i="2"/>
  <c r="D217" i="2"/>
  <c r="B209" i="2"/>
  <c r="D209" i="2"/>
  <c r="B201" i="2"/>
  <c r="D201" i="2"/>
  <c r="B193" i="2"/>
  <c r="D193" i="2"/>
  <c r="F184" i="2"/>
  <c r="B185" i="2"/>
  <c r="D185" i="2"/>
  <c r="B177" i="2"/>
  <c r="D177" i="2"/>
  <c r="B169" i="2"/>
  <c r="D169" i="2"/>
  <c r="F144" i="2"/>
  <c r="B153" i="2"/>
  <c r="D153" i="2"/>
  <c r="B145" i="2"/>
  <c r="D145" i="2"/>
  <c r="B137" i="2"/>
  <c r="D137" i="2"/>
  <c r="B129" i="2"/>
  <c r="D129" i="2"/>
  <c r="B121" i="2"/>
  <c r="D121" i="2"/>
  <c r="B113" i="2"/>
  <c r="D113" i="2"/>
  <c r="F105" i="2"/>
  <c r="F19" i="3"/>
  <c r="D99" i="2"/>
  <c r="B99" i="2"/>
  <c r="D98" i="2"/>
  <c r="B98" i="2"/>
  <c r="F98" i="2" s="1"/>
  <c r="D93" i="2"/>
  <c r="B93" i="2"/>
  <c r="D92" i="2"/>
  <c r="B92" i="2"/>
  <c r="F92" i="2" s="1"/>
  <c r="D87" i="2"/>
  <c r="B87" i="2"/>
  <c r="D86" i="2"/>
  <c r="F86" i="2" s="1"/>
  <c r="O14" i="1" s="1"/>
  <c r="P14" i="1" s="1"/>
  <c r="Q14" i="1" s="1"/>
  <c r="B86" i="2"/>
  <c r="D81" i="2"/>
  <c r="B81" i="2"/>
  <c r="D80" i="2"/>
  <c r="B80" i="2"/>
  <c r="D74" i="2"/>
  <c r="B75" i="2"/>
  <c r="D9" i="3"/>
  <c r="B9" i="3"/>
  <c r="F8" i="3"/>
  <c r="F4" i="3"/>
  <c r="D4" i="3"/>
  <c r="F3" i="3"/>
  <c r="F81" i="2" l="1"/>
  <c r="F87" i="2"/>
  <c r="J14" i="1" s="1"/>
  <c r="K14" i="1" s="1"/>
  <c r="L14" i="1" s="1"/>
  <c r="F99" i="2"/>
  <c r="F240" i="2"/>
  <c r="F297" i="2"/>
  <c r="F289" i="2"/>
  <c r="F273" i="2"/>
  <c r="F265" i="2"/>
  <c r="F257" i="2"/>
  <c r="F249" i="2"/>
  <c r="F233" i="2"/>
  <c r="F225" i="2"/>
  <c r="F217" i="2"/>
  <c r="F209" i="2"/>
  <c r="F201" i="2"/>
  <c r="F193" i="2"/>
  <c r="F185" i="2"/>
  <c r="F177" i="2"/>
  <c r="F169" i="2"/>
  <c r="F153" i="2"/>
  <c r="F145" i="2"/>
  <c r="F137" i="2"/>
  <c r="F129" i="2"/>
  <c r="F121" i="2"/>
  <c r="F113" i="2"/>
  <c r="F93" i="2"/>
  <c r="F9" i="3"/>
  <c r="F80" i="2"/>
  <c r="B74" i="2"/>
  <c r="F74" i="2" s="1"/>
  <c r="D75" i="2"/>
  <c r="F75" i="2" s="1"/>
  <c r="D36" i="2" l="1"/>
  <c r="B36" i="2"/>
  <c r="D67" i="2"/>
  <c r="D69" i="2" s="1"/>
  <c r="B67" i="2"/>
  <c r="B68" i="2" s="1"/>
  <c r="D59" i="2"/>
  <c r="D61" i="2" s="1"/>
  <c r="B59" i="2"/>
  <c r="B60" i="2" s="1"/>
  <c r="D51" i="2"/>
  <c r="D52" i="2" s="1"/>
  <c r="B51" i="2"/>
  <c r="B52" i="2" s="1"/>
  <c r="D43" i="2"/>
  <c r="D44" i="2" s="1"/>
  <c r="B43" i="2"/>
  <c r="B44" i="2" s="1"/>
  <c r="D29" i="2"/>
  <c r="D30" i="2" s="1"/>
  <c r="B29" i="2"/>
  <c r="B31" i="2" s="1"/>
  <c r="D31" i="2" l="1"/>
  <c r="D68" i="2"/>
  <c r="F68" i="2" s="1"/>
  <c r="F36" i="2"/>
  <c r="F31" i="2"/>
  <c r="B30" i="2"/>
  <c r="F30" i="2" s="1"/>
  <c r="D60" i="2"/>
  <c r="F60" i="2" s="1"/>
  <c r="B37" i="2"/>
  <c r="D37" i="2"/>
  <c r="B69" i="2"/>
  <c r="F69" i="2" s="1"/>
  <c r="B61" i="2"/>
  <c r="F61" i="2" s="1"/>
  <c r="F52" i="2"/>
  <c r="F44" i="2"/>
  <c r="B53" i="2"/>
  <c r="D53" i="2"/>
  <c r="B45" i="2"/>
  <c r="D45" i="2"/>
  <c r="D23" i="2"/>
  <c r="B23" i="2"/>
  <c r="D22" i="2"/>
  <c r="B22" i="2"/>
  <c r="D17" i="2"/>
  <c r="B17" i="2"/>
  <c r="D16" i="2"/>
  <c r="B16" i="2"/>
  <c r="F16" i="2" s="1"/>
  <c r="D11" i="2"/>
  <c r="B11" i="2"/>
  <c r="D10" i="2"/>
  <c r="B10" i="2"/>
  <c r="D5" i="2"/>
  <c r="B5" i="2"/>
  <c r="D4" i="2"/>
  <c r="B4" i="2"/>
  <c r="F4" i="2" s="1"/>
  <c r="O2" i="1" s="1"/>
  <c r="P2" i="1" s="1"/>
  <c r="P39" i="1" s="1"/>
  <c r="Q2" i="1" l="1"/>
  <c r="Q39" i="1" s="1"/>
  <c r="F22" i="2"/>
  <c r="F11" i="2"/>
  <c r="F23" i="2"/>
  <c r="F37" i="2"/>
  <c r="F10" i="2"/>
  <c r="F5" i="2"/>
  <c r="J2" i="1" s="1"/>
  <c r="K2" i="1" s="1"/>
  <c r="K39" i="1" s="1"/>
  <c r="F17" i="2"/>
  <c r="F53" i="2"/>
  <c r="F45" i="2"/>
  <c r="L2" i="1" l="1"/>
  <c r="L39" i="1" s="1"/>
</calcChain>
</file>

<file path=xl/sharedStrings.xml><?xml version="1.0" encoding="utf-8"?>
<sst xmlns="http://schemas.openxmlformats.org/spreadsheetml/2006/main" count="2351" uniqueCount="231">
  <si>
    <t>Project Name</t>
  </si>
  <si>
    <t>Project Number</t>
  </si>
  <si>
    <t>SR 15 (Hoffner Rd) From N of Lee Vista Blvd to W of SR 436</t>
  </si>
  <si>
    <t>N/A</t>
  </si>
  <si>
    <t>Project Type</t>
  </si>
  <si>
    <t>FDOT5-10</t>
  </si>
  <si>
    <t>FDOT5-11</t>
  </si>
  <si>
    <t>FDOT5-12</t>
  </si>
  <si>
    <t>FDOT5-13</t>
  </si>
  <si>
    <t>FDOT5-14</t>
  </si>
  <si>
    <t>FDOT5-15</t>
  </si>
  <si>
    <t>FDOT5-16</t>
  </si>
  <si>
    <t>FDOT5-17</t>
  </si>
  <si>
    <t>FDOT5-18</t>
  </si>
  <si>
    <t>FDOT5-19</t>
  </si>
  <si>
    <t>FDOT5-20</t>
  </si>
  <si>
    <t>FDOT5-21</t>
  </si>
  <si>
    <t>FDOT5-22</t>
  </si>
  <si>
    <t>FDOT5-23</t>
  </si>
  <si>
    <t>FDOT5-24</t>
  </si>
  <si>
    <t>FDOT5-25</t>
  </si>
  <si>
    <t>FDOT5-26</t>
  </si>
  <si>
    <t>FDOT5-27</t>
  </si>
  <si>
    <t>FDOT5-28</t>
  </si>
  <si>
    <t>FDOT5-29</t>
  </si>
  <si>
    <t>FDOT5-30</t>
  </si>
  <si>
    <t>FDOT5-31</t>
  </si>
  <si>
    <t>FDOT5-32</t>
  </si>
  <si>
    <t>FDOT5-33</t>
  </si>
  <si>
    <t>FDOT5-34</t>
  </si>
  <si>
    <t>FDOT5-35</t>
  </si>
  <si>
    <t>FDOT5-36</t>
  </si>
  <si>
    <t>TP Efficiency (%)</t>
  </si>
  <si>
    <t>TN Efficiency (%)</t>
  </si>
  <si>
    <t>Total Reduction</t>
  </si>
  <si>
    <t>Provided</t>
  </si>
  <si>
    <t>Required</t>
  </si>
  <si>
    <t>Difference</t>
  </si>
  <si>
    <t>residence time</t>
  </si>
  <si>
    <t>days</t>
  </si>
  <si>
    <t>TN efficiency</t>
  </si>
  <si>
    <t>TP efficiency</t>
  </si>
  <si>
    <t>2 to 4 lanes</t>
  </si>
  <si>
    <t>SR 15 Hoffner Ave From W of SR 436 to Conway Road (Pond 1)</t>
  </si>
  <si>
    <t>SR 15 Hoffner Ave From W of SR 436 to Conway Road (Pond 3)</t>
  </si>
  <si>
    <t>74.3%/9.7%</t>
  </si>
  <si>
    <t>41.5%/5.3%</t>
  </si>
  <si>
    <t>73.8%/9.2%</t>
  </si>
  <si>
    <t>41.3%/5.1%</t>
  </si>
  <si>
    <t>SR 15 Hoffner Ave From W of SR 436 to Conway Road (Pond 2)</t>
  </si>
  <si>
    <t>76.9%/12.3%</t>
  </si>
  <si>
    <t>42.1%/5.9%</t>
  </si>
  <si>
    <t>3 to 4 lanes</t>
  </si>
  <si>
    <t>239682-A SR 500 (US 17-92) From Aeronautical Drive to Budinger Avenue (Pond 1)</t>
  </si>
  <si>
    <t>238421-C Widening of SR 25 from Polk County Line to Boggy Marsh Road (WDA 3)</t>
  </si>
  <si>
    <t>239416-F Widening of SR500 from Osceola County Line to Taft-Vineland (Pond 2)</t>
  </si>
  <si>
    <t>239454-A Widening of SR436 from SR528 to SR552 (Pond A)</t>
  </si>
  <si>
    <t>239635-A New Bridge SR 500 at Reedy Creek (Pond 1)</t>
  </si>
  <si>
    <t>239635-B New Bridge SR 500 at Reedy Creek (Pond 2)</t>
  </si>
  <si>
    <t>239663-A Widening of SR 530 from SR 535 to Hoagland Boulevard (Pond 1)</t>
  </si>
  <si>
    <t>239663-B Widening of SR 530 from SR 535 to Hoagland Boulevard (Pond 2)</t>
  </si>
  <si>
    <t>239663-C Widening of SR 530 from SR 535 to Hoagland Boulevard (Pond 3)</t>
  </si>
  <si>
    <t>239663-D Widening of SR 530 from SR 535 to Hoagland Boulevard (Pond 4)</t>
  </si>
  <si>
    <t>239708-A SR500 in Osceola County (Pond 1)</t>
  </si>
  <si>
    <t>239708-B SR500 in Osceola County (Pond 2)</t>
  </si>
  <si>
    <t>239708-C SR500 in Osceola County (Pond 3)</t>
  </si>
  <si>
    <t>239708-D SR500 in Osceola County (Pond 4)</t>
  </si>
  <si>
    <t>239725-B Widening of SR500 from Osceola Parkway to Orange County Line (Pond 2)</t>
  </si>
  <si>
    <t>239725-A Widening of SR500 from Osceola Parkway to Orange County Line (Pond 1)</t>
  </si>
  <si>
    <t>242499-E Widening of SR400 from John Young Parkway to Seminole County Line (Pond 2 and 1400-1)</t>
  </si>
  <si>
    <t>242436-A SR400 Ramps at Gore Ave Retention Pits (Pond 1 and 2)</t>
  </si>
  <si>
    <t>242484-A Widening of SR400 from Universal Boulevard to South Street (Pond 4)</t>
  </si>
  <si>
    <t>242499-B Widening of SR400 from John Young Parkway to Seminole County Line (Pond 1100-1)</t>
  </si>
  <si>
    <t>242499-C Widening of SR400 from John Young Parkway to Seminole County Line (Pond 1200-1 and 1200-2)</t>
  </si>
  <si>
    <t>242499-D Widening of SR400 from John Young Parkway to Seminole County Line (Pond 1300-1)</t>
  </si>
  <si>
    <t>4 to 6 lanes</t>
  </si>
  <si>
    <t>SR 50 From Good Homes RD to Pine Hills RD (Pond 1A)</t>
  </si>
  <si>
    <t>volume</t>
  </si>
  <si>
    <t>runoff</t>
  </si>
  <si>
    <t>ac-ft</t>
  </si>
  <si>
    <t>1B</t>
  </si>
  <si>
    <t>SR 50 From Good Homes RD to Pine Hills RD (Pond 2)</t>
  </si>
  <si>
    <t>SR 50 From Good Homes RD to Pine Hills RD (Pond 3A)</t>
  </si>
  <si>
    <t>SR 50 From Good Homes RD to Pine Hills RD (Pond 3B)</t>
  </si>
  <si>
    <t>SR 50 From Good Homes RD to Pine Hills RD (Pond 4)</t>
  </si>
  <si>
    <t>SR 50 From Good Homes RD to Pine Hills RD (Pond 1B)</t>
  </si>
  <si>
    <t>retention</t>
  </si>
  <si>
    <t>inches</t>
  </si>
  <si>
    <t>efficiency</t>
  </si>
  <si>
    <t>238421-C Widening of SR 25 from Polk County Line to Boggy Marsh Road (WDA 5)</t>
  </si>
  <si>
    <t>239454-A Widening of SR436 from SR528 to SR552 (Pond B)</t>
  </si>
  <si>
    <t>81.6%/16.3%</t>
  </si>
  <si>
    <t>widening</t>
  </si>
  <si>
    <t>78.2%/13.6%</t>
  </si>
  <si>
    <t>42.4%/6.2%</t>
  </si>
  <si>
    <t>242499-D Widening of SR400 from John Young Parkway to Seminole County Line (Pond 1300-2)</t>
  </si>
  <si>
    <t>416518-A I-4 Braided Ramp from US 192 Interchange to Osceola Parkway Interchange (Pond SE-1)</t>
  </si>
  <si>
    <t>416518-A I-4 Braided Ramp from US 192 Interchange to Osceola Parkway Interchange (Pond SE-2)</t>
  </si>
  <si>
    <t>416518-A I-4 Braided Ramp from US 192 Interchange to Osceola Parkway Interchange (Pond SE-3)</t>
  </si>
  <si>
    <t>change exit lane</t>
  </si>
  <si>
    <t>239682-A SR 500 (US 17-92) From Aeronautical Drive to Budinger Avenue (Pond 2)</t>
  </si>
  <si>
    <t>239682-A SR 500 (US 17-92) From Aeronautical Drive to Budinger Avenue (Pond 3)</t>
  </si>
  <si>
    <t>239682-A SR 500 (US 17-92) From Aeronautical Drive to Budinger Avenue (Pond 4)</t>
  </si>
  <si>
    <t>418403-A and B SR 600 (US 17/92) JYP From S. Of Portage St. to N. of Vine Street (US192) (Ponds East and West)</t>
  </si>
  <si>
    <t>239416-F Widening of SR500 from Osceola County Line to Taft-Vineland (Pond 7)</t>
  </si>
  <si>
    <t>239416-F Widening of SR500 from Osceola County Line to Taft-Vineland (Pond 6A and 6B)</t>
  </si>
  <si>
    <t>239416-F Widening of SR500 from Osceola County Line to Taft-Vineland (Pond 4)</t>
  </si>
  <si>
    <t>239416-F Widening of SR500 from Osceola County Line to Taft-Vineland (Pond 3)</t>
  </si>
  <si>
    <t>new bridge</t>
  </si>
  <si>
    <t>405515-A and B SR400 Wet Detention Pond (Pond 1 and 2)</t>
  </si>
  <si>
    <t>two auxiliary lanes</t>
  </si>
  <si>
    <t>Acres Treated</t>
  </si>
  <si>
    <t>Sub-Watershed</t>
  </si>
  <si>
    <t>Upper Kissimmee</t>
  </si>
  <si>
    <t>Wet Detention Pond</t>
  </si>
  <si>
    <t>Dry Detention Pond</t>
  </si>
  <si>
    <t>84.3%/12.6%</t>
  </si>
  <si>
    <t>43.1%/2.5%</t>
  </si>
  <si>
    <t>64.1%/0.5%</t>
  </si>
  <si>
    <t>35.7%/0.4%</t>
  </si>
  <si>
    <t>64.2%/0.6%</t>
  </si>
  <si>
    <t>35.9%/0.6%</t>
  </si>
  <si>
    <t>76.5%/11.9%</t>
  </si>
  <si>
    <t>42.0%/5.8%</t>
  </si>
  <si>
    <t>76.1%/11.5%</t>
  </si>
  <si>
    <t>73.4%/8.8%</t>
  </si>
  <si>
    <t>41.2%/5.0%</t>
  </si>
  <si>
    <t>72.9%/8.3%</t>
  </si>
  <si>
    <t>41.1%/4.9%</t>
  </si>
  <si>
    <t>67.5%/0.9%</t>
  </si>
  <si>
    <t>38.4%/0.6%</t>
  </si>
  <si>
    <t>orange pond 2</t>
  </si>
  <si>
    <t>exist orange pond 7</t>
  </si>
  <si>
    <t>orange pond 4</t>
  </si>
  <si>
    <t>exist orange pond 3</t>
  </si>
  <si>
    <t>existing SR417 ponds</t>
  </si>
  <si>
    <t>64.3%/0.7%</t>
  </si>
  <si>
    <t>35.9%/0.7%</t>
  </si>
  <si>
    <t>67.9%/4.3%</t>
  </si>
  <si>
    <t>38.7%/3.4%</t>
  </si>
  <si>
    <t>82.7%/19.1%</t>
  </si>
  <si>
    <t>43.0%/7.7%</t>
  </si>
  <si>
    <t>74.5%/17.2%</t>
  </si>
  <si>
    <t>41.6%/14.3%</t>
  </si>
  <si>
    <t>81%/17.4%</t>
  </si>
  <si>
    <t>42.8%/7.5%</t>
  </si>
  <si>
    <t>68.3%/4.7%</t>
  </si>
  <si>
    <t>38.9%/3.6%</t>
  </si>
  <si>
    <t>Education and Outreach</t>
  </si>
  <si>
    <t>FDOT5-01</t>
  </si>
  <si>
    <t>FDOT5-02</t>
  </si>
  <si>
    <t>FDOT5-03</t>
  </si>
  <si>
    <t>FDOT5-04</t>
  </si>
  <si>
    <t>FDOT5-05</t>
  </si>
  <si>
    <t>FDOT5-06</t>
  </si>
  <si>
    <t>FDOT5-07</t>
  </si>
  <si>
    <t>FDOT5-08</t>
  </si>
  <si>
    <t>FDOT5-09</t>
  </si>
  <si>
    <t>239266-B State Road 15 (Hoffner Road) from north of Lee Vista Boulevard to west of State Road 436 (Pond 2)</t>
  </si>
  <si>
    <t>239266-A State Road 15 Hoffner Ave from east of State Road 436 to Conway Road (Pond 1)</t>
  </si>
  <si>
    <t>239266-C State Road 15 Hoffner Avenue from west of State 436 to Conway Road (Pond 3)</t>
  </si>
  <si>
    <t>239266-D State Road 15 Hoffner Avenue from west of State Road 436 to Conway Road (Pond 4)</t>
  </si>
  <si>
    <t>239535-F State Road 50 from Good Homes Road to Pine Hills Road (Pond 4)</t>
  </si>
  <si>
    <t>416518-A Interstate (I) 4 Braided Ramp from US 192 Interchange to Osceola Parkway Interchange (Pond SE-1)</t>
  </si>
  <si>
    <t>416518-B Interstate-4 Braided Ramp from US 192 Interchange to Osceola Parkway Interchange (Pond SE-2)</t>
  </si>
  <si>
    <t>239682-A State Road 500 (US 17-92) from Aeronautical Drive to Budinger Avenue (Pond 1)</t>
  </si>
  <si>
    <t>239682-B State Road 500 (US 17-92) from Aeronautical Drive to Budinger Avenue (Pond 2)</t>
  </si>
  <si>
    <t>239682-C State Road 500 (US 17-92) from Aeronautical Drive to Budinger Avenue (Pond 3)</t>
  </si>
  <si>
    <t>239682-D State Road 500 (US 17-92) from Aeronautical Drive to Budinger Avenue (Pond 4)</t>
  </si>
  <si>
    <t>418403-A, B State Road 600 (US 17/92) John Young Parkway (JYP) from south of Portage Street to north of Vine Street (US192) (Ponds East and West)</t>
  </si>
  <si>
    <t>239454-A widening of SR 436 from SR 528 to SR 552 (Pond A)</t>
  </si>
  <si>
    <t>239635-A New Bridge State Road 500 at Reedy Creek (Pond 1)</t>
  </si>
  <si>
    <t>239635-B New Bridge State Road 500 at Reedy Creek (Pond 2)</t>
  </si>
  <si>
    <t>239663-A Widening of State Road 530 from State Road 535 to Hoagland Boulevard (Pond 1)</t>
  </si>
  <si>
    <t>239663-B Widening of State Road 530 from State Road 535 to Hoagland Boulevard (Pond 2)</t>
  </si>
  <si>
    <t>239663-C Widening of State Road 530 from State Road 535 to Hoagland Boulevard (Pond 3)</t>
  </si>
  <si>
    <t>239663-D Widening of State Road 530 from State Road 535 to Hoagland Boulevard (Pond 4)</t>
  </si>
  <si>
    <t>242436-A State Road 400 Ramps at Gore Avenue Retention Pits (Ponds 1 and 2)</t>
  </si>
  <si>
    <t>242484-A Widening of State Road 400 from Universal Boulevard to South Street (Pond 4)</t>
  </si>
  <si>
    <t>405515-A and B State Road 400 Wet Detention Pond (Ponds 1 and 2)</t>
  </si>
  <si>
    <t>410732-B State Road 400 Swales</t>
  </si>
  <si>
    <t>Street Sweeping</t>
  </si>
  <si>
    <t>Grass Swales Without Swale Blocks or Raised Culverts</t>
  </si>
  <si>
    <t>Education Efforts</t>
  </si>
  <si>
    <t>2396831 Pond 6 (SR 500 widening from Eastern Ave. to Nova Road)</t>
  </si>
  <si>
    <t>2396831 Pond 7 (SR 500 widening from Eastern Ave. to Nova Road)</t>
  </si>
  <si>
    <t>407143-4 Ponds WDA 2A and 2B (SR 482 widening from west of Turkey Lake Rd. to east of Universal Blvd.)</t>
  </si>
  <si>
    <t>407143-4 Pond WDA 3 (SR 482 widening from west of Turkey Lake Rd. to east of Universal Blvd.)</t>
  </si>
  <si>
    <t>407143-4 Pond WDA 4 (SR 482 widening from west of Turkey Lake Rd. to east of Universal Blvd.)</t>
  </si>
  <si>
    <t>407143-6 State Road 482 (Sand Lake Rd) at John Young Parkway - Overpass over Sand Lake</t>
  </si>
  <si>
    <t>239714-SR 600 from W of Poinciana to CR 535 (Pond 1)</t>
  </si>
  <si>
    <t>239714-SR 600 from W of Poinciana to CR 535 (Pond 2)</t>
  </si>
  <si>
    <t>239714-SR 600 from W of Poinciana to CR 535 (Pond 3)</t>
  </si>
  <si>
    <t>239304-SR 530 from Lake C/L to E of Secret Lake Dr (Pond 1)</t>
  </si>
  <si>
    <t>239304-SR 530 from Lake C/L to E of Secret Lake Dr (Pond 5)</t>
  </si>
  <si>
    <t>TP Base Load (lbs/yr)</t>
  </si>
  <si>
    <t>TP Reduction (lbs/yr)</t>
  </si>
  <si>
    <t>TN Base Load (lbs/yr)</t>
  </si>
  <si>
    <t>TN Reduction (lbs/yr)</t>
  </si>
  <si>
    <t>Area (square feet)</t>
  </si>
  <si>
    <t>Basin</t>
  </si>
  <si>
    <t>TP (kg/yr)</t>
  </si>
  <si>
    <t>TP Reduction (MT/yr)</t>
  </si>
  <si>
    <t>TN (kg/yr)</t>
  </si>
  <si>
    <t>TN Reduction (MT/yr)</t>
  </si>
  <si>
    <t>Boggy Creek</t>
  </si>
  <si>
    <t>Shingle Creek</t>
  </si>
  <si>
    <t>Upper Reedy Creek</t>
  </si>
  <si>
    <t>Lake Tohopekaliga</t>
  </si>
  <si>
    <t>Lower Reedy Creek</t>
  </si>
  <si>
    <t>Lake Tohopekaliga, Upper Reedy Creek, Lower Reedy Creek, Shingle Creek, Boggy Creek, Alligator Lake</t>
  </si>
  <si>
    <t>Alligator Lake</t>
  </si>
  <si>
    <t>407143-4 Ponds WDA 2A and 2B</t>
  </si>
  <si>
    <t>407143-4 Pond WDA 3</t>
  </si>
  <si>
    <t>407143-4 Pond WDA 4</t>
  </si>
  <si>
    <t>80.7%/0.6%</t>
  </si>
  <si>
    <t>42.8%/0.1%</t>
  </si>
  <si>
    <t>78.2%/0.4%</t>
  </si>
  <si>
    <t>42.4%/0.1%</t>
  </si>
  <si>
    <t>78.5%/2.7%</t>
  </si>
  <si>
    <t>42.4%/0.5%</t>
  </si>
  <si>
    <t>Lake Kissimmee, Lake Tohopekaliga, Alligator Lake, Lake Jackson, S63A, Lake Conlin (closed basin), Upper Reedy Creek, Lake Rosalie, Horse Creek (closed basin), Lake Hart, Lake Marian, Lake Pierce, Lower Reedy Creek, Lake Marion, Tiger Lake, Lake Gentry, Lake Cypress, East Lake Tohopekaliga, Shingle Creek, Lake Weohyakapka, Boggy Creek</t>
  </si>
  <si>
    <t>OBJECTID</t>
  </si>
  <si>
    <t>FREQUENCY</t>
  </si>
  <si>
    <t>SUM_Load</t>
  </si>
  <si>
    <t>TN SUM_Load</t>
  </si>
  <si>
    <t>TP SUM_Load</t>
  </si>
  <si>
    <t>LU_Type</t>
  </si>
  <si>
    <t>FDOT_District</t>
  </si>
  <si>
    <t>FDOT5</t>
  </si>
  <si>
    <t>Urban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</si>
</sst>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12" x14ac:knownFonts="1">
    <font>
      <sz val="10"/>
      <name val="Arial"/>
    </font>
    <font>
      <sz val="8"/>
      <name val="Arial"/>
      <family val="2"/>
    </font>
    <font>
      <sz val="10"/>
      <name val="Arial"/>
      <family val="2"/>
    </font>
    <font>
      <b/>
      <sz val="10"/>
      <name val="Times New Roman"/>
      <family val="1"/>
    </font>
    <font>
      <sz val="10"/>
      <name val="Times New Roman"/>
      <family val="1"/>
    </font>
    <font>
      <sz val="10"/>
      <color indexed="8"/>
      <name val="Times New Roman"/>
      <family val="1"/>
    </font>
    <font>
      <b/>
      <sz val="10"/>
      <color theme="1"/>
      <name val="Times New Roman"/>
      <family val="1"/>
    </font>
    <font>
      <b/>
      <sz val="10"/>
      <name val="Arial"/>
      <family val="2"/>
    </font>
    <font>
      <b/>
      <sz val="11"/>
      <color theme="1"/>
      <name val="Calibri"/>
      <family val="2"/>
      <scheme val="minor"/>
    </font>
    <font>
      <sz val="10"/>
      <color theme="1"/>
      <name val="Times New Roman"/>
      <family val="1"/>
    </font>
    <font>
      <sz val="10"/>
      <name val="Arial"/>
      <charset val="1"/>
    </font>
    <font>
      <b/>
      <sz val="10"/>
      <name val="Arial"/>
      <charset val="1"/>
    </font>
  </fonts>
  <fills count="6">
    <fill>
      <patternFill patternType="none"/>
    </fill>
    <fill>
      <patternFill patternType="gray125"/>
    </fill>
    <fill>
      <patternFill patternType="solid">
        <fgColor rgb="FFFFFF99"/>
        <bgColor indexed="64"/>
      </patternFill>
    </fill>
    <fill>
      <patternFill patternType="solid">
        <fgColor indexed="43"/>
        <bgColor indexed="64"/>
      </patternFill>
    </fill>
    <fill>
      <patternFill patternType="solid">
        <fgColor rgb="FFFFFF00"/>
        <bgColor indexed="64"/>
      </patternFill>
    </fill>
    <fill>
      <patternFill patternType="solid">
        <fgColor indexed="2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 fillId="0" borderId="0"/>
    <xf numFmtId="0" fontId="2" fillId="0" borderId="0"/>
    <xf numFmtId="0" fontId="2" fillId="0" borderId="0"/>
    <xf numFmtId="0" fontId="10" fillId="0" borderId="0" applyNumberFormat="0" applyFill="0" applyBorder="0" applyAlignment="0" applyProtection="0"/>
  </cellStyleXfs>
  <cellXfs count="317">
    <xf numFmtId="0" fontId="0" fillId="0" borderId="0" xfId="0"/>
    <xf numFmtId="0" fontId="3" fillId="2" borderId="1" xfId="0" applyFont="1" applyFill="1" applyBorder="1" applyAlignment="1">
      <alignment horizontal="center" wrapText="1"/>
    </xf>
    <xf numFmtId="0" fontId="4" fillId="0" borderId="0" xfId="0" applyFont="1" applyFill="1" applyBorder="1" applyAlignment="1">
      <alignment wrapText="1"/>
    </xf>
    <xf numFmtId="0" fontId="4" fillId="0" borderId="0" xfId="0" applyFont="1" applyBorder="1"/>
    <xf numFmtId="49" fontId="4" fillId="0" borderId="0" xfId="0" applyNumberFormat="1" applyFont="1" applyFill="1" applyBorder="1" applyAlignment="1">
      <alignment horizontal="center"/>
    </xf>
    <xf numFmtId="164" fontId="6" fillId="2" borderId="1" xfId="0" applyNumberFormat="1" applyFont="1" applyFill="1" applyBorder="1" applyAlignment="1">
      <alignment horizontal="center" wrapText="1"/>
    </xf>
    <xf numFmtId="0" fontId="6" fillId="2" borderId="1" xfId="0" applyFont="1" applyFill="1" applyBorder="1" applyAlignment="1">
      <alignment horizontal="center" wrapText="1"/>
    </xf>
    <xf numFmtId="164" fontId="3" fillId="0" borderId="0" xfId="0" applyNumberFormat="1" applyFont="1" applyBorder="1"/>
    <xf numFmtId="0" fontId="7" fillId="0" borderId="0" xfId="0" applyFont="1"/>
    <xf numFmtId="165" fontId="0" fillId="0" borderId="0" xfId="0" applyNumberFormat="1"/>
    <xf numFmtId="0" fontId="2" fillId="0" borderId="0" xfId="0" applyFont="1"/>
    <xf numFmtId="0" fontId="8" fillId="0" borderId="0" xfId="0" applyFont="1"/>
    <xf numFmtId="49" fontId="4" fillId="0" borderId="0" xfId="0" applyNumberFormat="1" applyFont="1" applyFill="1" applyBorder="1" applyAlignment="1">
      <alignment horizontal="right"/>
    </xf>
    <xf numFmtId="0" fontId="6" fillId="0" borderId="0" xfId="0" applyFont="1" applyAlignment="1">
      <alignment horizontal="right"/>
    </xf>
    <xf numFmtId="0" fontId="4" fillId="0" borderId="0" xfId="0" applyFont="1" applyBorder="1" applyAlignment="1">
      <alignment wrapText="1"/>
    </xf>
    <xf numFmtId="2" fontId="6" fillId="2" borderId="1" xfId="0" applyNumberFormat="1" applyFont="1" applyFill="1" applyBorder="1" applyAlignment="1">
      <alignment horizontal="center" wrapText="1"/>
    </xf>
    <xf numFmtId="0" fontId="4" fillId="0" borderId="1" xfId="0" applyFont="1" applyFill="1" applyBorder="1" applyAlignment="1">
      <alignment horizontal="left"/>
    </xf>
    <xf numFmtId="0" fontId="5" fillId="0" borderId="1" xfId="0" applyFont="1" applyFill="1" applyBorder="1" applyAlignment="1">
      <alignment horizontal="left" wrapText="1"/>
    </xf>
    <xf numFmtId="0" fontId="4" fillId="0" borderId="1" xfId="0" applyFont="1" applyBorder="1" applyAlignment="1">
      <alignment horizontal="left" wrapText="1"/>
    </xf>
    <xf numFmtId="0" fontId="4" fillId="0" borderId="1" xfId="0" applyFont="1" applyBorder="1" applyAlignment="1">
      <alignment horizontal="left"/>
    </xf>
    <xf numFmtId="165" fontId="4" fillId="0" borderId="1" xfId="0" applyNumberFormat="1" applyFont="1" applyBorder="1" applyAlignment="1">
      <alignment horizontal="left"/>
    </xf>
    <xf numFmtId="164" fontId="4" fillId="0" borderId="1" xfId="0" applyNumberFormat="1" applyFont="1" applyBorder="1" applyAlignment="1">
      <alignment horizontal="left"/>
    </xf>
    <xf numFmtId="0" fontId="4" fillId="0" borderId="0" xfId="0" applyFont="1" applyBorder="1" applyAlignment="1">
      <alignment horizontal="left"/>
    </xf>
    <xf numFmtId="0" fontId="4" fillId="0" borderId="1" xfId="0" applyFont="1" applyFill="1" applyBorder="1" applyAlignment="1">
      <alignment horizontal="left" wrapText="1"/>
    </xf>
    <xf numFmtId="165" fontId="4" fillId="0" borderId="1" xfId="0" applyNumberFormat="1" applyFont="1" applyFill="1" applyBorder="1" applyAlignment="1">
      <alignment horizontal="left"/>
    </xf>
    <xf numFmtId="164" fontId="4" fillId="0" borderId="1" xfId="0" applyNumberFormat="1" applyFont="1" applyFill="1" applyBorder="1" applyAlignment="1">
      <alignment horizontal="left"/>
    </xf>
    <xf numFmtId="165" fontId="5" fillId="0" borderId="1" xfId="0" applyNumberFormat="1" applyFont="1" applyFill="1" applyBorder="1" applyAlignment="1">
      <alignment horizontal="left" wrapText="1"/>
    </xf>
    <xf numFmtId="0" fontId="4" fillId="0" borderId="0" xfId="0" applyFont="1" applyFill="1" applyBorder="1" applyAlignment="1">
      <alignment horizontal="left"/>
    </xf>
    <xf numFmtId="49" fontId="4" fillId="0" borderId="1" xfId="0" applyNumberFormat="1" applyFont="1" applyFill="1" applyBorder="1" applyAlignment="1">
      <alignment horizontal="left"/>
    </xf>
    <xf numFmtId="10" fontId="4" fillId="0" borderId="1" xfId="0" applyNumberFormat="1" applyFont="1" applyFill="1" applyBorder="1" applyAlignment="1">
      <alignment horizontal="left"/>
    </xf>
    <xf numFmtId="0" fontId="3" fillId="3" borderId="1" xfId="2" applyFont="1" applyFill="1" applyBorder="1" applyAlignment="1">
      <alignment horizontal="center" wrapText="1"/>
    </xf>
    <xf numFmtId="166" fontId="3" fillId="3" borderId="1" xfId="2" applyNumberFormat="1" applyFont="1" applyFill="1" applyBorder="1" applyAlignment="1">
      <alignment horizontal="center" wrapText="1"/>
    </xf>
    <xf numFmtId="164" fontId="3" fillId="3" borderId="1" xfId="2" applyNumberFormat="1" applyFont="1" applyFill="1" applyBorder="1" applyAlignment="1">
      <alignment horizontal="center" wrapText="1"/>
    </xf>
    <xf numFmtId="164" fontId="9" fillId="0" borderId="1" xfId="0" applyNumberFormat="1" applyFont="1" applyBorder="1" applyAlignment="1">
      <alignment horizontal="left"/>
    </xf>
    <xf numFmtId="2" fontId="9" fillId="0" borderId="1" xfId="0" applyNumberFormat="1" applyFont="1" applyBorder="1" applyAlignment="1">
      <alignment horizontal="left"/>
    </xf>
    <xf numFmtId="4" fontId="3" fillId="0" borderId="0" xfId="0" applyNumberFormat="1" applyFont="1" applyBorder="1"/>
    <xf numFmtId="0" fontId="4" fillId="0" borderId="0" xfId="0" applyFont="1" applyFill="1" applyBorder="1"/>
    <xf numFmtId="2" fontId="9" fillId="0" borderId="1" xfId="0" applyNumberFormat="1" applyFont="1" applyFill="1" applyBorder="1" applyAlignment="1">
      <alignment horizontal="left"/>
    </xf>
    <xf numFmtId="164" fontId="9" fillId="0" borderId="1" xfId="0" applyNumberFormat="1" applyFont="1" applyFill="1" applyBorder="1" applyAlignment="1">
      <alignment horizontal="left"/>
    </xf>
    <xf numFmtId="0" fontId="0" fillId="4" borderId="0" xfId="0" applyFill="1"/>
    <xf numFmtId="0" fontId="2" fillId="4" borderId="0" xfId="0" applyFont="1" applyFill="1"/>
    <xf numFmtId="0" fontId="2" fillId="0" borderId="0" xfId="0" applyFont="1" applyFill="1"/>
    <xf numFmtId="0" fontId="0" fillId="0" borderId="0" xfId="0" applyFill="1"/>
    <xf numFmtId="164" fontId="5" fillId="0" borderId="1" xfId="3" applyNumberFormat="1" applyFont="1" applyFill="1" applyBorder="1" applyAlignment="1">
      <alignment horizontal="left" wrapText="1"/>
    </xf>
    <xf numFmtId="164" fontId="4" fillId="0" borderId="0" xfId="0" applyNumberFormat="1" applyFont="1" applyBorder="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4" applyFont="1" applyFill="1" applyBorder="1" applyAlignment="1" applyProtection="1">
      <alignment horizontal="center"/>
    </xf>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1" fontId="10" fillId="0" borderId="0" xfId="4" applyNumberFormat="1" applyFont="1" applyFill="1" applyBorder="1" applyAlignment="1" applyProtection="1"/>
    <xf numFmtId="0" fontId="10" fillId="0" borderId="0" xfId="4" applyFont="1" applyFill="1" applyBorder="1" applyAlignment="1" applyProtection="1"/>
    <xf numFmtId="0" fontId="11" fillId="5" borderId="0" xfId="0" applyFont="1" applyFill="1" applyBorder="1" applyAlignment="1" applyProtection="1">
      <alignment horizontal="center"/>
    </xf>
    <xf numFmtId="0" fontId="10" fillId="0" borderId="0" xfId="0" applyFont="1" applyFill="1" applyBorder="1" applyAlignment="1" applyProtection="1"/>
  </cellXfs>
  <cellStyles count="5">
    <cellStyle name="Normal" xfId="0" builtinId="0"/>
    <cellStyle name="Normal 2" xfId="1" xr:uid="{00000000-0005-0000-0000-000002000000}"/>
    <cellStyle name="Normal 3" xfId="3" xr:uid="{A8F23315-0A84-4F5F-A904-216E67F8E518}"/>
    <cellStyle name="Normal 4" xfId="4" xr:uid="{00000000-0005-0000-0000-000032000000}"/>
    <cellStyle name="Normal 5" xfId="2" xr:uid="{5F489C97-D1A8-48D4-827A-214664FE501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39"/>
  <sheetViews>
    <sheetView tabSelected="1" zoomScale="80" zoomScaleNormal="80" zoomScaleSheetLayoutView="75" workbookViewId="0">
      <pane ySplit="1" topLeftCell="A26" activePane="bottomLeft" state="frozen"/>
      <selection activeCell="B1" sqref="B1"/>
      <selection pane="bottomLeft" activeCell="K26" sqref="K26:L26"/>
    </sheetView>
  </sheetViews>
  <sheetFormatPr defaultColWidth="9.109375" defaultRowHeight="13.2" x14ac:dyDescent="0.25"/>
  <cols>
    <col min="1" max="1" width="11.5546875" style="3" bestFit="1" customWidth="1"/>
    <col min="2" max="2" width="36.77734375" style="3" customWidth="1"/>
    <col min="3" max="3" width="12.5546875" style="14" customWidth="1"/>
    <col min="4" max="4" width="13.6640625" style="3" customWidth="1"/>
    <col min="5" max="5" width="12.44140625" style="44" bestFit="1" customWidth="1"/>
    <col min="6" max="6" width="15" style="14" customWidth="1"/>
    <col min="7" max="7" width="23.6640625" style="14" customWidth="1"/>
    <col min="8" max="8" width="11.44140625" style="14" customWidth="1"/>
    <col min="9" max="9" width="9.88671875" style="4" customWidth="1"/>
    <col min="10" max="10" width="10.6640625" style="12" customWidth="1"/>
    <col min="11" max="12" width="10.5546875" style="3" customWidth="1"/>
    <col min="13" max="13" width="8.6640625" style="3" customWidth="1"/>
    <col min="14" max="14" width="9.77734375" style="3" customWidth="1"/>
    <col min="15" max="15" width="10.77734375" style="3" customWidth="1"/>
    <col min="16" max="16" width="10.88671875" style="3" customWidth="1"/>
    <col min="17" max="17" width="10.6640625" style="3" customWidth="1"/>
    <col min="18" max="18" width="16.33203125" style="3" customWidth="1"/>
    <col min="19" max="20" width="12.6640625" style="3" customWidth="1"/>
    <col min="21" max="21" width="14.44140625" style="3" customWidth="1"/>
    <col min="22" max="16384" width="9.109375" style="3"/>
  </cols>
  <sheetData>
    <row r="1" spans="1:18" s="2" customFormat="1" ht="39.6" x14ac:dyDescent="0.25">
      <c r="A1" s="1" t="s">
        <v>1</v>
      </c>
      <c r="B1" s="1" t="s">
        <v>0</v>
      </c>
      <c r="C1" s="1" t="s">
        <v>4</v>
      </c>
      <c r="D1" s="30" t="s">
        <v>199</v>
      </c>
      <c r="E1" s="32" t="s">
        <v>111</v>
      </c>
      <c r="F1" s="31" t="s">
        <v>112</v>
      </c>
      <c r="G1" s="31" t="s">
        <v>200</v>
      </c>
      <c r="H1" s="32" t="s">
        <v>201</v>
      </c>
      <c r="I1" s="5" t="s">
        <v>195</v>
      </c>
      <c r="J1" s="6" t="s">
        <v>32</v>
      </c>
      <c r="K1" s="5" t="s">
        <v>196</v>
      </c>
      <c r="L1" s="15" t="s">
        <v>202</v>
      </c>
      <c r="M1" s="5" t="s">
        <v>203</v>
      </c>
      <c r="N1" s="5" t="s">
        <v>197</v>
      </c>
      <c r="O1" s="6" t="s">
        <v>33</v>
      </c>
      <c r="P1" s="5" t="s">
        <v>198</v>
      </c>
      <c r="Q1" s="5" t="s">
        <v>204</v>
      </c>
    </row>
    <row r="2" spans="1:18" s="22" customFormat="1" ht="39.6" x14ac:dyDescent="0.25">
      <c r="A2" s="16" t="s">
        <v>149</v>
      </c>
      <c r="B2" s="17" t="s">
        <v>158</v>
      </c>
      <c r="C2" s="18" t="s">
        <v>114</v>
      </c>
      <c r="D2" s="19">
        <v>215277.347178</v>
      </c>
      <c r="E2" s="43">
        <f>ROUND(D2*0.000022956841139,1)</f>
        <v>4.9000000000000004</v>
      </c>
      <c r="F2" s="18" t="s">
        <v>113</v>
      </c>
      <c r="G2" s="18" t="s">
        <v>205</v>
      </c>
      <c r="H2" s="18">
        <f>'01'!C4</f>
        <v>0.15127322019355091</v>
      </c>
      <c r="I2" s="33">
        <f>H2*2.2046226218</f>
        <v>0.33350036331123489</v>
      </c>
      <c r="J2" s="20">
        <f>'Wet detention pond calcs'!F5</f>
        <v>0.1160000000000001</v>
      </c>
      <c r="K2" s="21">
        <f>ROUND(I2*J2,1)</f>
        <v>0</v>
      </c>
      <c r="L2" s="34">
        <f>K2*0.00045359237</f>
        <v>0</v>
      </c>
      <c r="M2" s="21">
        <f>'01'!H4</f>
        <v>1.1625210705010918</v>
      </c>
      <c r="N2" s="33">
        <f>M2*2.2046226218</f>
        <v>2.5629202503458597</v>
      </c>
      <c r="O2" s="20">
        <f>'Wet detention pond calcs'!F4</f>
        <v>5.799999999999994E-2</v>
      </c>
      <c r="P2" s="21">
        <f>ROUND(N2*O2,1)</f>
        <v>0.1</v>
      </c>
      <c r="Q2" s="34">
        <f>P2*0.00045359237</f>
        <v>4.5359236999999999E-5</v>
      </c>
    </row>
    <row r="3" spans="1:18" s="22" customFormat="1" ht="39.6" x14ac:dyDescent="0.25">
      <c r="A3" s="16" t="s">
        <v>150</v>
      </c>
      <c r="B3" s="17" t="s">
        <v>159</v>
      </c>
      <c r="C3" s="18" t="s">
        <v>114</v>
      </c>
      <c r="D3" s="19">
        <v>322916.02076799999</v>
      </c>
      <c r="E3" s="43">
        <f t="shared" ref="E3:E32" si="0">ROUND(D3*0.000022956841139,1)</f>
        <v>7.4</v>
      </c>
      <c r="F3" s="18" t="s">
        <v>113</v>
      </c>
      <c r="G3" s="18" t="s">
        <v>205</v>
      </c>
      <c r="H3" s="18">
        <f>'02'!C4</f>
        <v>5.2733800373663174E-2</v>
      </c>
      <c r="I3" s="33">
        <f t="shared" ref="I3:I32" si="1">H3*2.2046226218</f>
        <v>0.11625812923726313</v>
      </c>
      <c r="J3" s="20" t="s">
        <v>45</v>
      </c>
      <c r="K3" s="21">
        <f>ROUND(((I3/2)*0.743)+((I3/2)*0.097),1)</f>
        <v>0</v>
      </c>
      <c r="L3" s="34">
        <f t="shared" ref="L3:L37" si="2">K3*0.00045359237</f>
        <v>0</v>
      </c>
      <c r="M3" s="21">
        <f>'02'!H4</f>
        <v>1.8061852488350174</v>
      </c>
      <c r="N3" s="33">
        <f t="shared" ref="N3:N32" si="3">M3*2.2046226218</f>
        <v>3.9819568587431413</v>
      </c>
      <c r="O3" s="20" t="s">
        <v>46</v>
      </c>
      <c r="P3" s="21">
        <f>ROUND(((N3/2)*0.415)+((N3/2)*0.053),1)</f>
        <v>0.9</v>
      </c>
      <c r="Q3" s="34">
        <f t="shared" ref="Q3:Q37" si="4">P3*0.00045359237</f>
        <v>4.0823313299999999E-4</v>
      </c>
      <c r="R3" s="22" t="s">
        <v>42</v>
      </c>
    </row>
    <row r="4" spans="1:18" s="22" customFormat="1" ht="39.6" x14ac:dyDescent="0.25">
      <c r="A4" s="16" t="s">
        <v>151</v>
      </c>
      <c r="B4" s="17" t="s">
        <v>160</v>
      </c>
      <c r="C4" s="18" t="s">
        <v>114</v>
      </c>
      <c r="D4" s="19">
        <v>215277.347178</v>
      </c>
      <c r="E4" s="43">
        <f t="shared" si="0"/>
        <v>4.9000000000000004</v>
      </c>
      <c r="F4" s="18" t="s">
        <v>113</v>
      </c>
      <c r="G4" s="18" t="s">
        <v>205</v>
      </c>
      <c r="H4" s="18">
        <f>'03'!C4</f>
        <v>0.85957615700110246</v>
      </c>
      <c r="I4" s="33">
        <f t="shared" si="1"/>
        <v>1.8950410408845388</v>
      </c>
      <c r="J4" s="20" t="s">
        <v>47</v>
      </c>
      <c r="K4" s="21">
        <f>ROUND(((I4/2)*0.738)+((I4/2)*0.092),1)</f>
        <v>0.8</v>
      </c>
      <c r="L4" s="34">
        <f t="shared" si="2"/>
        <v>3.6287389599999999E-4</v>
      </c>
      <c r="M4" s="21">
        <f>'03'!H4</f>
        <v>11.486779329248986</v>
      </c>
      <c r="N4" s="33">
        <f t="shared" si="3"/>
        <v>25.324013560886943</v>
      </c>
      <c r="O4" s="20" t="s">
        <v>48</v>
      </c>
      <c r="P4" s="21">
        <f>ROUND(((N4/2)*0.413)+((N4/2)*0.051),1)</f>
        <v>5.9</v>
      </c>
      <c r="Q4" s="34">
        <f t="shared" si="4"/>
        <v>2.6761949830000002E-3</v>
      </c>
      <c r="R4" s="22" t="s">
        <v>42</v>
      </c>
    </row>
    <row r="5" spans="1:18" s="22" customFormat="1" ht="39.6" x14ac:dyDescent="0.25">
      <c r="A5" s="16" t="s">
        <v>152</v>
      </c>
      <c r="B5" s="17" t="s">
        <v>161</v>
      </c>
      <c r="C5" s="18" t="s">
        <v>114</v>
      </c>
      <c r="D5" s="16" t="s">
        <v>3</v>
      </c>
      <c r="E5" s="43">
        <v>23.9</v>
      </c>
      <c r="F5" s="18" t="s">
        <v>113</v>
      </c>
      <c r="G5" s="18" t="s">
        <v>205</v>
      </c>
      <c r="H5" s="23">
        <f>'04'!C4</f>
        <v>1.4897611428746371</v>
      </c>
      <c r="I5" s="33">
        <f t="shared" si="1"/>
        <v>3.284361116660047</v>
      </c>
      <c r="J5" s="20" t="s">
        <v>50</v>
      </c>
      <c r="K5" s="21">
        <f>ROUND(((I5/2)*0.769)+((I5/2)*0.123),1)</f>
        <v>1.5</v>
      </c>
      <c r="L5" s="34">
        <f t="shared" si="2"/>
        <v>6.8038855500000004E-4</v>
      </c>
      <c r="M5" s="25">
        <f>'04'!H4</f>
        <v>22.272087814719171</v>
      </c>
      <c r="N5" s="33">
        <f t="shared" si="3"/>
        <v>49.101548631046015</v>
      </c>
      <c r="O5" s="20" t="s">
        <v>51</v>
      </c>
      <c r="P5" s="21">
        <f>ROUND(((N5/2)*0.421)+((N5/2)*0.059),1)</f>
        <v>11.8</v>
      </c>
      <c r="Q5" s="34">
        <f t="shared" si="4"/>
        <v>5.3523899660000004E-3</v>
      </c>
      <c r="R5" s="22" t="s">
        <v>52</v>
      </c>
    </row>
    <row r="6" spans="1:18" s="22" customFormat="1" ht="26.4" x14ac:dyDescent="0.25">
      <c r="A6" s="16" t="s">
        <v>153</v>
      </c>
      <c r="B6" s="17" t="s">
        <v>162</v>
      </c>
      <c r="C6" s="23" t="s">
        <v>115</v>
      </c>
      <c r="D6" s="19">
        <v>9041648.5814999994</v>
      </c>
      <c r="E6" s="43">
        <f t="shared" si="0"/>
        <v>207.6</v>
      </c>
      <c r="F6" s="23" t="s">
        <v>113</v>
      </c>
      <c r="G6" s="23" t="s">
        <v>206</v>
      </c>
      <c r="H6" s="23">
        <f>'05'!C4</f>
        <v>11.151948514177406</v>
      </c>
      <c r="I6" s="33">
        <f t="shared" si="1"/>
        <v>24.585837971504407</v>
      </c>
      <c r="J6" s="24" t="s">
        <v>116</v>
      </c>
      <c r="K6" s="25">
        <f>ROUND(((I6*(2/3))*0.843)+((I6*(1/3))*0.126),1)</f>
        <v>14.8</v>
      </c>
      <c r="L6" s="34">
        <f t="shared" si="2"/>
        <v>6.7131670760000005E-3</v>
      </c>
      <c r="M6" s="21">
        <f>'05'!H4</f>
        <v>61.911700966846773</v>
      </c>
      <c r="N6" s="33">
        <f t="shared" si="3"/>
        <v>136.49193650562734</v>
      </c>
      <c r="O6" s="24" t="s">
        <v>117</v>
      </c>
      <c r="P6" s="25">
        <f>ROUND(((N6*(2/3))*0.431)+((N6*(1/3))*0.025),1)</f>
        <v>40.4</v>
      </c>
      <c r="Q6" s="34">
        <f t="shared" si="4"/>
        <v>1.8325131748E-2</v>
      </c>
      <c r="R6" s="22" t="s">
        <v>75</v>
      </c>
    </row>
    <row r="7" spans="1:18" s="22" customFormat="1" ht="39.6" x14ac:dyDescent="0.25">
      <c r="A7" s="16" t="s">
        <v>154</v>
      </c>
      <c r="B7" s="17" t="s">
        <v>163</v>
      </c>
      <c r="C7" s="18" t="s">
        <v>114</v>
      </c>
      <c r="D7" s="19">
        <v>645832.04153499997</v>
      </c>
      <c r="E7" s="43">
        <f t="shared" si="0"/>
        <v>14.8</v>
      </c>
      <c r="F7" s="18" t="s">
        <v>113</v>
      </c>
      <c r="G7" s="18" t="s">
        <v>207</v>
      </c>
      <c r="H7" s="18">
        <f>'06'!C4</f>
        <v>1.2789465258413</v>
      </c>
      <c r="I7" s="33">
        <f t="shared" si="1"/>
        <v>2.8195944429422481</v>
      </c>
      <c r="J7" s="20" t="s">
        <v>118</v>
      </c>
      <c r="K7" s="21">
        <f>ROUND(((I7/2)*0.641)+((I7/2)*0.005),1)</f>
        <v>0.9</v>
      </c>
      <c r="L7" s="34">
        <f t="shared" si="2"/>
        <v>4.0823313299999999E-4</v>
      </c>
      <c r="M7" s="21">
        <f>'06'!H4</f>
        <v>9.5814301930052093</v>
      </c>
      <c r="N7" s="33">
        <f t="shared" si="3"/>
        <v>21.123437752696823</v>
      </c>
      <c r="O7" s="20" t="s">
        <v>119</v>
      </c>
      <c r="P7" s="21">
        <f>ROUND(((N7*(4/5))*0.357)+((N7/5)*0.004),1)</f>
        <v>6</v>
      </c>
      <c r="Q7" s="34">
        <f t="shared" si="4"/>
        <v>2.7215542200000001E-3</v>
      </c>
      <c r="R7" s="22" t="s">
        <v>99</v>
      </c>
    </row>
    <row r="8" spans="1:18" s="22" customFormat="1" ht="39.6" x14ac:dyDescent="0.25">
      <c r="A8" s="16" t="s">
        <v>155</v>
      </c>
      <c r="B8" s="17" t="s">
        <v>164</v>
      </c>
      <c r="C8" s="18" t="s">
        <v>114</v>
      </c>
      <c r="D8" s="19">
        <v>215277.347178</v>
      </c>
      <c r="E8" s="43">
        <f t="shared" si="0"/>
        <v>4.9000000000000004</v>
      </c>
      <c r="F8" s="18" t="s">
        <v>113</v>
      </c>
      <c r="G8" s="18" t="s">
        <v>207</v>
      </c>
      <c r="H8" s="18">
        <f>'07'!C4</f>
        <v>0.46653990872712364</v>
      </c>
      <c r="I8" s="33">
        <f t="shared" si="1"/>
        <v>1.028544436752324</v>
      </c>
      <c r="J8" s="20" t="s">
        <v>120</v>
      </c>
      <c r="K8" s="21">
        <f>ROUND(((I8/2)*0.642)+((I8/2)*0.005),1)</f>
        <v>0.3</v>
      </c>
      <c r="L8" s="34">
        <f t="shared" si="2"/>
        <v>1.36077711E-4</v>
      </c>
      <c r="M8" s="21">
        <f>'07'!H4</f>
        <v>2.6616378218743391</v>
      </c>
      <c r="N8" s="33">
        <f t="shared" si="3"/>
        <v>5.8679069531426471</v>
      </c>
      <c r="O8" s="20" t="s">
        <v>121</v>
      </c>
      <c r="P8" s="21">
        <f>ROUND(((N8*(4/5))*0.359)+((N8/5)*0.006),1)</f>
        <v>1.7</v>
      </c>
      <c r="Q8" s="34">
        <f t="shared" si="4"/>
        <v>7.7110702899999993E-4</v>
      </c>
      <c r="R8" s="22" t="s">
        <v>99</v>
      </c>
    </row>
    <row r="9" spans="1:18" s="22" customFormat="1" ht="39.6" x14ac:dyDescent="0.25">
      <c r="A9" s="16" t="s">
        <v>156</v>
      </c>
      <c r="B9" s="17" t="s">
        <v>165</v>
      </c>
      <c r="C9" s="18" t="s">
        <v>114</v>
      </c>
      <c r="D9" s="19">
        <v>538193.36794599995</v>
      </c>
      <c r="E9" s="43">
        <f t="shared" si="0"/>
        <v>12.4</v>
      </c>
      <c r="F9" s="18" t="s">
        <v>113</v>
      </c>
      <c r="G9" s="18" t="s">
        <v>208</v>
      </c>
      <c r="H9" s="18">
        <f>'08'!C4</f>
        <v>1.8027535234499228</v>
      </c>
      <c r="I9" s="33">
        <f t="shared" si="1"/>
        <v>3.9743911993273566</v>
      </c>
      <c r="J9" s="20" t="s">
        <v>122</v>
      </c>
      <c r="K9" s="25">
        <f>ROUND(((I9*(2/3))*0.765)+((I9*(1/3))*0.119),1)</f>
        <v>2.2000000000000002</v>
      </c>
      <c r="L9" s="34">
        <f t="shared" si="2"/>
        <v>9.9790321400000008E-4</v>
      </c>
      <c r="M9" s="21">
        <f>'08'!H4</f>
        <v>16.923708615848263</v>
      </c>
      <c r="N9" s="33">
        <f t="shared" si="3"/>
        <v>37.310390859250646</v>
      </c>
      <c r="O9" s="20" t="s">
        <v>123</v>
      </c>
      <c r="P9" s="21">
        <f>ROUND(((N9*(4/6))*0.42)+((N9*(2/6))*0.058),1)</f>
        <v>11.2</v>
      </c>
      <c r="Q9" s="34">
        <f t="shared" si="4"/>
        <v>5.0802345439999999E-3</v>
      </c>
      <c r="R9" s="22" t="s">
        <v>75</v>
      </c>
    </row>
    <row r="10" spans="1:18" s="22" customFormat="1" ht="39.6" x14ac:dyDescent="0.25">
      <c r="A10" s="16" t="s">
        <v>157</v>
      </c>
      <c r="B10" s="17" t="s">
        <v>166</v>
      </c>
      <c r="C10" s="18" t="s">
        <v>114</v>
      </c>
      <c r="D10" s="19">
        <v>430554.694357</v>
      </c>
      <c r="E10" s="43">
        <f t="shared" si="0"/>
        <v>9.9</v>
      </c>
      <c r="F10" s="18" t="s">
        <v>113</v>
      </c>
      <c r="G10" s="18" t="s">
        <v>208</v>
      </c>
      <c r="H10" s="18">
        <f>'09'!C4</f>
        <v>1.4369914774242922</v>
      </c>
      <c r="I10" s="33">
        <f t="shared" si="1"/>
        <v>3.1680239184633985</v>
      </c>
      <c r="J10" s="20" t="s">
        <v>124</v>
      </c>
      <c r="K10" s="25">
        <f>ROUND(((I10*(2/3))*0.761)+((I10*(1/3))*0.115),1)</f>
        <v>1.7</v>
      </c>
      <c r="L10" s="34">
        <f t="shared" si="2"/>
        <v>7.7110702899999993E-4</v>
      </c>
      <c r="M10" s="21">
        <f>'09'!H4</f>
        <v>31.537086100040657</v>
      </c>
      <c r="N10" s="33">
        <f t="shared" si="3"/>
        <v>69.527373441803974</v>
      </c>
      <c r="O10" s="20" t="s">
        <v>123</v>
      </c>
      <c r="P10" s="21">
        <f>ROUND(((N10*(4/6))*0.42)+((N10*(2/6))*0.058),1)</f>
        <v>20.8</v>
      </c>
      <c r="Q10" s="34">
        <f t="shared" si="4"/>
        <v>9.4347212960000006E-3</v>
      </c>
      <c r="R10" s="22" t="s">
        <v>75</v>
      </c>
    </row>
    <row r="11" spans="1:18" s="22" customFormat="1" ht="39.6" x14ac:dyDescent="0.25">
      <c r="A11" s="16" t="s">
        <v>5</v>
      </c>
      <c r="B11" s="17" t="s">
        <v>167</v>
      </c>
      <c r="C11" s="18" t="s">
        <v>114</v>
      </c>
      <c r="D11" s="19">
        <v>430554.694357</v>
      </c>
      <c r="E11" s="43">
        <f t="shared" si="0"/>
        <v>9.9</v>
      </c>
      <c r="F11" s="18" t="s">
        <v>113</v>
      </c>
      <c r="G11" s="18" t="s">
        <v>208</v>
      </c>
      <c r="H11" s="18">
        <f>'10'!C4</f>
        <v>1.8744094802194222</v>
      </c>
      <c r="I11" s="33">
        <f t="shared" si="1"/>
        <v>4.1323655426081176</v>
      </c>
      <c r="J11" s="20" t="s">
        <v>125</v>
      </c>
      <c r="K11" s="25">
        <f>ROUND(((I11*(2/3))*0.734)+((I11*(1/3))*0.088),1)</f>
        <v>2.1</v>
      </c>
      <c r="L11" s="34">
        <f t="shared" si="2"/>
        <v>9.5254397700000003E-4</v>
      </c>
      <c r="M11" s="21">
        <f>'10'!H4</f>
        <v>15.008563191559286</v>
      </c>
      <c r="N11" s="33">
        <f t="shared" si="3"/>
        <v>33.08821793282641</v>
      </c>
      <c r="O11" s="20" t="s">
        <v>126</v>
      </c>
      <c r="P11" s="21">
        <f>ROUND(((N11*(4/6))*0.412)+((N11*(2/6))*0.05),1)</f>
        <v>9.6</v>
      </c>
      <c r="Q11" s="34">
        <f t="shared" si="4"/>
        <v>4.3544867519999999E-3</v>
      </c>
      <c r="R11" s="22" t="s">
        <v>75</v>
      </c>
    </row>
    <row r="12" spans="1:18" s="22" customFormat="1" ht="39.6" x14ac:dyDescent="0.25">
      <c r="A12" s="16" t="s">
        <v>6</v>
      </c>
      <c r="B12" s="17" t="s">
        <v>168</v>
      </c>
      <c r="C12" s="18" t="s">
        <v>114</v>
      </c>
      <c r="D12" s="19">
        <v>1506941.43025</v>
      </c>
      <c r="E12" s="43">
        <f t="shared" si="0"/>
        <v>34.6</v>
      </c>
      <c r="F12" s="18" t="s">
        <v>113</v>
      </c>
      <c r="G12" s="18" t="s">
        <v>208</v>
      </c>
      <c r="H12" s="18">
        <f>'11'!C4</f>
        <v>4.6444635383049526</v>
      </c>
      <c r="I12" s="33">
        <f t="shared" si="1"/>
        <v>10.23928938267237</v>
      </c>
      <c r="J12" s="20" t="s">
        <v>127</v>
      </c>
      <c r="K12" s="25">
        <f>ROUND(((I12*(2/3))*0.729)+((I12*(1/3))*0.083),1)</f>
        <v>5.3</v>
      </c>
      <c r="L12" s="34">
        <f t="shared" si="2"/>
        <v>2.4040395609999997E-3</v>
      </c>
      <c r="M12" s="21">
        <f>'11'!H4</f>
        <v>19.654428742190483</v>
      </c>
      <c r="N12" s="33">
        <f t="shared" si="3"/>
        <v>43.330598223589256</v>
      </c>
      <c r="O12" s="20" t="s">
        <v>128</v>
      </c>
      <c r="P12" s="21">
        <f>ROUND(((N12*(4/6))*0.411)+((N12*(2/6))*0.049),1)</f>
        <v>12.6</v>
      </c>
      <c r="Q12" s="34">
        <f t="shared" si="4"/>
        <v>5.715263862E-3</v>
      </c>
      <c r="R12" s="22" t="s">
        <v>75</v>
      </c>
    </row>
    <row r="13" spans="1:18" s="22" customFormat="1" ht="52.8" x14ac:dyDescent="0.25">
      <c r="A13" s="16" t="s">
        <v>7</v>
      </c>
      <c r="B13" s="17" t="s">
        <v>169</v>
      </c>
      <c r="C13" s="18" t="s">
        <v>114</v>
      </c>
      <c r="D13" s="19">
        <v>107638.673589</v>
      </c>
      <c r="E13" s="43">
        <f t="shared" si="0"/>
        <v>2.5</v>
      </c>
      <c r="F13" s="18" t="s">
        <v>113</v>
      </c>
      <c r="G13" s="18" t="s">
        <v>208</v>
      </c>
      <c r="H13" s="18">
        <f>'12'!C4</f>
        <v>0.7938844387459375</v>
      </c>
      <c r="I13" s="33">
        <f t="shared" si="1"/>
        <v>1.7502155927542902</v>
      </c>
      <c r="J13" s="20" t="s">
        <v>129</v>
      </c>
      <c r="K13" s="25">
        <f>ROUND(((I13*(2/3))*0.675)+((I13*(1/3))*0.009),1)</f>
        <v>0.8</v>
      </c>
      <c r="L13" s="34">
        <f t="shared" si="2"/>
        <v>3.6287389599999999E-4</v>
      </c>
      <c r="M13" s="21">
        <f>'12'!H4</f>
        <v>4.5362426304365755</v>
      </c>
      <c r="N13" s="33">
        <f t="shared" si="3"/>
        <v>10.000703121034011</v>
      </c>
      <c r="O13" s="20" t="s">
        <v>130</v>
      </c>
      <c r="P13" s="21">
        <f>ROUND(((N13*(4/6))*0.384)+((N13*(2/6))*0.06),1)</f>
        <v>2.8</v>
      </c>
      <c r="Q13" s="34">
        <f t="shared" si="4"/>
        <v>1.270058636E-3</v>
      </c>
      <c r="R13" s="22" t="s">
        <v>75</v>
      </c>
    </row>
    <row r="14" spans="1:18" s="22" customFormat="1" ht="26.4" x14ac:dyDescent="0.25">
      <c r="A14" s="16" t="s">
        <v>8</v>
      </c>
      <c r="B14" s="17" t="s">
        <v>170</v>
      </c>
      <c r="C14" s="18" t="s">
        <v>114</v>
      </c>
      <c r="D14" s="19">
        <v>2583328.1661399999</v>
      </c>
      <c r="E14" s="43">
        <f t="shared" si="0"/>
        <v>59.3</v>
      </c>
      <c r="F14" s="18" t="s">
        <v>113</v>
      </c>
      <c r="G14" s="18" t="s">
        <v>205</v>
      </c>
      <c r="H14" s="18">
        <f>'13'!C4</f>
        <v>3.9351712699561268</v>
      </c>
      <c r="I14" s="33">
        <f t="shared" si="1"/>
        <v>8.6755676024027117</v>
      </c>
      <c r="J14" s="26">
        <f>'Wet detention pond calcs'!F87</f>
        <v>0.10600000000000009</v>
      </c>
      <c r="K14" s="21">
        <f t="shared" ref="K14:K15" si="5">ROUND(I14*J14,1)</f>
        <v>0.9</v>
      </c>
      <c r="L14" s="34">
        <f t="shared" si="2"/>
        <v>4.0823313299999999E-4</v>
      </c>
      <c r="M14" s="21">
        <f>'13'!H4</f>
        <v>12.966585586427289</v>
      </c>
      <c r="N14" s="33">
        <f t="shared" si="3"/>
        <v>28.586427911343421</v>
      </c>
      <c r="O14" s="20">
        <f>'Wet detention pond calcs'!F86</f>
        <v>5.4999999999999993E-2</v>
      </c>
      <c r="P14" s="21">
        <f>ROUND(N14*O14,1)</f>
        <v>1.6</v>
      </c>
      <c r="Q14" s="34">
        <f t="shared" si="4"/>
        <v>7.2574779199999998E-4</v>
      </c>
      <c r="R14" s="22" t="s">
        <v>108</v>
      </c>
    </row>
    <row r="15" spans="1:18" s="27" customFormat="1" ht="26.4" x14ac:dyDescent="0.25">
      <c r="A15" s="16" t="s">
        <v>9</v>
      </c>
      <c r="B15" s="17" t="s">
        <v>171</v>
      </c>
      <c r="C15" s="23" t="s">
        <v>115</v>
      </c>
      <c r="D15" s="16">
        <v>107638.673589</v>
      </c>
      <c r="E15" s="43">
        <f t="shared" si="0"/>
        <v>2.5</v>
      </c>
      <c r="F15" s="18" t="s">
        <v>113</v>
      </c>
      <c r="G15" s="18" t="s">
        <v>209</v>
      </c>
      <c r="H15" s="18">
        <f>'14'!C4</f>
        <v>0.16804696241975067</v>
      </c>
      <c r="I15" s="33">
        <f t="shared" si="1"/>
        <v>0.3704801348753568</v>
      </c>
      <c r="J15" s="26">
        <f>'Retention calcs'!F34</f>
        <v>0.13963072447930625</v>
      </c>
      <c r="K15" s="21">
        <f t="shared" si="5"/>
        <v>0.1</v>
      </c>
      <c r="L15" s="34">
        <f t="shared" si="2"/>
        <v>4.5359236999999999E-5</v>
      </c>
      <c r="M15" s="25">
        <f>'14'!H4</f>
        <v>2.2613913924557836</v>
      </c>
      <c r="N15" s="33">
        <f t="shared" si="3"/>
        <v>4.9855146205518226</v>
      </c>
      <c r="O15" s="24">
        <f>'Retention calcs'!F34</f>
        <v>0.13963072447930625</v>
      </c>
      <c r="P15" s="21">
        <f t="shared" ref="P15" si="6">ROUND(N15*O15,1)</f>
        <v>0.7</v>
      </c>
      <c r="Q15" s="34">
        <f t="shared" si="4"/>
        <v>3.1751465899999999E-4</v>
      </c>
      <c r="R15" s="27" t="s">
        <v>108</v>
      </c>
    </row>
    <row r="16" spans="1:18" s="27" customFormat="1" ht="26.4" x14ac:dyDescent="0.25">
      <c r="A16" s="16" t="s">
        <v>10</v>
      </c>
      <c r="B16" s="17" t="s">
        <v>172</v>
      </c>
      <c r="C16" s="23" t="s">
        <v>114</v>
      </c>
      <c r="D16" s="16">
        <v>215277.347178</v>
      </c>
      <c r="E16" s="43">
        <f t="shared" si="0"/>
        <v>4.9000000000000004</v>
      </c>
      <c r="F16" s="18" t="s">
        <v>113</v>
      </c>
      <c r="G16" s="18" t="s">
        <v>209</v>
      </c>
      <c r="H16" s="18">
        <f>'15'!C4</f>
        <v>0.45303243001725307</v>
      </c>
      <c r="I16" s="33">
        <f t="shared" si="1"/>
        <v>0.99876554362506154</v>
      </c>
      <c r="J16" s="26" t="s">
        <v>136</v>
      </c>
      <c r="K16" s="21">
        <f>ROUND(((I16/2)*0.643)+((I16/2)*0.007),1)</f>
        <v>0.3</v>
      </c>
      <c r="L16" s="34">
        <f t="shared" si="2"/>
        <v>1.36077711E-4</v>
      </c>
      <c r="M16" s="25">
        <f>'15'!H4</f>
        <v>3.7283707306669749</v>
      </c>
      <c r="N16" s="33">
        <f t="shared" si="3"/>
        <v>8.2196504552854073</v>
      </c>
      <c r="O16" s="24" t="s">
        <v>137</v>
      </c>
      <c r="P16" s="21">
        <f>ROUND(N16*0.359,1)</f>
        <v>3</v>
      </c>
      <c r="Q16" s="34">
        <f t="shared" si="4"/>
        <v>1.3607771100000001E-3</v>
      </c>
      <c r="R16" s="27" t="s">
        <v>108</v>
      </c>
    </row>
    <row r="17" spans="1:18" s="22" customFormat="1" ht="39.6" x14ac:dyDescent="0.25">
      <c r="A17" s="16" t="s">
        <v>11</v>
      </c>
      <c r="B17" s="17" t="s">
        <v>173</v>
      </c>
      <c r="C17" s="23" t="s">
        <v>114</v>
      </c>
      <c r="D17" s="16">
        <v>861109.388714</v>
      </c>
      <c r="E17" s="43">
        <f t="shared" si="0"/>
        <v>19.8</v>
      </c>
      <c r="F17" s="23" t="s">
        <v>113</v>
      </c>
      <c r="G17" s="23" t="s">
        <v>206</v>
      </c>
      <c r="H17" s="23">
        <f>'16'!C4</f>
        <v>0.40049139081699869</v>
      </c>
      <c r="I17" s="33">
        <f t="shared" si="1"/>
        <v>0.88293238003130015</v>
      </c>
      <c r="J17" s="26" t="s">
        <v>140</v>
      </c>
      <c r="K17" s="25">
        <f>ROUND(((I17*(2/3))*0.827)+((I17*(1/3))*0.191),1)</f>
        <v>0.5</v>
      </c>
      <c r="L17" s="34">
        <f t="shared" si="2"/>
        <v>2.2679618499999999E-4</v>
      </c>
      <c r="M17" s="25">
        <f>'16'!H4</f>
        <v>3.9578186148646477</v>
      </c>
      <c r="N17" s="33">
        <f t="shared" si="3"/>
        <v>8.725496451311745</v>
      </c>
      <c r="O17" s="24" t="s">
        <v>141</v>
      </c>
      <c r="P17" s="25">
        <f>ROUND(((N17*(4/6))*0.43)+((N17*(2/6))*0.077),1)</f>
        <v>2.7</v>
      </c>
      <c r="Q17" s="34">
        <f t="shared" si="4"/>
        <v>1.224699399E-3</v>
      </c>
      <c r="R17" s="22" t="s">
        <v>75</v>
      </c>
    </row>
    <row r="18" spans="1:18" s="22" customFormat="1" ht="39.6" x14ac:dyDescent="0.25">
      <c r="A18" s="16" t="s">
        <v>12</v>
      </c>
      <c r="B18" s="17" t="s">
        <v>174</v>
      </c>
      <c r="C18" s="23" t="s">
        <v>114</v>
      </c>
      <c r="D18" s="16">
        <v>753470.71512499999</v>
      </c>
      <c r="E18" s="43">
        <f t="shared" si="0"/>
        <v>17.3</v>
      </c>
      <c r="F18" s="23" t="s">
        <v>113</v>
      </c>
      <c r="G18" s="23" t="s">
        <v>206</v>
      </c>
      <c r="H18" s="23">
        <f>'17'!C4</f>
        <v>0.84774813954777628</v>
      </c>
      <c r="I18" s="33">
        <f t="shared" si="1"/>
        <v>1.8689647260358908</v>
      </c>
      <c r="J18" s="26" t="s">
        <v>142</v>
      </c>
      <c r="K18" s="25">
        <f>ROUND(((I18*(2/3))*0.745)+((I18*(1/3))*0.172),1)</f>
        <v>1</v>
      </c>
      <c r="L18" s="34">
        <f t="shared" si="2"/>
        <v>4.5359236999999999E-4</v>
      </c>
      <c r="M18" s="25">
        <f>'17'!H4</f>
        <v>9.4177027434890093</v>
      </c>
      <c r="N18" s="33">
        <f t="shared" si="3"/>
        <v>20.762480513683794</v>
      </c>
      <c r="O18" s="24" t="s">
        <v>143</v>
      </c>
      <c r="P18" s="25">
        <f>ROUND(((N18*(4/6))*0.416)+((N18*(2/6))*0.143),1)</f>
        <v>6.7</v>
      </c>
      <c r="Q18" s="34">
        <f t="shared" si="4"/>
        <v>3.0390688790000002E-3</v>
      </c>
      <c r="R18" s="22" t="s">
        <v>75</v>
      </c>
    </row>
    <row r="19" spans="1:18" s="22" customFormat="1" ht="39.6" x14ac:dyDescent="0.25">
      <c r="A19" s="16" t="s">
        <v>13</v>
      </c>
      <c r="B19" s="17" t="s">
        <v>175</v>
      </c>
      <c r="C19" s="23" t="s">
        <v>114</v>
      </c>
      <c r="D19" s="16">
        <v>645832.04153499997</v>
      </c>
      <c r="E19" s="43">
        <f t="shared" si="0"/>
        <v>14.8</v>
      </c>
      <c r="F19" s="23" t="s">
        <v>113</v>
      </c>
      <c r="G19" s="23" t="s">
        <v>206</v>
      </c>
      <c r="H19" s="23">
        <f>'18'!C4</f>
        <v>2.7649655810581981</v>
      </c>
      <c r="I19" s="33">
        <f t="shared" si="1"/>
        <v>6.095705668499285</v>
      </c>
      <c r="J19" s="26" t="s">
        <v>144</v>
      </c>
      <c r="K19" s="25">
        <f>ROUND(((I19*(2/3))*0.81)+((I19*(1/3))*0.174),1)</f>
        <v>3.6</v>
      </c>
      <c r="L19" s="34">
        <f t="shared" si="2"/>
        <v>1.632932532E-3</v>
      </c>
      <c r="M19" s="25">
        <f>'18'!H4</f>
        <v>24.628896111435335</v>
      </c>
      <c r="N19" s="33">
        <f t="shared" si="3"/>
        <v>54.297421517232394</v>
      </c>
      <c r="O19" s="24" t="s">
        <v>145</v>
      </c>
      <c r="P19" s="25">
        <f>ROUND(((N19*(4/6))*0.428)+((N19*(2/6))*0.075),1)</f>
        <v>16.899999999999999</v>
      </c>
      <c r="Q19" s="34">
        <f t="shared" si="4"/>
        <v>7.6657110529999989E-3</v>
      </c>
      <c r="R19" s="22" t="s">
        <v>75</v>
      </c>
    </row>
    <row r="20" spans="1:18" s="22" customFormat="1" ht="39.6" x14ac:dyDescent="0.25">
      <c r="A20" s="16" t="s">
        <v>14</v>
      </c>
      <c r="B20" s="17" t="s">
        <v>176</v>
      </c>
      <c r="C20" s="23" t="s">
        <v>114</v>
      </c>
      <c r="D20" s="16">
        <v>538193.36794599995</v>
      </c>
      <c r="E20" s="43">
        <f t="shared" si="0"/>
        <v>12.4</v>
      </c>
      <c r="F20" s="23" t="s">
        <v>113</v>
      </c>
      <c r="G20" s="23" t="s">
        <v>206</v>
      </c>
      <c r="H20" s="23">
        <f>'19'!C4</f>
        <v>1.9974018982238446</v>
      </c>
      <c r="I20" s="33">
        <f t="shared" si="1"/>
        <v>4.4035174096505489</v>
      </c>
      <c r="J20" s="26" t="s">
        <v>146</v>
      </c>
      <c r="K20" s="25">
        <f>ROUND(((I20*(2/3))*0.683)+((I20*(1/3))*0.047),1)</f>
        <v>2.1</v>
      </c>
      <c r="L20" s="34">
        <f t="shared" si="2"/>
        <v>9.5254397700000003E-4</v>
      </c>
      <c r="M20" s="25">
        <f>'19'!H4</f>
        <v>7.4472262871981716</v>
      </c>
      <c r="N20" s="33">
        <f t="shared" si="3"/>
        <v>16.418323542420712</v>
      </c>
      <c r="O20" s="24" t="s">
        <v>147</v>
      </c>
      <c r="P20" s="25">
        <f>ROUND(((N20*(4/6))*0.389)+((N20*(2/6))*0.036),1)</f>
        <v>4.5</v>
      </c>
      <c r="Q20" s="34">
        <f t="shared" si="4"/>
        <v>2.0411656650000001E-3</v>
      </c>
      <c r="R20" s="22" t="s">
        <v>75</v>
      </c>
    </row>
    <row r="21" spans="1:18" s="22" customFormat="1" ht="26.4" x14ac:dyDescent="0.25">
      <c r="A21" s="16" t="s">
        <v>15</v>
      </c>
      <c r="B21" s="17" t="s">
        <v>177</v>
      </c>
      <c r="C21" s="18" t="s">
        <v>115</v>
      </c>
      <c r="D21" s="19">
        <v>215277.347178</v>
      </c>
      <c r="E21" s="43">
        <f t="shared" si="0"/>
        <v>4.9000000000000004</v>
      </c>
      <c r="F21" s="18" t="s">
        <v>113</v>
      </c>
      <c r="G21" s="18" t="s">
        <v>205</v>
      </c>
      <c r="H21" s="18">
        <f>'20'!C4</f>
        <v>0.41610454085207355</v>
      </c>
      <c r="I21" s="33">
        <f t="shared" si="1"/>
        <v>0.91735348379618364</v>
      </c>
      <c r="J21" s="26" t="s">
        <v>91</v>
      </c>
      <c r="K21" s="21">
        <f>ROUND(((I21/2)*0.816)+((I21/2)*0.163),1)</f>
        <v>0.4</v>
      </c>
      <c r="L21" s="34">
        <f t="shared" si="2"/>
        <v>1.81436948E-4</v>
      </c>
      <c r="M21" s="25">
        <f>'20'!H4</f>
        <v>2.8913302223446555</v>
      </c>
      <c r="N21" s="33">
        <f t="shared" si="3"/>
        <v>6.3742920152750511</v>
      </c>
      <c r="O21" s="26" t="s">
        <v>91</v>
      </c>
      <c r="P21" s="25">
        <f>ROUND(((N21/2)*0.816)+((N21/2)*0.163),1)</f>
        <v>3.1</v>
      </c>
      <c r="Q21" s="34">
        <f t="shared" si="4"/>
        <v>1.406136347E-3</v>
      </c>
      <c r="R21" s="22" t="s">
        <v>92</v>
      </c>
    </row>
    <row r="22" spans="1:18" s="22" customFormat="1" ht="26.4" x14ac:dyDescent="0.25">
      <c r="A22" s="16" t="s">
        <v>16</v>
      </c>
      <c r="B22" s="17" t="s">
        <v>178</v>
      </c>
      <c r="C22" s="18" t="s">
        <v>114</v>
      </c>
      <c r="D22" s="19">
        <v>861109.388714</v>
      </c>
      <c r="E22" s="43">
        <f t="shared" si="0"/>
        <v>19.8</v>
      </c>
      <c r="F22" s="18" t="s">
        <v>113</v>
      </c>
      <c r="G22" s="18" t="s">
        <v>205</v>
      </c>
      <c r="H22" s="18">
        <f>'21'!C4</f>
        <v>0.79224904697886778</v>
      </c>
      <c r="I22" s="33">
        <f t="shared" si="1"/>
        <v>1.7466101710691029</v>
      </c>
      <c r="J22" s="26" t="s">
        <v>93</v>
      </c>
      <c r="K22" s="21">
        <f>ROUND(((I22/2)*0.782)+((I22/2)*0.136),1)</f>
        <v>0.8</v>
      </c>
      <c r="L22" s="34">
        <f t="shared" si="2"/>
        <v>3.6287389599999999E-4</v>
      </c>
      <c r="M22" s="25">
        <f>'21'!H4</f>
        <v>5.9167086753637088</v>
      </c>
      <c r="N22" s="33">
        <f t="shared" si="3"/>
        <v>13.044109792307145</v>
      </c>
      <c r="O22" s="20" t="s">
        <v>94</v>
      </c>
      <c r="P22" s="25">
        <f>ROUND(((N22/2)*0.424)+((N22/2)*0.062),1)</f>
        <v>3.2</v>
      </c>
      <c r="Q22" s="34">
        <f t="shared" si="4"/>
        <v>1.451495584E-3</v>
      </c>
      <c r="R22" s="22" t="s">
        <v>92</v>
      </c>
    </row>
    <row r="23" spans="1:18" s="22" customFormat="1" ht="26.4" x14ac:dyDescent="0.25">
      <c r="A23" s="16" t="s">
        <v>17</v>
      </c>
      <c r="B23" s="17" t="s">
        <v>179</v>
      </c>
      <c r="C23" s="18" t="s">
        <v>114</v>
      </c>
      <c r="D23" s="19">
        <v>430554.694357</v>
      </c>
      <c r="E23" s="43">
        <f t="shared" si="0"/>
        <v>9.9</v>
      </c>
      <c r="F23" s="18" t="s">
        <v>113</v>
      </c>
      <c r="G23" s="18" t="s">
        <v>206</v>
      </c>
      <c r="H23" s="18">
        <f>'22'!C4</f>
        <v>0.71618544638894888</v>
      </c>
      <c r="I23" s="33">
        <f t="shared" si="1"/>
        <v>1.5789186365130079</v>
      </c>
      <c r="J23" s="24" t="s">
        <v>138</v>
      </c>
      <c r="K23" s="21">
        <f>ROUND(((I23/2)*0.679)+((I23/2)*0.043),1)</f>
        <v>0.6</v>
      </c>
      <c r="L23" s="34">
        <f t="shared" si="2"/>
        <v>2.7215542199999999E-4</v>
      </c>
      <c r="M23" s="21">
        <v>3.5481248498000002</v>
      </c>
      <c r="N23" s="33">
        <f>'22'!H4</f>
        <v>2.2699146396216552</v>
      </c>
      <c r="O23" s="20" t="s">
        <v>139</v>
      </c>
      <c r="P23" s="21">
        <f>ROUND(((N23/2)*0.387)+((N23/2)*0.034),1)</f>
        <v>0.5</v>
      </c>
      <c r="Q23" s="34">
        <f t="shared" si="4"/>
        <v>2.2679618499999999E-4</v>
      </c>
      <c r="R23" s="22" t="s">
        <v>110</v>
      </c>
    </row>
    <row r="24" spans="1:18" s="22" customFormat="1" ht="66" x14ac:dyDescent="0.25">
      <c r="A24" s="16" t="s">
        <v>18</v>
      </c>
      <c r="B24" s="17" t="s">
        <v>180</v>
      </c>
      <c r="C24" s="18" t="s">
        <v>182</v>
      </c>
      <c r="D24" s="19">
        <v>1399302.75666</v>
      </c>
      <c r="E24" s="43">
        <f t="shared" si="0"/>
        <v>32.1</v>
      </c>
      <c r="F24" s="18" t="s">
        <v>113</v>
      </c>
      <c r="G24" s="18" t="s">
        <v>206</v>
      </c>
      <c r="H24" s="18">
        <f>'23'!C4</f>
        <v>1.2976273224391091</v>
      </c>
      <c r="I24" s="33">
        <f t="shared" si="1"/>
        <v>2.8607785497150227</v>
      </c>
      <c r="J24" s="24">
        <v>0.1</v>
      </c>
      <c r="K24" s="21">
        <f t="shared" ref="K24" si="7">ROUND(I24*J24,1)</f>
        <v>0.3</v>
      </c>
      <c r="L24" s="34">
        <f t="shared" si="2"/>
        <v>1.36077711E-4</v>
      </c>
      <c r="M24" s="21">
        <f>'23'!H4</f>
        <v>2.9498144353453886</v>
      </c>
      <c r="N24" s="33">
        <f t="shared" si="3"/>
        <v>6.5032276342746371</v>
      </c>
      <c r="O24" s="20">
        <v>0.1</v>
      </c>
      <c r="P24" s="21">
        <f>ROUND(N24*O24,1)</f>
        <v>0.7</v>
      </c>
      <c r="Q24" s="34">
        <f t="shared" si="4"/>
        <v>3.1751465899999999E-4</v>
      </c>
      <c r="R24" s="22" t="s">
        <v>110</v>
      </c>
    </row>
    <row r="25" spans="1:18" s="27" customFormat="1" ht="52.8" x14ac:dyDescent="0.25">
      <c r="A25" s="16" t="s">
        <v>19</v>
      </c>
      <c r="B25" s="17" t="s">
        <v>181</v>
      </c>
      <c r="C25" s="23" t="s">
        <v>181</v>
      </c>
      <c r="D25" s="16" t="s">
        <v>3</v>
      </c>
      <c r="E25" s="25" t="s">
        <v>3</v>
      </c>
      <c r="F25" s="23" t="s">
        <v>113</v>
      </c>
      <c r="G25" s="23" t="s">
        <v>210</v>
      </c>
      <c r="H25" s="16" t="s">
        <v>3</v>
      </c>
      <c r="I25" s="28" t="s">
        <v>3</v>
      </c>
      <c r="J25" s="24" t="s">
        <v>3</v>
      </c>
      <c r="K25" s="25">
        <f>ROUND(544*(1-0.47),1)</f>
        <v>288.3</v>
      </c>
      <c r="L25" s="37">
        <f t="shared" si="2"/>
        <v>0.130770680271</v>
      </c>
      <c r="M25" s="16" t="s">
        <v>3</v>
      </c>
      <c r="N25" s="25" t="s">
        <v>3</v>
      </c>
      <c r="O25" s="24" t="s">
        <v>3</v>
      </c>
      <c r="P25" s="25">
        <f>ROUND(849*(1-0.67),1)</f>
        <v>280.2</v>
      </c>
      <c r="Q25" s="37">
        <f t="shared" si="4"/>
        <v>0.12709658207399999</v>
      </c>
    </row>
    <row r="26" spans="1:18" s="22" customFormat="1" ht="184.8" x14ac:dyDescent="0.25">
      <c r="A26" s="16" t="s">
        <v>20</v>
      </c>
      <c r="B26" s="17" t="s">
        <v>148</v>
      </c>
      <c r="C26" s="18" t="s">
        <v>183</v>
      </c>
      <c r="D26" s="16">
        <v>540776696.11233628</v>
      </c>
      <c r="E26" s="43">
        <f t="shared" si="0"/>
        <v>12414.5</v>
      </c>
      <c r="F26" s="18" t="s">
        <v>113</v>
      </c>
      <c r="G26" s="18" t="s">
        <v>221</v>
      </c>
      <c r="H26" s="23">
        <f>'25'!C300</f>
        <v>1769.3488214072927</v>
      </c>
      <c r="I26" s="33">
        <f t="shared" si="1"/>
        <v>3900.7464375296854</v>
      </c>
      <c r="J26" s="29">
        <v>5.0000000000000001E-3</v>
      </c>
      <c r="K26" s="21">
        <f>ROUND(I26*J26,1)</f>
        <v>19.5</v>
      </c>
      <c r="L26" s="34">
        <f t="shared" si="2"/>
        <v>8.845051215E-3</v>
      </c>
      <c r="M26" s="25">
        <f>'25'!H300</f>
        <v>6154.8207170861288</v>
      </c>
      <c r="N26" s="33">
        <f t="shared" si="3"/>
        <v>13569.056986011377</v>
      </c>
      <c r="O26" s="24">
        <v>5.0000000000000001E-3</v>
      </c>
      <c r="P26" s="21">
        <f>ROUND(N26*O26,1)</f>
        <v>67.8</v>
      </c>
      <c r="Q26" s="34">
        <f t="shared" si="4"/>
        <v>3.0753562685999998E-2</v>
      </c>
    </row>
    <row r="27" spans="1:18" s="27" customFormat="1" ht="26.4" x14ac:dyDescent="0.25">
      <c r="A27" s="16" t="s">
        <v>21</v>
      </c>
      <c r="B27" s="23" t="s">
        <v>184</v>
      </c>
      <c r="C27" s="23" t="s">
        <v>114</v>
      </c>
      <c r="D27" s="16" t="s">
        <v>3</v>
      </c>
      <c r="E27" s="43">
        <v>19.100000000000001</v>
      </c>
      <c r="F27" s="23" t="s">
        <v>113</v>
      </c>
      <c r="G27" s="23" t="s">
        <v>211</v>
      </c>
      <c r="H27" s="23" t="s">
        <v>3</v>
      </c>
      <c r="I27" s="23" t="s">
        <v>3</v>
      </c>
      <c r="J27" s="23" t="s">
        <v>3</v>
      </c>
      <c r="K27" s="38">
        <f>ROUND(22*(1-0.47),1)</f>
        <v>11.7</v>
      </c>
      <c r="L27" s="37">
        <f t="shared" si="2"/>
        <v>5.3070307289999992E-3</v>
      </c>
      <c r="M27" s="16" t="s">
        <v>3</v>
      </c>
      <c r="N27" s="16" t="s">
        <v>3</v>
      </c>
      <c r="O27" s="16" t="s">
        <v>3</v>
      </c>
      <c r="P27" s="16">
        <f>ROUND(198.4*(1-0.67),1)</f>
        <v>65.5</v>
      </c>
      <c r="Q27" s="37">
        <f t="shared" si="4"/>
        <v>2.9710300235000001E-2</v>
      </c>
    </row>
    <row r="28" spans="1:18" s="22" customFormat="1" ht="26.4" x14ac:dyDescent="0.25">
      <c r="A28" s="16" t="s">
        <v>22</v>
      </c>
      <c r="B28" s="18" t="s">
        <v>185</v>
      </c>
      <c r="C28" s="18" t="s">
        <v>114</v>
      </c>
      <c r="D28" s="16" t="s">
        <v>3</v>
      </c>
      <c r="E28" s="43">
        <v>23.2</v>
      </c>
      <c r="F28" s="18" t="s">
        <v>113</v>
      </c>
      <c r="G28" s="18" t="s">
        <v>211</v>
      </c>
      <c r="H28" s="23" t="s">
        <v>3</v>
      </c>
      <c r="I28" s="23" t="s">
        <v>3</v>
      </c>
      <c r="J28" s="23" t="s">
        <v>3</v>
      </c>
      <c r="K28" s="19">
        <f>ROUND(13.1*(1-0.47),1)</f>
        <v>6.9</v>
      </c>
      <c r="L28" s="34">
        <f t="shared" si="2"/>
        <v>3.1297873530000001E-3</v>
      </c>
      <c r="M28" s="16" t="s">
        <v>3</v>
      </c>
      <c r="N28" s="16" t="s">
        <v>3</v>
      </c>
      <c r="O28" s="16" t="s">
        <v>3</v>
      </c>
      <c r="P28" s="19">
        <f>ROUND(240.3*(1-0.67),1)</f>
        <v>79.3</v>
      </c>
      <c r="Q28" s="34">
        <f t="shared" si="4"/>
        <v>3.5969874940999999E-2</v>
      </c>
    </row>
    <row r="29" spans="1:18" s="22" customFormat="1" ht="39.6" x14ac:dyDescent="0.25">
      <c r="A29" s="16" t="s">
        <v>23</v>
      </c>
      <c r="B29" s="18" t="s">
        <v>186</v>
      </c>
      <c r="C29" s="18" t="s">
        <v>114</v>
      </c>
      <c r="D29" s="19">
        <v>1829857.45102</v>
      </c>
      <c r="E29" s="43">
        <f t="shared" si="0"/>
        <v>42</v>
      </c>
      <c r="F29" s="18" t="s">
        <v>113</v>
      </c>
      <c r="G29" s="18" t="s">
        <v>206</v>
      </c>
      <c r="H29" s="18">
        <f>'28'!C4</f>
        <v>3.1606791239073746</v>
      </c>
      <c r="I29" s="33">
        <f t="shared" si="1"/>
        <v>6.9681046968172033</v>
      </c>
      <c r="J29" s="28" t="s">
        <v>217</v>
      </c>
      <c r="K29" s="25">
        <f>ROUND(((I29*(2/3))*0.782)+((I29*(1/3))*0.004),1)</f>
        <v>3.6</v>
      </c>
      <c r="L29" s="34">
        <f t="shared" si="2"/>
        <v>1.632932532E-3</v>
      </c>
      <c r="M29" s="19">
        <f>'28'!H4</f>
        <v>25.685747590957678</v>
      </c>
      <c r="N29" s="33">
        <f t="shared" si="3"/>
        <v>56.627380196870149</v>
      </c>
      <c r="O29" s="16" t="s">
        <v>218</v>
      </c>
      <c r="P29" s="25">
        <f>ROUND(((N29*(2/3))*0.424)+((N29*(1/3))*0.001),1)</f>
        <v>16</v>
      </c>
      <c r="Q29" s="34">
        <f t="shared" si="4"/>
        <v>7.2574779199999998E-3</v>
      </c>
      <c r="R29" s="22" t="s">
        <v>75</v>
      </c>
    </row>
    <row r="30" spans="1:18" s="22" customFormat="1" ht="39.6" x14ac:dyDescent="0.25">
      <c r="A30" s="16" t="s">
        <v>24</v>
      </c>
      <c r="B30" s="18" t="s">
        <v>187</v>
      </c>
      <c r="C30" s="18" t="s">
        <v>114</v>
      </c>
      <c r="D30" s="19">
        <v>1184025.4094799999</v>
      </c>
      <c r="E30" s="43">
        <f t="shared" si="0"/>
        <v>27.2</v>
      </c>
      <c r="F30" s="18" t="s">
        <v>113</v>
      </c>
      <c r="G30" s="18" t="s">
        <v>206</v>
      </c>
      <c r="H30" s="18">
        <f>'29'!C4</f>
        <v>2.0792032824684652</v>
      </c>
      <c r="I30" s="33">
        <f t="shared" si="1"/>
        <v>4.5838585918507935</v>
      </c>
      <c r="J30" s="28" t="s">
        <v>219</v>
      </c>
      <c r="K30" s="25">
        <f>ROUND(((I30*(2/3))*0.785)+((I30*(1/3))*0.027),1)</f>
        <v>2.4</v>
      </c>
      <c r="L30" s="34">
        <f t="shared" si="2"/>
        <v>1.088621688E-3</v>
      </c>
      <c r="M30" s="19">
        <f>'29'!H4</f>
        <v>12.245399660416812</v>
      </c>
      <c r="N30" s="33">
        <f t="shared" si="3"/>
        <v>26.996485104336941</v>
      </c>
      <c r="O30" s="16" t="s">
        <v>220</v>
      </c>
      <c r="P30" s="25">
        <f>ROUND(((N30*(2/3))*0.424)+((N30*(1/3))*0.005),1)</f>
        <v>7.7</v>
      </c>
      <c r="Q30" s="34">
        <f t="shared" si="4"/>
        <v>3.4926612490000001E-3</v>
      </c>
      <c r="R30" s="22" t="s">
        <v>75</v>
      </c>
    </row>
    <row r="31" spans="1:18" s="27" customFormat="1" ht="39.6" x14ac:dyDescent="0.25">
      <c r="A31" s="16" t="s">
        <v>25</v>
      </c>
      <c r="B31" s="23" t="s">
        <v>188</v>
      </c>
      <c r="C31" s="23" t="s">
        <v>114</v>
      </c>
      <c r="D31" s="16">
        <v>1722218.77743</v>
      </c>
      <c r="E31" s="43">
        <f t="shared" si="0"/>
        <v>39.5</v>
      </c>
      <c r="F31" s="23" t="s">
        <v>113</v>
      </c>
      <c r="G31" s="23" t="s">
        <v>206</v>
      </c>
      <c r="H31" s="23">
        <f>'30'!C4</f>
        <v>5.954755641659994</v>
      </c>
      <c r="I31" s="38">
        <f t="shared" si="1"/>
        <v>13.127988994894798</v>
      </c>
      <c r="J31" s="28" t="s">
        <v>215</v>
      </c>
      <c r="K31" s="25">
        <f>ROUND(((I31*(2/3))*0.807)+((I31*(1/3))*0.006),1)</f>
        <v>7.1</v>
      </c>
      <c r="L31" s="37">
        <f t="shared" si="2"/>
        <v>3.220505827E-3</v>
      </c>
      <c r="M31" s="16">
        <f>'30'!H4</f>
        <v>28.347619531889997</v>
      </c>
      <c r="N31" s="38">
        <f t="shared" si="3"/>
        <v>62.495803294184213</v>
      </c>
      <c r="O31" s="16" t="s">
        <v>216</v>
      </c>
      <c r="P31" s="25">
        <f>ROUND(((N31*(2/3))*0.428)+((N31*(1/3))*0.001),1)</f>
        <v>17.899999999999999</v>
      </c>
      <c r="Q31" s="37">
        <f t="shared" si="4"/>
        <v>8.1193034229999992E-3</v>
      </c>
      <c r="R31" s="27" t="s">
        <v>75</v>
      </c>
    </row>
    <row r="32" spans="1:18" s="22" customFormat="1" ht="39.6" x14ac:dyDescent="0.25">
      <c r="A32" s="16" t="s">
        <v>26</v>
      </c>
      <c r="B32" s="18" t="s">
        <v>189</v>
      </c>
      <c r="C32" s="18" t="s">
        <v>114</v>
      </c>
      <c r="D32" s="19">
        <v>1399302.75666</v>
      </c>
      <c r="E32" s="43">
        <f t="shared" si="0"/>
        <v>32.1</v>
      </c>
      <c r="F32" s="18" t="s">
        <v>113</v>
      </c>
      <c r="G32" s="18" t="s">
        <v>206</v>
      </c>
      <c r="H32" s="18">
        <f>'31'!C4</f>
        <v>2.11282254158571</v>
      </c>
      <c r="I32" s="33">
        <f t="shared" si="1"/>
        <v>4.6579763710288278</v>
      </c>
      <c r="J32" s="28" t="s">
        <v>217</v>
      </c>
      <c r="K32" s="25">
        <f>ROUND(((I32*(2/3))*0.782)+((I32*(1/3))*0.004),1)</f>
        <v>2.4</v>
      </c>
      <c r="L32" s="34">
        <f t="shared" si="2"/>
        <v>1.088621688E-3</v>
      </c>
      <c r="M32" s="19">
        <f>'31'!H4</f>
        <v>6.7723904068256893</v>
      </c>
      <c r="N32" s="33">
        <f t="shared" si="3"/>
        <v>14.93056509454922</v>
      </c>
      <c r="O32" s="16" t="s">
        <v>218</v>
      </c>
      <c r="P32" s="25">
        <f>ROUND(((N32*(2/3))*0.428)+((N32*(1/3))*0.001),1)</f>
        <v>4.3</v>
      </c>
      <c r="Q32" s="34">
        <f t="shared" si="4"/>
        <v>1.9504471909999998E-3</v>
      </c>
      <c r="R32" s="22" t="s">
        <v>75</v>
      </c>
    </row>
    <row r="33" spans="1:17" s="27" customFormat="1" ht="26.4" x14ac:dyDescent="0.25">
      <c r="A33" s="16" t="s">
        <v>27</v>
      </c>
      <c r="B33" s="23" t="s">
        <v>190</v>
      </c>
      <c r="C33" s="23" t="s">
        <v>114</v>
      </c>
      <c r="D33" s="16" t="s">
        <v>3</v>
      </c>
      <c r="E33" s="43">
        <v>13</v>
      </c>
      <c r="F33" s="23" t="s">
        <v>113</v>
      </c>
      <c r="G33" s="23" t="s">
        <v>206</v>
      </c>
      <c r="H33" s="16" t="s">
        <v>3</v>
      </c>
      <c r="I33" s="16" t="s">
        <v>3</v>
      </c>
      <c r="J33" s="16" t="s">
        <v>3</v>
      </c>
      <c r="K33" s="16">
        <f>ROUND(1.9926011445406*(1-0.47),1)</f>
        <v>1.1000000000000001</v>
      </c>
      <c r="L33" s="37">
        <f t="shared" si="2"/>
        <v>4.9895160700000004E-4</v>
      </c>
      <c r="M33" s="16" t="s">
        <v>3</v>
      </c>
      <c r="N33" s="16" t="s">
        <v>3</v>
      </c>
      <c r="O33" s="16" t="s">
        <v>3</v>
      </c>
      <c r="P33" s="16">
        <f>ROUND(5.10407080632886*(1-0.67),1)</f>
        <v>1.7</v>
      </c>
      <c r="Q33" s="37">
        <f t="shared" si="4"/>
        <v>7.7110702899999993E-4</v>
      </c>
    </row>
    <row r="34" spans="1:17" s="27" customFormat="1" ht="26.4" x14ac:dyDescent="0.25">
      <c r="A34" s="16" t="s">
        <v>28</v>
      </c>
      <c r="B34" s="23" t="s">
        <v>191</v>
      </c>
      <c r="C34" s="23" t="s">
        <v>114</v>
      </c>
      <c r="D34" s="16" t="s">
        <v>3</v>
      </c>
      <c r="E34" s="43">
        <v>13.3</v>
      </c>
      <c r="F34" s="23" t="s">
        <v>113</v>
      </c>
      <c r="G34" s="23" t="s">
        <v>206</v>
      </c>
      <c r="H34" s="16" t="s">
        <v>3</v>
      </c>
      <c r="I34" s="16" t="s">
        <v>3</v>
      </c>
      <c r="J34" s="16" t="s">
        <v>3</v>
      </c>
      <c r="K34" s="16">
        <f>ROUND(1.43552569134796*(1-0.47),1)</f>
        <v>0.8</v>
      </c>
      <c r="L34" s="37">
        <f t="shared" si="2"/>
        <v>3.6287389599999999E-4</v>
      </c>
      <c r="M34" s="16" t="s">
        <v>3</v>
      </c>
      <c r="N34" s="16" t="s">
        <v>3</v>
      </c>
      <c r="O34" s="16" t="s">
        <v>3</v>
      </c>
      <c r="P34" s="16">
        <f>ROUND(4.32609889016568*(1-0.67),1)</f>
        <v>1.4</v>
      </c>
      <c r="Q34" s="37">
        <f t="shared" si="4"/>
        <v>6.3502931799999998E-4</v>
      </c>
    </row>
    <row r="35" spans="1:17" s="27" customFormat="1" ht="26.4" x14ac:dyDescent="0.25">
      <c r="A35" s="16" t="s">
        <v>29</v>
      </c>
      <c r="B35" s="23" t="s">
        <v>192</v>
      </c>
      <c r="C35" s="23" t="s">
        <v>114</v>
      </c>
      <c r="D35" s="16" t="s">
        <v>3</v>
      </c>
      <c r="E35" s="43">
        <v>4</v>
      </c>
      <c r="F35" s="23" t="s">
        <v>113</v>
      </c>
      <c r="G35" s="23" t="s">
        <v>206</v>
      </c>
      <c r="H35" s="16" t="s">
        <v>3</v>
      </c>
      <c r="I35" s="16" t="s">
        <v>3</v>
      </c>
      <c r="J35" s="16" t="s">
        <v>3</v>
      </c>
      <c r="K35" s="16">
        <f>ROUND(0.303966264470854*(1-0.47),1)</f>
        <v>0.2</v>
      </c>
      <c r="L35" s="37">
        <f t="shared" si="2"/>
        <v>9.0718473999999998E-5</v>
      </c>
      <c r="M35" s="16" t="s">
        <v>3</v>
      </c>
      <c r="N35" s="16" t="s">
        <v>3</v>
      </c>
      <c r="O35" s="16" t="s">
        <v>3</v>
      </c>
      <c r="P35" s="16">
        <f>ROUND(1.14566163124893*(1-0.67),1)</f>
        <v>0.4</v>
      </c>
      <c r="Q35" s="37">
        <f t="shared" si="4"/>
        <v>1.81436948E-4</v>
      </c>
    </row>
    <row r="36" spans="1:17" s="27" customFormat="1" ht="26.4" x14ac:dyDescent="0.25">
      <c r="A36" s="16" t="s">
        <v>30</v>
      </c>
      <c r="B36" s="23" t="s">
        <v>193</v>
      </c>
      <c r="C36" s="23" t="s">
        <v>114</v>
      </c>
      <c r="D36" s="16" t="s">
        <v>3</v>
      </c>
      <c r="E36" s="43">
        <v>10.97</v>
      </c>
      <c r="F36" s="23" t="s">
        <v>113</v>
      </c>
      <c r="G36" s="23" t="s">
        <v>207</v>
      </c>
      <c r="H36" s="16" t="s">
        <v>3</v>
      </c>
      <c r="I36" s="16" t="s">
        <v>3</v>
      </c>
      <c r="J36" s="16" t="s">
        <v>3</v>
      </c>
      <c r="K36" s="16">
        <f>ROUND(0.821884548180913*(1-0.47),1)</f>
        <v>0.4</v>
      </c>
      <c r="L36" s="37">
        <f t="shared" si="2"/>
        <v>1.81436948E-4</v>
      </c>
      <c r="M36" s="16" t="s">
        <v>3</v>
      </c>
      <c r="N36" s="16" t="s">
        <v>3</v>
      </c>
      <c r="O36" s="16" t="s">
        <v>3</v>
      </c>
      <c r="P36" s="16">
        <f>ROUND(3.3033889852141*(1-0.67),1)</f>
        <v>1.1000000000000001</v>
      </c>
      <c r="Q36" s="37">
        <f t="shared" si="4"/>
        <v>4.9895160700000004E-4</v>
      </c>
    </row>
    <row r="37" spans="1:17" s="27" customFormat="1" ht="26.4" x14ac:dyDescent="0.25">
      <c r="A37" s="16" t="s">
        <v>31</v>
      </c>
      <c r="B37" s="23" t="s">
        <v>194</v>
      </c>
      <c r="C37" s="23" t="s">
        <v>114</v>
      </c>
      <c r="D37" s="16" t="s">
        <v>3</v>
      </c>
      <c r="E37" s="43">
        <v>11.9</v>
      </c>
      <c r="F37" s="23" t="s">
        <v>113</v>
      </c>
      <c r="G37" s="23" t="s">
        <v>207</v>
      </c>
      <c r="H37" s="16" t="s">
        <v>3</v>
      </c>
      <c r="I37" s="16" t="s">
        <v>3</v>
      </c>
      <c r="J37" s="16" t="s">
        <v>3</v>
      </c>
      <c r="K37" s="16">
        <f>ROUND(0.665504676999532*(1-0.47),1)</f>
        <v>0.4</v>
      </c>
      <c r="L37" s="37">
        <f t="shared" si="2"/>
        <v>1.81436948E-4</v>
      </c>
      <c r="M37" s="16" t="s">
        <v>3</v>
      </c>
      <c r="N37" s="16" t="s">
        <v>3</v>
      </c>
      <c r="O37" s="16" t="s">
        <v>3</v>
      </c>
      <c r="P37" s="16">
        <f>ROUND(3.22981264624544*(1-0.67),1)</f>
        <v>1.1000000000000001</v>
      </c>
      <c r="Q37" s="37">
        <f t="shared" si="4"/>
        <v>4.9895160700000004E-4</v>
      </c>
    </row>
    <row r="38" spans="1:17" x14ac:dyDescent="0.25">
      <c r="A38" s="36"/>
    </row>
    <row r="39" spans="1:17" x14ac:dyDescent="0.25">
      <c r="J39" s="13" t="s">
        <v>34</v>
      </c>
      <c r="K39" s="7">
        <f>SUM(K2:K26)+SUM(K27:K37)</f>
        <v>385.8</v>
      </c>
      <c r="L39" s="35">
        <f>SUM(L2:L26)+SUM(L27:L37)</f>
        <v>0.17499593634600003</v>
      </c>
      <c r="M39" s="7"/>
      <c r="N39" s="7"/>
      <c r="P39" s="7">
        <f>SUM(P2:P26)+SUM(P27:P37)</f>
        <v>711.79999999999984</v>
      </c>
      <c r="Q39" s="35">
        <f>SUM(Q2:Q26)+SUM(Q27:Q37)</f>
        <v>0.32286704896599999</v>
      </c>
    </row>
  </sheetData>
  <dataConsolidate/>
  <phoneticPr fontId="1" type="noConversion"/>
  <printOptions gridLines="1"/>
  <pageMargins left="0.5" right="0.25" top="1" bottom="1" header="0.5" footer="0.5"/>
  <pageSetup paperSize="3" fitToWidth="0" fitToHeight="0" orientation="landscape" blackAndWhite="1" r:id="rId1"/>
  <headerFooter alignWithMargins="0">
    <oddHeader>&amp;C&amp;"Arial,Bold"Lake Okeechobee Basin Management Action Plan (BMAP)
Project Collection Sheet</oddHeader>
    <oddFooter>&amp;C&amp;"Arial,Italic"Page &amp;P</oddFooter>
  </headerFooter>
  <colBreaks count="1" manualBreakCount="1">
    <brk id="17" max="142"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DE125-3E8E-4EDB-872C-8EAA7B00D951}">
  <dimension ref="A1:H4"/>
  <sheetViews>
    <sheetView workbookViewId="0">
      <selection activeCell="H2" sqref="H2:H4"/>
    </sheetView>
  </sheetViews>
  <sheetFormatPr defaultRowHeight="13.2" x14ac:dyDescent="0.25"/>
  <sheetData>
    <row r="1" spans="1:8" x14ac:dyDescent="0.25">
      <c r="A1" s="66" t="s">
        <v>222</v>
      </c>
      <c r="B1" s="66" t="s">
        <v>223</v>
      </c>
      <c r="C1" s="66" t="s">
        <v>224</v>
      </c>
      <c r="F1" s="178" t="s">
        <v>222</v>
      </c>
      <c r="G1" s="178" t="s">
        <v>223</v>
      </c>
      <c r="H1" s="178" t="s">
        <v>224</v>
      </c>
    </row>
    <row r="2" spans="1:8" x14ac:dyDescent="0.25">
      <c r="A2" s="67">
        <v>1</v>
      </c>
      <c r="B2" s="67">
        <v>7</v>
      </c>
      <c r="C2" s="68">
        <v>0</v>
      </c>
      <c r="F2" s="179">
        <v>1</v>
      </c>
      <c r="G2" s="179">
        <v>7</v>
      </c>
      <c r="H2" s="180">
        <v>0.10078271019275657</v>
      </c>
    </row>
    <row r="3" spans="1:8" x14ac:dyDescent="0.25">
      <c r="A3" s="129">
        <v>1</v>
      </c>
      <c r="B3" s="129">
        <v>7</v>
      </c>
      <c r="C3" s="130">
        <v>0.46653990872712364</v>
      </c>
      <c r="F3" s="241">
        <v>1</v>
      </c>
      <c r="G3" s="241">
        <v>7</v>
      </c>
      <c r="H3" s="242">
        <v>2.5608551116815823</v>
      </c>
    </row>
    <row r="4" spans="1:8" x14ac:dyDescent="0.25">
      <c r="C4">
        <f>SUM(C2:C3)</f>
        <v>0.46653990872712364</v>
      </c>
      <c r="H4">
        <f>SUM(H2:H3)</f>
        <v>2.6616378218743391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1646C-98FA-475C-96FA-B637C918C26E}">
  <dimension ref="A1:H4"/>
  <sheetViews>
    <sheetView workbookViewId="0">
      <selection activeCell="H2" sqref="H2:H4"/>
    </sheetView>
  </sheetViews>
  <sheetFormatPr defaultRowHeight="13.2" x14ac:dyDescent="0.25"/>
  <sheetData>
    <row r="1" spans="1:8" x14ac:dyDescent="0.25">
      <c r="A1" s="69" t="s">
        <v>222</v>
      </c>
      <c r="B1" s="69" t="s">
        <v>223</v>
      </c>
      <c r="C1" s="69" t="s">
        <v>224</v>
      </c>
      <c r="F1" s="181" t="s">
        <v>222</v>
      </c>
      <c r="G1" s="181" t="s">
        <v>223</v>
      </c>
      <c r="H1" s="181" t="s">
        <v>224</v>
      </c>
    </row>
    <row r="2" spans="1:8" x14ac:dyDescent="0.25">
      <c r="A2" s="70">
        <v>1</v>
      </c>
      <c r="B2" s="70">
        <v>26</v>
      </c>
      <c r="C2" s="71">
        <v>6.5693127693766729E-2</v>
      </c>
      <c r="F2" s="182">
        <v>1</v>
      </c>
      <c r="G2" s="182">
        <v>26</v>
      </c>
      <c r="H2" s="183">
        <v>1.2522360654261178</v>
      </c>
    </row>
    <row r="3" spans="1:8" x14ac:dyDescent="0.25">
      <c r="A3" s="131">
        <v>1</v>
      </c>
      <c r="B3" s="131">
        <v>26</v>
      </c>
      <c r="C3" s="132">
        <v>1.7370603957561561</v>
      </c>
      <c r="F3" s="243">
        <v>1</v>
      </c>
      <c r="G3" s="243">
        <v>26</v>
      </c>
      <c r="H3" s="244">
        <v>15.671472550422147</v>
      </c>
    </row>
    <row r="4" spans="1:8" x14ac:dyDescent="0.25">
      <c r="C4">
        <f>SUM(C2:C3)</f>
        <v>1.8027535234499228</v>
      </c>
      <c r="H4">
        <f>SUM(H2:H3)</f>
        <v>16.923708615848263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9E1E0-9057-4BA7-A62F-389CC171874B}">
  <dimension ref="A1:H4"/>
  <sheetViews>
    <sheetView workbookViewId="0">
      <selection activeCell="H2" sqref="H2:H4"/>
    </sheetView>
  </sheetViews>
  <sheetFormatPr defaultRowHeight="13.2" x14ac:dyDescent="0.25"/>
  <sheetData>
    <row r="1" spans="1:8" x14ac:dyDescent="0.25">
      <c r="A1" s="72" t="s">
        <v>222</v>
      </c>
      <c r="B1" s="72" t="s">
        <v>223</v>
      </c>
      <c r="C1" s="72" t="s">
        <v>224</v>
      </c>
      <c r="F1" s="184" t="s">
        <v>222</v>
      </c>
      <c r="G1" s="184" t="s">
        <v>223</v>
      </c>
      <c r="H1" s="184" t="s">
        <v>224</v>
      </c>
    </row>
    <row r="2" spans="1:8" x14ac:dyDescent="0.25">
      <c r="A2" s="73">
        <v>1</v>
      </c>
      <c r="B2" s="73">
        <v>16</v>
      </c>
      <c r="C2" s="74">
        <v>5.2837475238174864E-2</v>
      </c>
      <c r="F2" s="185">
        <v>1</v>
      </c>
      <c r="G2" s="185">
        <v>16</v>
      </c>
      <c r="H2" s="186">
        <v>14.448631340016686</v>
      </c>
    </row>
    <row r="3" spans="1:8" x14ac:dyDescent="0.25">
      <c r="A3" s="133">
        <v>1</v>
      </c>
      <c r="B3" s="133">
        <v>16</v>
      </c>
      <c r="C3" s="134">
        <v>1.3841540021861174</v>
      </c>
      <c r="F3" s="245">
        <v>1</v>
      </c>
      <c r="G3" s="245">
        <v>16</v>
      </c>
      <c r="H3" s="246">
        <v>17.088454760023971</v>
      </c>
    </row>
    <row r="4" spans="1:8" x14ac:dyDescent="0.25">
      <c r="C4">
        <f>SUM(C2:C3)</f>
        <v>1.4369914774242922</v>
      </c>
      <c r="H4">
        <f>SUM(H2:H3)</f>
        <v>31.537086100040657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966AA-8EB1-49B0-8CE2-AEF2EF68251E}">
  <dimension ref="A1:H4"/>
  <sheetViews>
    <sheetView workbookViewId="0">
      <selection activeCell="H2" sqref="H2:H4"/>
    </sheetView>
  </sheetViews>
  <sheetFormatPr defaultRowHeight="13.2" x14ac:dyDescent="0.25"/>
  <sheetData>
    <row r="1" spans="1:8" x14ac:dyDescent="0.25">
      <c r="A1" s="75" t="s">
        <v>222</v>
      </c>
      <c r="B1" s="75" t="s">
        <v>223</v>
      </c>
      <c r="C1" s="75" t="s">
        <v>224</v>
      </c>
      <c r="F1" s="187" t="s">
        <v>222</v>
      </c>
      <c r="G1" s="187" t="s">
        <v>223</v>
      </c>
      <c r="H1" s="187" t="s">
        <v>224</v>
      </c>
    </row>
    <row r="2" spans="1:8" x14ac:dyDescent="0.25">
      <c r="A2" s="76">
        <v>1</v>
      </c>
      <c r="B2" s="76">
        <v>30</v>
      </c>
      <c r="C2" s="77">
        <v>1.2736479956372337E-2</v>
      </c>
      <c r="F2" s="188">
        <v>1</v>
      </c>
      <c r="G2" s="188">
        <v>30</v>
      </c>
      <c r="H2" s="189">
        <v>1.5916653503920637</v>
      </c>
    </row>
    <row r="3" spans="1:8" x14ac:dyDescent="0.25">
      <c r="A3" s="135">
        <v>1</v>
      </c>
      <c r="B3" s="135">
        <v>30</v>
      </c>
      <c r="C3" s="136">
        <v>1.8616730002630499</v>
      </c>
      <c r="F3" s="247">
        <v>1</v>
      </c>
      <c r="G3" s="247">
        <v>30</v>
      </c>
      <c r="H3" s="248">
        <v>13.416897841167222</v>
      </c>
    </row>
    <row r="4" spans="1:8" x14ac:dyDescent="0.25">
      <c r="C4">
        <f>SUM(C2:C3)</f>
        <v>1.8744094802194222</v>
      </c>
      <c r="H4">
        <f>SUM(H2:H3)</f>
        <v>15.008563191559286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79EF7-5A0F-4D2D-940F-4FA953926362}">
  <dimension ref="A1:H4"/>
  <sheetViews>
    <sheetView workbookViewId="0">
      <selection activeCell="H2" sqref="H2:H4"/>
    </sheetView>
  </sheetViews>
  <sheetFormatPr defaultRowHeight="13.2" x14ac:dyDescent="0.25"/>
  <sheetData>
    <row r="1" spans="1:8" x14ac:dyDescent="0.25">
      <c r="A1" s="78" t="s">
        <v>222</v>
      </c>
      <c r="B1" s="78" t="s">
        <v>223</v>
      </c>
      <c r="C1" s="78" t="s">
        <v>224</v>
      </c>
      <c r="F1" s="190" t="s">
        <v>222</v>
      </c>
      <c r="G1" s="190" t="s">
        <v>223</v>
      </c>
      <c r="H1" s="190" t="s">
        <v>224</v>
      </c>
    </row>
    <row r="2" spans="1:8" x14ac:dyDescent="0.25">
      <c r="A2" s="79">
        <v>1</v>
      </c>
      <c r="B2" s="79">
        <v>55</v>
      </c>
      <c r="C2" s="80">
        <v>0</v>
      </c>
      <c r="F2" s="191">
        <v>1</v>
      </c>
      <c r="G2" s="191">
        <v>55</v>
      </c>
      <c r="H2" s="192">
        <v>0.49392196748350048</v>
      </c>
    </row>
    <row r="3" spans="1:8" x14ac:dyDescent="0.25">
      <c r="A3" s="137">
        <v>1</v>
      </c>
      <c r="B3" s="137">
        <v>55</v>
      </c>
      <c r="C3" s="138">
        <v>4.6444635383049526</v>
      </c>
      <c r="F3" s="249">
        <v>1</v>
      </c>
      <c r="G3" s="249">
        <v>55</v>
      </c>
      <c r="H3" s="250">
        <v>19.160506774706981</v>
      </c>
    </row>
    <row r="4" spans="1:8" x14ac:dyDescent="0.25">
      <c r="C4">
        <f>SUM(C2:C3)</f>
        <v>4.6444635383049526</v>
      </c>
      <c r="H4">
        <f>SUM(H2:H3)</f>
        <v>19.654428742190483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D220D-ACDA-41F6-922F-3AF585086784}">
  <dimension ref="A1:H4"/>
  <sheetViews>
    <sheetView workbookViewId="0">
      <selection activeCell="H2" sqref="H2:H4"/>
    </sheetView>
  </sheetViews>
  <sheetFormatPr defaultRowHeight="13.2" x14ac:dyDescent="0.25"/>
  <sheetData>
    <row r="1" spans="1:8" x14ac:dyDescent="0.25">
      <c r="A1" s="81" t="s">
        <v>222</v>
      </c>
      <c r="B1" s="81" t="s">
        <v>223</v>
      </c>
      <c r="C1" s="81" t="s">
        <v>224</v>
      </c>
      <c r="F1" s="193" t="s">
        <v>222</v>
      </c>
      <c r="G1" s="193" t="s">
        <v>223</v>
      </c>
      <c r="H1" s="193" t="s">
        <v>224</v>
      </c>
    </row>
    <row r="2" spans="1:8" x14ac:dyDescent="0.25">
      <c r="A2" s="82">
        <v>1</v>
      </c>
      <c r="B2" s="82">
        <v>8</v>
      </c>
      <c r="C2" s="83">
        <v>2.9769967488688563E-2</v>
      </c>
      <c r="F2" s="194">
        <v>1</v>
      </c>
      <c r="G2" s="194">
        <v>8</v>
      </c>
      <c r="H2" s="195">
        <v>0.48207858176703627</v>
      </c>
    </row>
    <row r="3" spans="1:8" x14ac:dyDescent="0.25">
      <c r="A3" s="139">
        <v>1</v>
      </c>
      <c r="B3" s="139">
        <v>8</v>
      </c>
      <c r="C3" s="140">
        <v>0.76411447125724896</v>
      </c>
      <c r="F3" s="251">
        <v>1</v>
      </c>
      <c r="G3" s="251">
        <v>8</v>
      </c>
      <c r="H3" s="252">
        <v>4.0541640486695396</v>
      </c>
    </row>
    <row r="4" spans="1:8" x14ac:dyDescent="0.25">
      <c r="C4">
        <f>SUM(C2:C3)</f>
        <v>0.7938844387459375</v>
      </c>
      <c r="H4">
        <f>SUM(H2:H3)</f>
        <v>4.5362426304365755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5508A-702B-4702-9FB5-9DDDCF9507D6}">
  <dimension ref="A1:H4"/>
  <sheetViews>
    <sheetView workbookViewId="0">
      <selection activeCell="H2" sqref="H2:H4"/>
    </sheetView>
  </sheetViews>
  <sheetFormatPr defaultRowHeight="13.2" x14ac:dyDescent="0.25"/>
  <sheetData>
    <row r="1" spans="1:8" x14ac:dyDescent="0.25">
      <c r="A1" s="84" t="s">
        <v>222</v>
      </c>
      <c r="B1" s="84" t="s">
        <v>223</v>
      </c>
      <c r="C1" s="84" t="s">
        <v>224</v>
      </c>
      <c r="F1" s="196" t="s">
        <v>222</v>
      </c>
      <c r="G1" s="196" t="s">
        <v>223</v>
      </c>
      <c r="H1" s="196" t="s">
        <v>224</v>
      </c>
    </row>
    <row r="2" spans="1:8" x14ac:dyDescent="0.25">
      <c r="A2" s="85">
        <v>1</v>
      </c>
      <c r="B2" s="85">
        <v>57</v>
      </c>
      <c r="C2" s="86">
        <v>0</v>
      </c>
      <c r="F2" s="197">
        <v>1</v>
      </c>
      <c r="G2" s="197">
        <v>57</v>
      </c>
      <c r="H2" s="198">
        <v>0.60197231678748231</v>
      </c>
    </row>
    <row r="3" spans="1:8" x14ac:dyDescent="0.25">
      <c r="A3" s="141">
        <v>1</v>
      </c>
      <c r="B3" s="141">
        <v>57</v>
      </c>
      <c r="C3" s="142">
        <v>3.9351712699561268</v>
      </c>
      <c r="F3" s="253">
        <v>1</v>
      </c>
      <c r="G3" s="253">
        <v>57</v>
      </c>
      <c r="H3" s="254">
        <v>12.364613269639808</v>
      </c>
    </row>
    <row r="4" spans="1:8" x14ac:dyDescent="0.25">
      <c r="C4">
        <f>SUM(C2:C3)</f>
        <v>3.9351712699561268</v>
      </c>
      <c r="H4">
        <f>SUM(H2:H3)</f>
        <v>12.966585586427289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A1D26-4396-4710-8768-EA03814FE912}">
  <dimension ref="A1:H4"/>
  <sheetViews>
    <sheetView workbookViewId="0">
      <selection activeCell="H2" sqref="H2:H4"/>
    </sheetView>
  </sheetViews>
  <sheetFormatPr defaultRowHeight="13.2" x14ac:dyDescent="0.25"/>
  <sheetData>
    <row r="1" spans="1:8" x14ac:dyDescent="0.25">
      <c r="A1" s="87" t="s">
        <v>222</v>
      </c>
      <c r="B1" s="87" t="s">
        <v>223</v>
      </c>
      <c r="C1" s="87" t="s">
        <v>224</v>
      </c>
      <c r="F1" s="199" t="s">
        <v>222</v>
      </c>
      <c r="G1" s="199" t="s">
        <v>223</v>
      </c>
      <c r="H1" s="199" t="s">
        <v>224</v>
      </c>
    </row>
    <row r="2" spans="1:8" x14ac:dyDescent="0.25">
      <c r="A2" s="88">
        <v>1</v>
      </c>
      <c r="B2" s="88">
        <v>7</v>
      </c>
      <c r="C2" s="89">
        <v>2.5376385224108376E-2</v>
      </c>
      <c r="F2" s="200">
        <v>1</v>
      </c>
      <c r="G2" s="200">
        <v>7</v>
      </c>
      <c r="H2" s="201">
        <v>0.78563204038391088</v>
      </c>
    </row>
    <row r="3" spans="1:8" x14ac:dyDescent="0.25">
      <c r="A3" s="143">
        <v>1</v>
      </c>
      <c r="B3" s="143">
        <v>7</v>
      </c>
      <c r="C3" s="144">
        <v>0.1426705771956423</v>
      </c>
      <c r="F3" s="255">
        <v>1</v>
      </c>
      <c r="G3" s="255">
        <v>7</v>
      </c>
      <c r="H3" s="256">
        <v>1.4757593520718728</v>
      </c>
    </row>
    <row r="4" spans="1:8" x14ac:dyDescent="0.25">
      <c r="C4">
        <f>SUM(C2:C3)</f>
        <v>0.16804696241975067</v>
      </c>
      <c r="H4">
        <f>SUM(H2:H3)</f>
        <v>2.2613913924557836</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8A73E-267A-43CD-9D86-457747A79FAC}">
  <dimension ref="A1:H4"/>
  <sheetViews>
    <sheetView workbookViewId="0">
      <selection activeCell="H2" sqref="H2:H4"/>
    </sheetView>
  </sheetViews>
  <sheetFormatPr defaultRowHeight="13.2" x14ac:dyDescent="0.25"/>
  <sheetData>
    <row r="1" spans="1:8" x14ac:dyDescent="0.25">
      <c r="A1" s="90" t="s">
        <v>222</v>
      </c>
      <c r="B1" s="90" t="s">
        <v>223</v>
      </c>
      <c r="C1" s="90" t="s">
        <v>224</v>
      </c>
      <c r="F1" s="202" t="s">
        <v>222</v>
      </c>
      <c r="G1" s="202" t="s">
        <v>223</v>
      </c>
      <c r="H1" s="202" t="s">
        <v>224</v>
      </c>
    </row>
    <row r="2" spans="1:8" x14ac:dyDescent="0.25">
      <c r="A2" s="91">
        <v>1</v>
      </c>
      <c r="B2" s="91">
        <v>15</v>
      </c>
      <c r="C2" s="92">
        <v>3.3255518243355389E-2</v>
      </c>
      <c r="F2" s="203">
        <v>1</v>
      </c>
      <c r="G2" s="203">
        <v>15</v>
      </c>
      <c r="H2" s="204">
        <v>0.76769535895693886</v>
      </c>
    </row>
    <row r="3" spans="1:8" x14ac:dyDescent="0.25">
      <c r="A3" s="145">
        <v>1</v>
      </c>
      <c r="B3" s="145">
        <v>15</v>
      </c>
      <c r="C3" s="146">
        <v>0.4197769117738977</v>
      </c>
      <c r="F3" s="257">
        <v>1</v>
      </c>
      <c r="G3" s="257">
        <v>15</v>
      </c>
      <c r="H3" s="258">
        <v>2.9606753717100358</v>
      </c>
    </row>
    <row r="4" spans="1:8" x14ac:dyDescent="0.25">
      <c r="C4">
        <f>SUM(C2:C3)</f>
        <v>0.45303243001725307</v>
      </c>
      <c r="H4">
        <f>SUM(H2:H3)</f>
        <v>3.7283707306669749</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EEC90-1A4D-4A6F-BA2A-582F4D71AF3E}">
  <dimension ref="A1:H4"/>
  <sheetViews>
    <sheetView workbookViewId="0">
      <selection activeCell="H2" sqref="H2:H4"/>
    </sheetView>
  </sheetViews>
  <sheetFormatPr defaultRowHeight="13.2" x14ac:dyDescent="0.25"/>
  <sheetData>
    <row r="1" spans="1:8" x14ac:dyDescent="0.25">
      <c r="A1" s="93" t="s">
        <v>222</v>
      </c>
      <c r="B1" s="93" t="s">
        <v>223</v>
      </c>
      <c r="C1" s="93" t="s">
        <v>224</v>
      </c>
      <c r="F1" s="205" t="s">
        <v>222</v>
      </c>
      <c r="G1" s="205" t="s">
        <v>223</v>
      </c>
      <c r="H1" s="205" t="s">
        <v>224</v>
      </c>
    </row>
    <row r="2" spans="1:8" x14ac:dyDescent="0.25">
      <c r="A2" s="94">
        <v>1</v>
      </c>
      <c r="B2" s="94">
        <v>27</v>
      </c>
      <c r="C2" s="95">
        <v>1.211197016027039E-5</v>
      </c>
      <c r="F2" s="206">
        <v>1</v>
      </c>
      <c r="G2" s="206">
        <v>27</v>
      </c>
      <c r="H2" s="207">
        <v>0.18612548349062541</v>
      </c>
    </row>
    <row r="3" spans="1:8" x14ac:dyDescent="0.25">
      <c r="A3" s="147">
        <v>1</v>
      </c>
      <c r="B3" s="147">
        <v>27</v>
      </c>
      <c r="C3" s="148">
        <v>0.40047927884683843</v>
      </c>
      <c r="F3" s="259">
        <v>1</v>
      </c>
      <c r="G3" s="259">
        <v>27</v>
      </c>
      <c r="H3" s="260">
        <v>3.7716931313740223</v>
      </c>
    </row>
    <row r="4" spans="1:8" x14ac:dyDescent="0.25">
      <c r="C4">
        <f>SUM(C2:C3)</f>
        <v>0.40049139081699869</v>
      </c>
      <c r="H4">
        <f>SUM(H2:H3)</f>
        <v>3.9578186148646477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29"/>
  <sheetViews>
    <sheetView topLeftCell="A306" workbookViewId="0">
      <selection activeCell="D318" sqref="D318"/>
    </sheetView>
  </sheetViews>
  <sheetFormatPr defaultRowHeight="13.2" x14ac:dyDescent="0.25"/>
  <cols>
    <col min="1" max="1" width="14.88671875" customWidth="1"/>
  </cols>
  <sheetData>
    <row r="1" spans="1:6" x14ac:dyDescent="0.25">
      <c r="A1" s="8" t="s">
        <v>2</v>
      </c>
    </row>
    <row r="2" spans="1:6" x14ac:dyDescent="0.25">
      <c r="B2" t="s">
        <v>35</v>
      </c>
      <c r="D2" t="s">
        <v>36</v>
      </c>
      <c r="F2" t="s">
        <v>37</v>
      </c>
    </row>
    <row r="3" spans="1:6" x14ac:dyDescent="0.25">
      <c r="A3" t="s">
        <v>38</v>
      </c>
      <c r="B3">
        <v>104</v>
      </c>
      <c r="C3" t="s">
        <v>39</v>
      </c>
      <c r="D3">
        <v>21</v>
      </c>
      <c r="E3" t="s">
        <v>39</v>
      </c>
    </row>
    <row r="4" spans="1:6" x14ac:dyDescent="0.25">
      <c r="A4" t="s">
        <v>40</v>
      </c>
      <c r="B4" s="9">
        <f>(ROUND((43.75*B3)/(4.38+B3),1))/100</f>
        <v>0.42</v>
      </c>
      <c r="C4" s="9"/>
      <c r="D4" s="9">
        <f>(ROUND((43.75*D3)/(4.38+D3),1))/100</f>
        <v>0.36200000000000004</v>
      </c>
      <c r="E4" s="9"/>
      <c r="F4" s="9">
        <f>B4-D4</f>
        <v>5.799999999999994E-2</v>
      </c>
    </row>
    <row r="5" spans="1:6" x14ac:dyDescent="0.25">
      <c r="A5" t="s">
        <v>41</v>
      </c>
      <c r="B5" s="9">
        <f>(ROUND(44.53+6.146*LN(B3)+0.145*(LN(B3)^2),1))/100</f>
        <v>0.76200000000000001</v>
      </c>
      <c r="C5" s="9"/>
      <c r="D5" s="9">
        <f>(ROUND(44.53+6.146*LN(D3)+0.145*(LN(D3)^2),1))/100</f>
        <v>0.64599999999999991</v>
      </c>
      <c r="E5" s="9"/>
      <c r="F5" s="9">
        <f>B5-D5</f>
        <v>0.1160000000000001</v>
      </c>
    </row>
    <row r="7" spans="1:6" x14ac:dyDescent="0.25">
      <c r="A7" s="8" t="s">
        <v>43</v>
      </c>
    </row>
    <row r="8" spans="1:6" x14ac:dyDescent="0.25">
      <c r="B8" t="s">
        <v>35</v>
      </c>
      <c r="D8" t="s">
        <v>36</v>
      </c>
      <c r="F8" t="s">
        <v>37</v>
      </c>
    </row>
    <row r="9" spans="1:6" x14ac:dyDescent="0.25">
      <c r="A9" t="s">
        <v>38</v>
      </c>
      <c r="B9">
        <v>81</v>
      </c>
      <c r="C9" t="s">
        <v>39</v>
      </c>
      <c r="D9">
        <v>21</v>
      </c>
      <c r="E9" t="s">
        <v>39</v>
      </c>
    </row>
    <row r="10" spans="1:6" x14ac:dyDescent="0.25">
      <c r="A10" t="s">
        <v>40</v>
      </c>
      <c r="B10" s="9">
        <f>(ROUND((43.75*B9)/(4.38+B9),1))/100</f>
        <v>0.41499999999999998</v>
      </c>
      <c r="C10" s="9"/>
      <c r="D10" s="9">
        <f>(ROUND((43.75*D9)/(4.38+D9),1))/100</f>
        <v>0.36200000000000004</v>
      </c>
      <c r="E10" s="9"/>
      <c r="F10" s="9">
        <f>B10-D10</f>
        <v>5.2999999999999936E-2</v>
      </c>
    </row>
    <row r="11" spans="1:6" x14ac:dyDescent="0.25">
      <c r="A11" t="s">
        <v>41</v>
      </c>
      <c r="B11" s="9">
        <f>(ROUND(44.53+6.146*LN(B9)+0.145*(LN(B9)^2),1))/100</f>
        <v>0.74299999999999999</v>
      </c>
      <c r="C11" s="9"/>
      <c r="D11" s="9">
        <f>(ROUND(44.53+6.146*LN(D9)+0.145*(LN(D9)^2),1))/100</f>
        <v>0.64599999999999991</v>
      </c>
      <c r="E11" s="9"/>
      <c r="F11" s="9">
        <f>B11-D11</f>
        <v>9.7000000000000086E-2</v>
      </c>
    </row>
    <row r="13" spans="1:6" x14ac:dyDescent="0.25">
      <c r="A13" s="8" t="s">
        <v>44</v>
      </c>
    </row>
    <row r="14" spans="1:6" x14ac:dyDescent="0.25">
      <c r="B14" t="s">
        <v>35</v>
      </c>
      <c r="D14" t="s">
        <v>36</v>
      </c>
      <c r="F14" t="s">
        <v>37</v>
      </c>
    </row>
    <row r="15" spans="1:6" x14ac:dyDescent="0.25">
      <c r="A15" t="s">
        <v>38</v>
      </c>
      <c r="B15">
        <v>75</v>
      </c>
      <c r="C15" t="s">
        <v>39</v>
      </c>
      <c r="D15">
        <v>21</v>
      </c>
      <c r="E15" t="s">
        <v>39</v>
      </c>
    </row>
    <row r="16" spans="1:6" x14ac:dyDescent="0.25">
      <c r="A16" t="s">
        <v>40</v>
      </c>
      <c r="B16" s="9">
        <f>(ROUND((43.75*B15)/(4.38+B15),1))/100</f>
        <v>0.41299999999999998</v>
      </c>
      <c r="C16" s="9"/>
      <c r="D16" s="9">
        <f>(ROUND((43.75*D15)/(4.38+D15),1))/100</f>
        <v>0.36200000000000004</v>
      </c>
      <c r="E16" s="9"/>
      <c r="F16" s="9">
        <f>B16-D16</f>
        <v>5.0999999999999934E-2</v>
      </c>
    </row>
    <row r="17" spans="1:11" x14ac:dyDescent="0.25">
      <c r="A17" t="s">
        <v>41</v>
      </c>
      <c r="B17" s="9">
        <f>(ROUND(44.53+6.146*LN(B15)+0.145*(LN(B15)^2),1))/100</f>
        <v>0.73799999999999999</v>
      </c>
      <c r="C17" s="9"/>
      <c r="D17" s="9">
        <f>(ROUND(44.53+6.146*LN(D15)+0.145*(LN(D15)^2),1))/100</f>
        <v>0.64599999999999991</v>
      </c>
      <c r="E17" s="9"/>
      <c r="F17" s="9">
        <f>B17-D17</f>
        <v>9.2000000000000082E-2</v>
      </c>
    </row>
    <row r="19" spans="1:11" x14ac:dyDescent="0.25">
      <c r="A19" s="8" t="s">
        <v>49</v>
      </c>
    </row>
    <row r="20" spans="1:11" x14ac:dyDescent="0.25">
      <c r="B20" t="s">
        <v>35</v>
      </c>
      <c r="D20" t="s">
        <v>36</v>
      </c>
      <c r="F20" t="s">
        <v>37</v>
      </c>
    </row>
    <row r="21" spans="1:11" x14ac:dyDescent="0.25">
      <c r="A21" t="s">
        <v>38</v>
      </c>
      <c r="B21">
        <v>114</v>
      </c>
      <c r="C21" t="s">
        <v>39</v>
      </c>
      <c r="D21">
        <v>21</v>
      </c>
      <c r="E21" t="s">
        <v>39</v>
      </c>
    </row>
    <row r="22" spans="1:11" x14ac:dyDescent="0.25">
      <c r="A22" t="s">
        <v>40</v>
      </c>
      <c r="B22" s="9">
        <f>(ROUND((43.75*B21)/(4.38+B21),1))/100</f>
        <v>0.42100000000000004</v>
      </c>
      <c r="C22" s="9"/>
      <c r="D22" s="9">
        <f>(ROUND((43.75*D21)/(4.38+D21),1))/100</f>
        <v>0.36200000000000004</v>
      </c>
      <c r="E22" s="9"/>
      <c r="F22" s="9">
        <f>B22-D22</f>
        <v>5.8999999999999997E-2</v>
      </c>
    </row>
    <row r="23" spans="1:11" x14ac:dyDescent="0.25">
      <c r="A23" t="s">
        <v>41</v>
      </c>
      <c r="B23" s="9">
        <f>(ROUND(44.53+6.146*LN(B21)+0.145*(LN(B21)^2),1))/100</f>
        <v>0.76900000000000002</v>
      </c>
      <c r="C23" s="9"/>
      <c r="D23" s="9">
        <f>(ROUND(44.53+6.146*LN(D21)+0.145*(LN(D21)^2),1))/100</f>
        <v>0.64599999999999991</v>
      </c>
      <c r="E23" s="9"/>
      <c r="F23" s="9">
        <f>B23-D23</f>
        <v>0.12300000000000011</v>
      </c>
    </row>
    <row r="25" spans="1:11" x14ac:dyDescent="0.25">
      <c r="A25" s="8" t="s">
        <v>76</v>
      </c>
      <c r="J25" s="10" t="s">
        <v>80</v>
      </c>
    </row>
    <row r="26" spans="1:11" x14ac:dyDescent="0.25">
      <c r="B26" t="s">
        <v>35</v>
      </c>
      <c r="D26" t="s">
        <v>36</v>
      </c>
      <c r="F26" t="s">
        <v>37</v>
      </c>
      <c r="J26">
        <v>19.23</v>
      </c>
      <c r="K26">
        <v>3.54</v>
      </c>
    </row>
    <row r="27" spans="1:11" x14ac:dyDescent="0.25">
      <c r="A27" s="10" t="s">
        <v>77</v>
      </c>
      <c r="B27">
        <v>16.86</v>
      </c>
      <c r="C27" s="10" t="s">
        <v>79</v>
      </c>
      <c r="D27">
        <v>3.66</v>
      </c>
      <c r="E27" s="10" t="s">
        <v>79</v>
      </c>
    </row>
    <row r="28" spans="1:11" x14ac:dyDescent="0.25">
      <c r="A28" s="10" t="s">
        <v>78</v>
      </c>
      <c r="B28">
        <v>23.24</v>
      </c>
      <c r="C28" s="10" t="s">
        <v>79</v>
      </c>
      <c r="D28">
        <v>23.24</v>
      </c>
      <c r="E28" s="10" t="s">
        <v>79</v>
      </c>
    </row>
    <row r="29" spans="1:11" x14ac:dyDescent="0.25">
      <c r="A29" t="s">
        <v>38</v>
      </c>
      <c r="B29">
        <f>(B27/B28)*365</f>
        <v>264.79776247848537</v>
      </c>
      <c r="C29" t="s">
        <v>39</v>
      </c>
      <c r="D29">
        <f>(D27/D28)*365</f>
        <v>57.482788296041313</v>
      </c>
      <c r="E29" t="s">
        <v>39</v>
      </c>
    </row>
    <row r="30" spans="1:11" x14ac:dyDescent="0.25">
      <c r="A30" t="s">
        <v>40</v>
      </c>
      <c r="B30" s="9">
        <f>(ROUND((43.75*B29)/(4.38+B29),1))/100</f>
        <v>0.43</v>
      </c>
      <c r="C30" s="9"/>
      <c r="D30" s="9">
        <f>(ROUND((43.75*D29)/(4.38+D29),1))/100</f>
        <v>0.40700000000000003</v>
      </c>
      <c r="E30" s="9"/>
      <c r="F30" s="9">
        <f>B30-D30</f>
        <v>2.2999999999999965E-2</v>
      </c>
    </row>
    <row r="31" spans="1:11" x14ac:dyDescent="0.25">
      <c r="A31" t="s">
        <v>41</v>
      </c>
      <c r="B31" s="9">
        <f>(ROUND(44.53+6.146*LN(B29)+0.145*(LN(B29)^2),1))/100</f>
        <v>0.83299999999999996</v>
      </c>
      <c r="C31" s="9"/>
      <c r="D31" s="9">
        <f>(ROUND(44.53+6.146*LN(D29)+0.145*(LN(D29)^2),1))/100</f>
        <v>0.71799999999999997</v>
      </c>
      <c r="E31" s="9"/>
      <c r="F31" s="9">
        <f>B31-D31</f>
        <v>0.11499999999999999</v>
      </c>
    </row>
    <row r="32" spans="1:11" x14ac:dyDescent="0.25">
      <c r="B32" s="9"/>
      <c r="C32" s="9"/>
      <c r="D32" s="9"/>
      <c r="E32" s="9"/>
      <c r="F32" s="9"/>
    </row>
    <row r="33" spans="1:6" x14ac:dyDescent="0.25">
      <c r="A33" s="8" t="s">
        <v>85</v>
      </c>
    </row>
    <row r="34" spans="1:6" x14ac:dyDescent="0.25">
      <c r="B34" t="s">
        <v>35</v>
      </c>
      <c r="D34" t="s">
        <v>36</v>
      </c>
      <c r="F34" t="s">
        <v>37</v>
      </c>
    </row>
    <row r="35" spans="1:6" x14ac:dyDescent="0.25">
      <c r="A35" t="s">
        <v>38</v>
      </c>
      <c r="B35">
        <v>22</v>
      </c>
      <c r="C35" t="s">
        <v>39</v>
      </c>
      <c r="D35">
        <v>21</v>
      </c>
      <c r="E35" t="s">
        <v>39</v>
      </c>
    </row>
    <row r="36" spans="1:6" x14ac:dyDescent="0.25">
      <c r="A36" t="s">
        <v>40</v>
      </c>
      <c r="B36" s="9">
        <f>(ROUND((43.75*B35)/(4.38+B35),1))/100</f>
        <v>0.36499999999999999</v>
      </c>
      <c r="C36" s="9"/>
      <c r="D36" s="9">
        <f>(ROUND((43.75*D35)/(4.38+D35),1))/100</f>
        <v>0.36200000000000004</v>
      </c>
      <c r="E36" s="9"/>
      <c r="F36" s="9">
        <f>B36-D36</f>
        <v>2.9999999999999472E-3</v>
      </c>
    </row>
    <row r="37" spans="1:6" x14ac:dyDescent="0.25">
      <c r="A37" t="s">
        <v>41</v>
      </c>
      <c r="B37" s="9">
        <f>(ROUND(44.53+6.146*LN(B35)+0.145*(LN(B35)^2),1))/100</f>
        <v>0.64900000000000002</v>
      </c>
      <c r="C37" s="9"/>
      <c r="D37" s="9">
        <f>(ROUND(44.53+6.146*LN(D35)+0.145*(LN(D35)^2),1))/100</f>
        <v>0.64599999999999991</v>
      </c>
      <c r="E37" s="9"/>
      <c r="F37" s="9">
        <f>B37-D37</f>
        <v>3.0000000000001137E-3</v>
      </c>
    </row>
    <row r="38" spans="1:6" x14ac:dyDescent="0.25">
      <c r="B38" s="9"/>
      <c r="C38" s="9"/>
      <c r="D38" s="9"/>
      <c r="E38" s="9"/>
      <c r="F38" s="9"/>
    </row>
    <row r="39" spans="1:6" x14ac:dyDescent="0.25">
      <c r="A39" s="8" t="s">
        <v>81</v>
      </c>
    </row>
    <row r="40" spans="1:6" x14ac:dyDescent="0.25">
      <c r="B40" t="s">
        <v>35</v>
      </c>
      <c r="D40" t="s">
        <v>36</v>
      </c>
      <c r="F40" t="s">
        <v>37</v>
      </c>
    </row>
    <row r="41" spans="1:6" x14ac:dyDescent="0.25">
      <c r="A41" s="10" t="s">
        <v>77</v>
      </c>
      <c r="B41">
        <v>52.98</v>
      </c>
      <c r="C41" s="10" t="s">
        <v>79</v>
      </c>
      <c r="D41">
        <v>4.2699999999999996</v>
      </c>
      <c r="E41" s="10" t="s">
        <v>79</v>
      </c>
    </row>
    <row r="42" spans="1:6" x14ac:dyDescent="0.25">
      <c r="A42" s="10" t="s">
        <v>78</v>
      </c>
      <c r="B42">
        <v>26.59</v>
      </c>
      <c r="C42" s="10" t="s">
        <v>79</v>
      </c>
      <c r="D42">
        <v>26.59</v>
      </c>
      <c r="E42" s="10" t="s">
        <v>79</v>
      </c>
    </row>
    <row r="43" spans="1:6" x14ac:dyDescent="0.25">
      <c r="A43" t="s">
        <v>38</v>
      </c>
      <c r="B43">
        <f>(B41/B42)*365</f>
        <v>727.25460699511086</v>
      </c>
      <c r="C43" t="s">
        <v>39</v>
      </c>
      <c r="D43">
        <f>(D41/D42)*365</f>
        <v>58.614140654381337</v>
      </c>
      <c r="E43" t="s">
        <v>39</v>
      </c>
    </row>
    <row r="44" spans="1:6" x14ac:dyDescent="0.25">
      <c r="A44" t="s">
        <v>40</v>
      </c>
      <c r="B44" s="9">
        <f>(ROUND((43.75*B43)/(4.38+B43),1))/100</f>
        <v>0.435</v>
      </c>
      <c r="C44" s="9"/>
      <c r="D44" s="9">
        <f>(ROUND((43.75*D43)/(4.38+D43),1))/100</f>
        <v>0.40700000000000003</v>
      </c>
      <c r="E44" s="9"/>
      <c r="F44" s="9">
        <f>B44-D44</f>
        <v>2.7999999999999969E-2</v>
      </c>
    </row>
    <row r="45" spans="1:6" x14ac:dyDescent="0.25">
      <c r="A45" t="s">
        <v>41</v>
      </c>
      <c r="B45" s="9">
        <f>(ROUND(44.53+6.146*LN(B43)+0.145*(LN(B43)^2),1))/100</f>
        <v>0.91299999999999992</v>
      </c>
      <c r="C45" s="9"/>
      <c r="D45" s="9">
        <f>(ROUND(44.53+6.146*LN(D43)+0.145*(LN(D43)^2),1))/100</f>
        <v>0.72</v>
      </c>
      <c r="E45" s="9"/>
      <c r="F45" s="9">
        <f>B45-D45</f>
        <v>0.19299999999999995</v>
      </c>
    </row>
    <row r="47" spans="1:6" x14ac:dyDescent="0.25">
      <c r="A47" s="8" t="s">
        <v>82</v>
      </c>
    </row>
    <row r="48" spans="1:6" x14ac:dyDescent="0.25">
      <c r="B48" t="s">
        <v>35</v>
      </c>
      <c r="D48" t="s">
        <v>36</v>
      </c>
      <c r="F48" t="s">
        <v>37</v>
      </c>
    </row>
    <row r="49" spans="1:6" x14ac:dyDescent="0.25">
      <c r="A49" s="10" t="s">
        <v>77</v>
      </c>
      <c r="B49">
        <v>23.87</v>
      </c>
      <c r="C49" s="10" t="s">
        <v>79</v>
      </c>
      <c r="D49">
        <v>3.98</v>
      </c>
      <c r="E49" s="10" t="s">
        <v>79</v>
      </c>
    </row>
    <row r="50" spans="1:6" x14ac:dyDescent="0.25">
      <c r="A50" s="10" t="s">
        <v>78</v>
      </c>
      <c r="B50">
        <v>25.07</v>
      </c>
      <c r="C50" s="10" t="s">
        <v>79</v>
      </c>
      <c r="D50">
        <v>25.07</v>
      </c>
      <c r="E50" s="10" t="s">
        <v>79</v>
      </c>
    </row>
    <row r="51" spans="1:6" x14ac:dyDescent="0.25">
      <c r="A51" t="s">
        <v>38</v>
      </c>
      <c r="B51">
        <f>(B49/B50)*365</f>
        <v>347.52891902672519</v>
      </c>
      <c r="C51" t="s">
        <v>39</v>
      </c>
      <c r="D51">
        <f>(D49/D50)*365</f>
        <v>57.945751894694851</v>
      </c>
      <c r="E51" t="s">
        <v>39</v>
      </c>
    </row>
    <row r="52" spans="1:6" x14ac:dyDescent="0.25">
      <c r="A52" t="s">
        <v>40</v>
      </c>
      <c r="B52" s="9">
        <f>(ROUND((43.75*B51)/(4.38+B51),1))/100</f>
        <v>0.43200000000000005</v>
      </c>
      <c r="C52" s="9"/>
      <c r="D52" s="9">
        <f>(ROUND((43.75*D51)/(4.38+D51),1))/100</f>
        <v>0.40700000000000003</v>
      </c>
      <c r="E52" s="9"/>
      <c r="F52" s="9">
        <f>B52-D52</f>
        <v>2.5000000000000022E-2</v>
      </c>
    </row>
    <row r="53" spans="1:6" x14ac:dyDescent="0.25">
      <c r="A53" t="s">
        <v>41</v>
      </c>
      <c r="B53" s="9">
        <f>(ROUND(44.53+6.146*LN(B51)+0.145*(LN(B51)^2),1))/100</f>
        <v>0.85499999999999998</v>
      </c>
      <c r="C53" s="9"/>
      <c r="D53" s="9">
        <f>(ROUND(44.53+6.146*LN(D51)+0.145*(LN(D51)^2),1))/100</f>
        <v>0.71900000000000008</v>
      </c>
      <c r="E53" s="9"/>
      <c r="F53" s="9">
        <f>B53-D53</f>
        <v>0.1359999999999999</v>
      </c>
    </row>
    <row r="55" spans="1:6" x14ac:dyDescent="0.25">
      <c r="A55" s="8" t="s">
        <v>83</v>
      </c>
    </row>
    <row r="56" spans="1:6" x14ac:dyDescent="0.25">
      <c r="B56" t="s">
        <v>35</v>
      </c>
      <c r="D56" t="s">
        <v>36</v>
      </c>
      <c r="F56" t="s">
        <v>37</v>
      </c>
    </row>
    <row r="57" spans="1:6" x14ac:dyDescent="0.25">
      <c r="A57" s="10" t="s">
        <v>77</v>
      </c>
      <c r="B57">
        <v>8.33</v>
      </c>
      <c r="C57" s="10" t="s">
        <v>79</v>
      </c>
      <c r="D57">
        <v>1.85</v>
      </c>
      <c r="E57" s="10" t="s">
        <v>79</v>
      </c>
    </row>
    <row r="58" spans="1:6" x14ac:dyDescent="0.25">
      <c r="A58" s="10" t="s">
        <v>78</v>
      </c>
      <c r="B58">
        <v>15.68</v>
      </c>
      <c r="C58" s="10" t="s">
        <v>79</v>
      </c>
      <c r="D58">
        <v>15.68</v>
      </c>
      <c r="E58" s="10" t="s">
        <v>79</v>
      </c>
    </row>
    <row r="59" spans="1:6" x14ac:dyDescent="0.25">
      <c r="A59" t="s">
        <v>38</v>
      </c>
      <c r="B59">
        <f>(B57/B58)*365</f>
        <v>193.90625</v>
      </c>
      <c r="C59" t="s">
        <v>39</v>
      </c>
      <c r="D59">
        <f>(D57/D58)*365</f>
        <v>43.064413265306129</v>
      </c>
      <c r="E59" t="s">
        <v>39</v>
      </c>
    </row>
    <row r="60" spans="1:6" x14ac:dyDescent="0.25">
      <c r="A60" t="s">
        <v>40</v>
      </c>
      <c r="B60" s="9">
        <f>(ROUND((43.75*B59)/(4.38+B59),1))/100</f>
        <v>0.42799999999999999</v>
      </c>
      <c r="C60" s="9"/>
      <c r="D60" s="9">
        <f>(ROUND((43.75*D59)/(4.38+D59),1))/100</f>
        <v>0.39700000000000002</v>
      </c>
      <c r="E60" s="9"/>
      <c r="F60" s="9">
        <f>B60-D60</f>
        <v>3.0999999999999972E-2</v>
      </c>
    </row>
    <row r="61" spans="1:6" x14ac:dyDescent="0.25">
      <c r="A61" t="s">
        <v>41</v>
      </c>
      <c r="B61" s="9">
        <f>(ROUND(44.53+6.146*LN(B59)+0.145*(LN(B59)^2),1))/100</f>
        <v>0.80900000000000005</v>
      </c>
      <c r="C61" s="9"/>
      <c r="D61" s="9">
        <f>(ROUND(44.53+6.146*LN(D59)+0.145*(LN(D59)^2),1))/100</f>
        <v>0.69700000000000006</v>
      </c>
      <c r="E61" s="9"/>
      <c r="F61" s="9">
        <f>B61-D61</f>
        <v>0.11199999999999999</v>
      </c>
    </row>
    <row r="63" spans="1:6" x14ac:dyDescent="0.25">
      <c r="A63" s="8" t="s">
        <v>84</v>
      </c>
    </row>
    <row r="64" spans="1:6" x14ac:dyDescent="0.25">
      <c r="B64" t="s">
        <v>35</v>
      </c>
      <c r="D64" t="s">
        <v>36</v>
      </c>
      <c r="F64" t="s">
        <v>37</v>
      </c>
    </row>
    <row r="65" spans="1:6" x14ac:dyDescent="0.25">
      <c r="A65" s="10" t="s">
        <v>77</v>
      </c>
      <c r="B65">
        <v>34.200000000000003</v>
      </c>
      <c r="C65" s="10" t="s">
        <v>79</v>
      </c>
      <c r="D65">
        <v>6.51</v>
      </c>
      <c r="E65" s="10" t="s">
        <v>79</v>
      </c>
    </row>
    <row r="66" spans="1:6" x14ac:dyDescent="0.25">
      <c r="A66" s="10" t="s">
        <v>78</v>
      </c>
      <c r="B66">
        <v>41.8</v>
      </c>
      <c r="C66" s="10" t="s">
        <v>79</v>
      </c>
      <c r="D66">
        <v>41.8</v>
      </c>
      <c r="E66" s="10" t="s">
        <v>79</v>
      </c>
    </row>
    <row r="67" spans="1:6" x14ac:dyDescent="0.25">
      <c r="A67" t="s">
        <v>38</v>
      </c>
      <c r="B67">
        <f>(B65/B66)*365</f>
        <v>298.63636363636368</v>
      </c>
      <c r="C67" t="s">
        <v>39</v>
      </c>
      <c r="D67">
        <f>(D65/D66)*365</f>
        <v>56.845693779904309</v>
      </c>
      <c r="E67" t="s">
        <v>39</v>
      </c>
    </row>
    <row r="68" spans="1:6" x14ac:dyDescent="0.25">
      <c r="A68" t="s">
        <v>40</v>
      </c>
      <c r="B68" s="9">
        <f>(ROUND((43.75*B67)/(4.38+B67),1))/100</f>
        <v>0.43099999999999999</v>
      </c>
      <c r="C68" s="9"/>
      <c r="D68" s="9">
        <f>(ROUND((43.75*D67)/(4.38+D67),1))/100</f>
        <v>0.40600000000000003</v>
      </c>
      <c r="E68" s="9"/>
      <c r="F68" s="9">
        <f>B68-D68</f>
        <v>2.4999999999999967E-2</v>
      </c>
    </row>
    <row r="69" spans="1:6" x14ac:dyDescent="0.25">
      <c r="A69" t="s">
        <v>41</v>
      </c>
      <c r="B69" s="9">
        <f>(ROUND(44.53+6.146*LN(B67)+0.145*(LN(B67)^2),1))/100</f>
        <v>0.84299999999999997</v>
      </c>
      <c r="C69" s="9"/>
      <c r="D69" s="9">
        <f>(ROUND(44.53+6.146*LN(D67)+0.145*(LN(D67)^2),1))/100</f>
        <v>0.71700000000000008</v>
      </c>
      <c r="E69" s="9"/>
      <c r="F69" s="9">
        <f>B69-D69</f>
        <v>0.12599999999999989</v>
      </c>
    </row>
    <row r="71" spans="1:6" x14ac:dyDescent="0.25">
      <c r="A71" s="8" t="s">
        <v>54</v>
      </c>
    </row>
    <row r="72" spans="1:6" x14ac:dyDescent="0.25">
      <c r="B72" t="s">
        <v>35</v>
      </c>
      <c r="D72" t="s">
        <v>36</v>
      </c>
      <c r="F72" t="s">
        <v>37</v>
      </c>
    </row>
    <row r="73" spans="1:6" x14ac:dyDescent="0.25">
      <c r="A73" t="s">
        <v>38</v>
      </c>
      <c r="B73">
        <v>63</v>
      </c>
      <c r="C73" t="s">
        <v>39</v>
      </c>
      <c r="D73">
        <v>21</v>
      </c>
      <c r="E73" t="s">
        <v>39</v>
      </c>
    </row>
    <row r="74" spans="1:6" x14ac:dyDescent="0.25">
      <c r="A74" t="s">
        <v>40</v>
      </c>
      <c r="B74" s="9">
        <f>(ROUND((43.75*B73)/(4.38+B73),1))/100</f>
        <v>0.40899999999999997</v>
      </c>
      <c r="C74" s="9"/>
      <c r="D74" s="9">
        <f>(ROUND((43.75*D73)/(4.38+D73),1))/100</f>
        <v>0.36200000000000004</v>
      </c>
      <c r="E74" s="9"/>
      <c r="F74" s="9">
        <f>B74-D74</f>
        <v>4.6999999999999931E-2</v>
      </c>
    </row>
    <row r="75" spans="1:6" x14ac:dyDescent="0.25">
      <c r="A75" t="s">
        <v>41</v>
      </c>
      <c r="B75" s="9">
        <f>(ROUND(44.53+6.146*LN(B73)+0.145*(LN(B73)^2),1))/100</f>
        <v>0.72499999999999998</v>
      </c>
      <c r="C75" s="9"/>
      <c r="D75" s="9">
        <f>(ROUND(44.53+6.146*LN(D73)+0.145*(LN(D73)^2),1))/100</f>
        <v>0.64599999999999991</v>
      </c>
      <c r="E75" s="9"/>
      <c r="F75" s="9">
        <f>B75-D75</f>
        <v>7.900000000000007E-2</v>
      </c>
    </row>
    <row r="77" spans="1:6" x14ac:dyDescent="0.25">
      <c r="A77" s="8" t="s">
        <v>89</v>
      </c>
    </row>
    <row r="78" spans="1:6" x14ac:dyDescent="0.25">
      <c r="B78" t="s">
        <v>35</v>
      </c>
      <c r="D78" t="s">
        <v>36</v>
      </c>
      <c r="F78" t="s">
        <v>37</v>
      </c>
    </row>
    <row r="79" spans="1:6" x14ac:dyDescent="0.25">
      <c r="A79" t="s">
        <v>38</v>
      </c>
      <c r="B79">
        <v>83</v>
      </c>
      <c r="C79" t="s">
        <v>39</v>
      </c>
      <c r="D79">
        <v>21</v>
      </c>
      <c r="E79" t="s">
        <v>39</v>
      </c>
    </row>
    <row r="80" spans="1:6" x14ac:dyDescent="0.25">
      <c r="A80" t="s">
        <v>40</v>
      </c>
      <c r="B80" s="9">
        <f>(ROUND((43.75*B79)/(4.38+B79),1))/100</f>
        <v>0.41600000000000004</v>
      </c>
      <c r="C80" s="9"/>
      <c r="D80" s="9">
        <f>(ROUND((43.75*D79)/(4.38+D79),1))/100</f>
        <v>0.36200000000000004</v>
      </c>
      <c r="E80" s="9"/>
      <c r="F80" s="9">
        <f>B80-D80</f>
        <v>5.3999999999999992E-2</v>
      </c>
    </row>
    <row r="81" spans="1:6" x14ac:dyDescent="0.25">
      <c r="A81" t="s">
        <v>41</v>
      </c>
      <c r="B81" s="9">
        <f>(ROUND(44.53+6.146*LN(B79)+0.145*(LN(B79)^2),1))/100</f>
        <v>0.745</v>
      </c>
      <c r="C81" s="9"/>
      <c r="D81" s="9">
        <f>(ROUND(44.53+6.146*LN(D79)+0.145*(LN(D79)^2),1))/100</f>
        <v>0.64599999999999991</v>
      </c>
      <c r="E81" s="9"/>
      <c r="F81" s="9">
        <f>B81-D81</f>
        <v>9.9000000000000088E-2</v>
      </c>
    </row>
    <row r="83" spans="1:6" x14ac:dyDescent="0.25">
      <c r="A83" s="8" t="s">
        <v>56</v>
      </c>
    </row>
    <row r="84" spans="1:6" x14ac:dyDescent="0.25">
      <c r="B84" t="s">
        <v>35</v>
      </c>
      <c r="D84" t="s">
        <v>36</v>
      </c>
      <c r="F84" t="s">
        <v>37</v>
      </c>
    </row>
    <row r="85" spans="1:6" x14ac:dyDescent="0.25">
      <c r="A85" t="s">
        <v>38</v>
      </c>
      <c r="B85">
        <v>91</v>
      </c>
      <c r="C85" t="s">
        <v>39</v>
      </c>
      <c r="D85">
        <v>21</v>
      </c>
      <c r="E85" t="s">
        <v>39</v>
      </c>
    </row>
    <row r="86" spans="1:6" x14ac:dyDescent="0.25">
      <c r="A86" t="s">
        <v>40</v>
      </c>
      <c r="B86" s="9">
        <f>(ROUND((43.75*B85)/(4.38+B85),1))/100</f>
        <v>0.41700000000000004</v>
      </c>
      <c r="C86" s="9"/>
      <c r="D86" s="9">
        <f>(ROUND((43.75*D85)/(4.38+D85),1))/100</f>
        <v>0.36200000000000004</v>
      </c>
      <c r="E86" s="9"/>
      <c r="F86" s="9">
        <f>B86-D86</f>
        <v>5.4999999999999993E-2</v>
      </c>
    </row>
    <row r="87" spans="1:6" x14ac:dyDescent="0.25">
      <c r="A87" t="s">
        <v>41</v>
      </c>
      <c r="B87" s="9">
        <f>(ROUND(44.53+6.146*LN(B85)+0.145*(LN(B85)^2),1))/100</f>
        <v>0.752</v>
      </c>
      <c r="C87" s="9"/>
      <c r="D87" s="9">
        <f>(ROUND(44.53+6.146*LN(D85)+0.145*(LN(D85)^2),1))/100</f>
        <v>0.64599999999999991</v>
      </c>
      <c r="E87" s="9"/>
      <c r="F87" s="9">
        <f>B87-D87</f>
        <v>0.10600000000000009</v>
      </c>
    </row>
    <row r="89" spans="1:6" x14ac:dyDescent="0.25">
      <c r="A89" s="8" t="s">
        <v>90</v>
      </c>
    </row>
    <row r="90" spans="1:6" x14ac:dyDescent="0.25">
      <c r="B90" t="s">
        <v>35</v>
      </c>
      <c r="D90" t="s">
        <v>36</v>
      </c>
      <c r="F90" t="s">
        <v>37</v>
      </c>
    </row>
    <row r="91" spans="1:6" x14ac:dyDescent="0.25">
      <c r="A91" t="s">
        <v>38</v>
      </c>
      <c r="B91">
        <v>78</v>
      </c>
      <c r="C91" t="s">
        <v>39</v>
      </c>
      <c r="D91">
        <v>21</v>
      </c>
      <c r="E91" t="s">
        <v>39</v>
      </c>
    </row>
    <row r="92" spans="1:6" x14ac:dyDescent="0.25">
      <c r="A92" t="s">
        <v>40</v>
      </c>
      <c r="B92" s="9">
        <f>(ROUND((43.75*B91)/(4.38+B91),1))/100</f>
        <v>0.41399999999999998</v>
      </c>
      <c r="C92" s="9"/>
      <c r="D92" s="9">
        <f>(ROUND((43.75*D91)/(4.38+D91),1))/100</f>
        <v>0.36200000000000004</v>
      </c>
      <c r="E92" s="9"/>
      <c r="F92" s="9">
        <f>B92-D92</f>
        <v>5.1999999999999935E-2</v>
      </c>
    </row>
    <row r="93" spans="1:6" x14ac:dyDescent="0.25">
      <c r="A93" t="s">
        <v>41</v>
      </c>
      <c r="B93" s="9">
        <f>(ROUND(44.53+6.146*LN(B91)+0.145*(LN(B91)^2),1))/100</f>
        <v>0.74099999999999999</v>
      </c>
      <c r="C93" s="9"/>
      <c r="D93" s="9">
        <f>(ROUND(44.53+6.146*LN(D91)+0.145*(LN(D91)^2),1))/100</f>
        <v>0.64599999999999991</v>
      </c>
      <c r="E93" s="9"/>
      <c r="F93" s="9">
        <f>B93-D93</f>
        <v>9.5000000000000084E-2</v>
      </c>
    </row>
    <row r="95" spans="1:6" x14ac:dyDescent="0.25">
      <c r="A95" s="8" t="s">
        <v>71</v>
      </c>
    </row>
    <row r="96" spans="1:6" x14ac:dyDescent="0.25">
      <c r="B96" t="s">
        <v>35</v>
      </c>
      <c r="D96" t="s">
        <v>36</v>
      </c>
      <c r="F96" t="s">
        <v>37</v>
      </c>
    </row>
    <row r="97" spans="1:6" x14ac:dyDescent="0.25">
      <c r="A97" t="s">
        <v>38</v>
      </c>
      <c r="B97">
        <v>135.69999999999999</v>
      </c>
      <c r="C97" t="s">
        <v>39</v>
      </c>
      <c r="D97">
        <v>21</v>
      </c>
      <c r="E97" t="s">
        <v>39</v>
      </c>
    </row>
    <row r="98" spans="1:6" x14ac:dyDescent="0.25">
      <c r="A98" t="s">
        <v>40</v>
      </c>
      <c r="B98" s="9">
        <f>(ROUND((43.75*B97)/(4.38+B97),1))/100</f>
        <v>0.42399999999999999</v>
      </c>
      <c r="C98" s="9"/>
      <c r="D98" s="9">
        <f>(ROUND((43.75*D97)/(4.38+D97),1))/100</f>
        <v>0.36200000000000004</v>
      </c>
      <c r="E98" s="9"/>
      <c r="F98" s="9">
        <f>B98-D98</f>
        <v>6.1999999999999944E-2</v>
      </c>
    </row>
    <row r="99" spans="1:6" x14ac:dyDescent="0.25">
      <c r="A99" t="s">
        <v>41</v>
      </c>
      <c r="B99" s="9">
        <f>(ROUND(44.53+6.146*LN(B97)+0.145*(LN(B97)^2),1))/100</f>
        <v>0.78200000000000003</v>
      </c>
      <c r="C99" s="9"/>
      <c r="D99" s="9">
        <f>(ROUND(44.53+6.146*LN(D97)+0.145*(LN(D97)^2),1))/100</f>
        <v>0.64599999999999991</v>
      </c>
      <c r="E99" s="9"/>
      <c r="F99" s="9">
        <f>B99-D99</f>
        <v>0.13600000000000012</v>
      </c>
    </row>
    <row r="101" spans="1:6" x14ac:dyDescent="0.25">
      <c r="A101" s="8" t="s">
        <v>72</v>
      </c>
    </row>
    <row r="102" spans="1:6" x14ac:dyDescent="0.25">
      <c r="B102" t="s">
        <v>35</v>
      </c>
      <c r="D102" t="s">
        <v>36</v>
      </c>
      <c r="F102" t="s">
        <v>37</v>
      </c>
    </row>
    <row r="103" spans="1:6" x14ac:dyDescent="0.25">
      <c r="A103" t="s">
        <v>38</v>
      </c>
      <c r="B103">
        <v>27</v>
      </c>
      <c r="C103" t="s">
        <v>39</v>
      </c>
      <c r="D103">
        <v>21</v>
      </c>
      <c r="E103" t="s">
        <v>39</v>
      </c>
    </row>
    <row r="104" spans="1:6" x14ac:dyDescent="0.25">
      <c r="A104" t="s">
        <v>40</v>
      </c>
      <c r="B104" s="9">
        <f>(ROUND((43.75*B103)/(4.38+B103),1))/100</f>
        <v>0.376</v>
      </c>
      <c r="C104" s="9"/>
      <c r="D104" s="9">
        <f>(ROUND((43.75*D103)/(4.38+D103),1))/100</f>
        <v>0.36200000000000004</v>
      </c>
      <c r="E104" s="9"/>
      <c r="F104" s="9">
        <f>B104-D104</f>
        <v>1.3999999999999957E-2</v>
      </c>
    </row>
    <row r="105" spans="1:6" x14ac:dyDescent="0.25">
      <c r="A105" t="s">
        <v>41</v>
      </c>
      <c r="B105" s="9">
        <f>(ROUND(44.53+6.146*LN(B103)+0.145*(LN(B103)^2),1))/100</f>
        <v>0.66400000000000003</v>
      </c>
      <c r="C105" s="9"/>
      <c r="D105" s="9">
        <f>(ROUND(44.53+6.146*LN(D103)+0.145*(LN(D103)^2),1))/100</f>
        <v>0.64599999999999991</v>
      </c>
      <c r="E105" s="9"/>
      <c r="F105" s="9">
        <f>B105-D105</f>
        <v>1.8000000000000127E-2</v>
      </c>
    </row>
    <row r="107" spans="1:6" x14ac:dyDescent="0.25">
      <c r="A107" s="8" t="s">
        <v>96</v>
      </c>
    </row>
    <row r="108" spans="1:6" x14ac:dyDescent="0.25">
      <c r="B108" t="s">
        <v>35</v>
      </c>
      <c r="D108" t="s">
        <v>36</v>
      </c>
      <c r="F108" t="s">
        <v>37</v>
      </c>
    </row>
    <row r="109" spans="1:6" x14ac:dyDescent="0.25">
      <c r="A109" s="10" t="s">
        <v>77</v>
      </c>
      <c r="B109">
        <v>1.65</v>
      </c>
      <c r="C109" s="10" t="s">
        <v>79</v>
      </c>
      <c r="D109">
        <v>1.55</v>
      </c>
      <c r="E109" s="10" t="s">
        <v>79</v>
      </c>
    </row>
    <row r="110" spans="1:6" x14ac:dyDescent="0.25">
      <c r="A110" s="10" t="s">
        <v>78</v>
      </c>
      <c r="B110">
        <v>30.92</v>
      </c>
      <c r="C110" s="10" t="s">
        <v>79</v>
      </c>
      <c r="D110">
        <v>30.92</v>
      </c>
      <c r="E110" s="10" t="s">
        <v>79</v>
      </c>
    </row>
    <row r="111" spans="1:6" x14ac:dyDescent="0.25">
      <c r="A111" t="s">
        <v>38</v>
      </c>
      <c r="B111">
        <f>(B109/B110)*365</f>
        <v>19.477684346701164</v>
      </c>
      <c r="C111" t="s">
        <v>39</v>
      </c>
      <c r="D111">
        <f>(D109/D110)*365</f>
        <v>18.297218628719275</v>
      </c>
      <c r="E111" t="s">
        <v>39</v>
      </c>
    </row>
    <row r="112" spans="1:6" x14ac:dyDescent="0.25">
      <c r="A112" t="s">
        <v>40</v>
      </c>
      <c r="B112" s="9">
        <f>(ROUND((43.75*B111)/(4.38+B111),1))/100</f>
        <v>0.35700000000000004</v>
      </c>
      <c r="C112" s="9"/>
      <c r="D112" s="9">
        <f>(ROUND((43.75*D111)/(4.38+D111),1))/100</f>
        <v>0.35299999999999998</v>
      </c>
      <c r="E112" s="9"/>
      <c r="F112" s="9">
        <f>B112-D112</f>
        <v>4.0000000000000591E-3</v>
      </c>
    </row>
    <row r="113" spans="1:6" x14ac:dyDescent="0.25">
      <c r="A113" t="s">
        <v>41</v>
      </c>
      <c r="B113" s="9">
        <f>(ROUND(44.53+6.146*LN(B111)+0.145*(LN(B111)^2),1))/100</f>
        <v>0.6409999999999999</v>
      </c>
      <c r="C113" s="9"/>
      <c r="D113" s="9">
        <f>(ROUND(44.53+6.146*LN(D111)+0.145*(LN(D111)^2),1))/100</f>
        <v>0.63600000000000001</v>
      </c>
      <c r="E113" s="9"/>
      <c r="F113" s="9">
        <f>B113-D113</f>
        <v>4.9999999999998934E-3</v>
      </c>
    </row>
    <row r="115" spans="1:6" x14ac:dyDescent="0.25">
      <c r="A115" s="8" t="s">
        <v>97</v>
      </c>
    </row>
    <row r="116" spans="1:6" x14ac:dyDescent="0.25">
      <c r="B116" t="s">
        <v>35</v>
      </c>
      <c r="D116" t="s">
        <v>36</v>
      </c>
      <c r="F116" t="s">
        <v>37</v>
      </c>
    </row>
    <row r="117" spans="1:6" x14ac:dyDescent="0.25">
      <c r="A117" s="10" t="s">
        <v>77</v>
      </c>
      <c r="B117">
        <v>0.93</v>
      </c>
      <c r="C117" s="10" t="s">
        <v>79</v>
      </c>
      <c r="D117">
        <v>0.85</v>
      </c>
      <c r="E117" s="10" t="s">
        <v>79</v>
      </c>
    </row>
    <row r="118" spans="1:6" x14ac:dyDescent="0.25">
      <c r="A118" s="10" t="s">
        <v>78</v>
      </c>
      <c r="B118">
        <v>17.04</v>
      </c>
      <c r="C118" s="10" t="s">
        <v>79</v>
      </c>
      <c r="D118">
        <v>17.04</v>
      </c>
      <c r="E118" s="10" t="s">
        <v>79</v>
      </c>
    </row>
    <row r="119" spans="1:6" x14ac:dyDescent="0.25">
      <c r="A119" t="s">
        <v>38</v>
      </c>
      <c r="B119">
        <f>(B117/B118)*365</f>
        <v>19.920774647887324</v>
      </c>
      <c r="C119" t="s">
        <v>39</v>
      </c>
      <c r="D119">
        <f>(D117/D118)*365</f>
        <v>18.207159624413144</v>
      </c>
      <c r="E119" t="s">
        <v>39</v>
      </c>
    </row>
    <row r="120" spans="1:6" x14ac:dyDescent="0.25">
      <c r="A120" t="s">
        <v>40</v>
      </c>
      <c r="B120" s="9">
        <f>(ROUND((43.75*B119)/(4.38+B119),1))/100</f>
        <v>0.35899999999999999</v>
      </c>
      <c r="C120" s="9"/>
      <c r="D120" s="9">
        <f>(ROUND((43.75*D119)/(4.38+D119),1))/100</f>
        <v>0.35299999999999998</v>
      </c>
      <c r="E120" s="9"/>
      <c r="F120" s="9">
        <f>B120-D120</f>
        <v>6.0000000000000053E-3</v>
      </c>
    </row>
    <row r="121" spans="1:6" x14ac:dyDescent="0.25">
      <c r="A121" t="s">
        <v>41</v>
      </c>
      <c r="B121" s="9">
        <f>(ROUND(44.53+6.146*LN(B119)+0.145*(LN(B119)^2),1))/100</f>
        <v>0.64200000000000002</v>
      </c>
      <c r="C121" s="9"/>
      <c r="D121" s="9">
        <f>(ROUND(44.53+6.146*LN(D119)+0.145*(LN(D119)^2),1))/100</f>
        <v>0.63600000000000001</v>
      </c>
      <c r="E121" s="9"/>
      <c r="F121" s="9">
        <f>B121-D121</f>
        <v>6.0000000000000053E-3</v>
      </c>
    </row>
    <row r="123" spans="1:6" x14ac:dyDescent="0.25">
      <c r="A123" s="8" t="s">
        <v>98</v>
      </c>
    </row>
    <row r="124" spans="1:6" x14ac:dyDescent="0.25">
      <c r="B124" t="s">
        <v>35</v>
      </c>
      <c r="D124" t="s">
        <v>36</v>
      </c>
      <c r="F124" t="s">
        <v>37</v>
      </c>
    </row>
    <row r="125" spans="1:6" x14ac:dyDescent="0.25">
      <c r="A125" s="10" t="s">
        <v>77</v>
      </c>
      <c r="B125">
        <v>1.73</v>
      </c>
      <c r="C125" s="10" t="s">
        <v>79</v>
      </c>
      <c r="D125">
        <v>1.69</v>
      </c>
      <c r="E125" s="10" t="s">
        <v>79</v>
      </c>
    </row>
    <row r="126" spans="1:6" x14ac:dyDescent="0.25">
      <c r="A126" s="10" t="s">
        <v>78</v>
      </c>
      <c r="B126">
        <v>33.79</v>
      </c>
      <c r="C126" s="10" t="s">
        <v>79</v>
      </c>
      <c r="D126">
        <v>33.79</v>
      </c>
      <c r="E126" s="10" t="s">
        <v>79</v>
      </c>
    </row>
    <row r="127" spans="1:6" x14ac:dyDescent="0.25">
      <c r="A127" t="s">
        <v>38</v>
      </c>
      <c r="B127">
        <f>(B125/B126)*365</f>
        <v>18.687481503403376</v>
      </c>
      <c r="C127" t="s">
        <v>39</v>
      </c>
      <c r="D127">
        <f>(D125/D126)*365</f>
        <v>18.255401006214857</v>
      </c>
      <c r="E127" t="s">
        <v>39</v>
      </c>
    </row>
    <row r="128" spans="1:6" x14ac:dyDescent="0.25">
      <c r="A128" t="s">
        <v>40</v>
      </c>
      <c r="B128" s="9">
        <f>(ROUND((43.75*B127)/(4.38+B127),1))/100</f>
        <v>0.35399999999999998</v>
      </c>
      <c r="C128" s="9"/>
      <c r="D128" s="9">
        <f>(ROUND((43.75*D127)/(4.38+D127),1))/100</f>
        <v>0.35299999999999998</v>
      </c>
      <c r="E128" s="9"/>
      <c r="F128" s="9">
        <f>B128-D128</f>
        <v>1.0000000000000009E-3</v>
      </c>
    </row>
    <row r="129" spans="1:6" x14ac:dyDescent="0.25">
      <c r="A129" t="s">
        <v>41</v>
      </c>
      <c r="B129" s="9">
        <f>(ROUND(44.53+6.146*LN(B127)+0.145*(LN(B127)^2),1))/100</f>
        <v>0.63800000000000001</v>
      </c>
      <c r="C129" s="9"/>
      <c r="D129" s="9">
        <f>(ROUND(44.53+6.146*LN(D127)+0.145*(LN(D127)^2),1))/100</f>
        <v>0.63600000000000001</v>
      </c>
      <c r="E129" s="9"/>
      <c r="F129" s="9">
        <f>B129-D129</f>
        <v>2.0000000000000018E-3</v>
      </c>
    </row>
    <row r="131" spans="1:6" x14ac:dyDescent="0.25">
      <c r="A131" s="8" t="s">
        <v>53</v>
      </c>
    </row>
    <row r="132" spans="1:6" x14ac:dyDescent="0.25">
      <c r="B132" t="s">
        <v>35</v>
      </c>
      <c r="D132" t="s">
        <v>36</v>
      </c>
      <c r="F132" t="s">
        <v>37</v>
      </c>
    </row>
    <row r="133" spans="1:6" x14ac:dyDescent="0.25">
      <c r="A133" s="10" t="s">
        <v>77</v>
      </c>
      <c r="B133">
        <v>11.49</v>
      </c>
      <c r="C133" s="10" t="s">
        <v>79</v>
      </c>
      <c r="D133">
        <v>2.23</v>
      </c>
      <c r="E133" s="10" t="s">
        <v>79</v>
      </c>
    </row>
    <row r="134" spans="1:6" x14ac:dyDescent="0.25">
      <c r="A134" s="10" t="s">
        <v>78</v>
      </c>
      <c r="B134">
        <v>38.826999999999998</v>
      </c>
      <c r="C134" s="10" t="s">
        <v>79</v>
      </c>
      <c r="D134">
        <v>38.826999999999998</v>
      </c>
      <c r="E134" s="10" t="s">
        <v>79</v>
      </c>
    </row>
    <row r="135" spans="1:6" x14ac:dyDescent="0.25">
      <c r="A135" t="s">
        <v>38</v>
      </c>
      <c r="B135">
        <f>(B133/B134)*365</f>
        <v>108.01375331599145</v>
      </c>
      <c r="C135" t="s">
        <v>39</v>
      </c>
      <c r="D135">
        <f>(D133/D134)*365</f>
        <v>20.963504777603216</v>
      </c>
      <c r="E135" t="s">
        <v>39</v>
      </c>
    </row>
    <row r="136" spans="1:6" x14ac:dyDescent="0.25">
      <c r="A136" t="s">
        <v>40</v>
      </c>
      <c r="B136" s="9">
        <f>(ROUND((43.75*B135)/(4.38+B135),1))/100</f>
        <v>0.42</v>
      </c>
      <c r="C136" s="9"/>
      <c r="D136" s="9">
        <f>(ROUND((43.75*D135)/(4.38+D135),1))/100</f>
        <v>0.36200000000000004</v>
      </c>
      <c r="E136" s="9"/>
      <c r="F136" s="9">
        <f>B136-D136</f>
        <v>5.799999999999994E-2</v>
      </c>
    </row>
    <row r="137" spans="1:6" x14ac:dyDescent="0.25">
      <c r="A137" t="s">
        <v>41</v>
      </c>
      <c r="B137" s="9">
        <f>(ROUND(44.53+6.146*LN(B135)+0.145*(LN(B135)^2),1))/100</f>
        <v>0.76500000000000001</v>
      </c>
      <c r="C137" s="9"/>
      <c r="D137" s="9">
        <f>(ROUND(44.53+6.146*LN(D135)+0.145*(LN(D135)^2),1))/100</f>
        <v>0.64599999999999991</v>
      </c>
      <c r="E137" s="9"/>
      <c r="F137" s="9">
        <f>B137-D137</f>
        <v>0.11900000000000011</v>
      </c>
    </row>
    <row r="139" spans="1:6" x14ac:dyDescent="0.25">
      <c r="A139" s="8" t="s">
        <v>100</v>
      </c>
    </row>
    <row r="140" spans="1:6" x14ac:dyDescent="0.25">
      <c r="B140" t="s">
        <v>35</v>
      </c>
      <c r="D140" t="s">
        <v>36</v>
      </c>
      <c r="F140" t="s">
        <v>37</v>
      </c>
    </row>
    <row r="141" spans="1:6" x14ac:dyDescent="0.25">
      <c r="A141" s="10" t="s">
        <v>77</v>
      </c>
      <c r="B141">
        <v>13.03</v>
      </c>
      <c r="C141" s="10" t="s">
        <v>79</v>
      </c>
      <c r="D141">
        <v>2.68</v>
      </c>
      <c r="E141" s="10" t="s">
        <v>79</v>
      </c>
    </row>
    <row r="142" spans="1:6" x14ac:dyDescent="0.25">
      <c r="A142" s="10" t="s">
        <v>78</v>
      </c>
      <c r="B142">
        <v>46.585999999999999</v>
      </c>
      <c r="C142" s="10" t="s">
        <v>79</v>
      </c>
      <c r="D142">
        <v>46.585999999999999</v>
      </c>
      <c r="E142" s="10" t="s">
        <v>79</v>
      </c>
    </row>
    <row r="143" spans="1:6" x14ac:dyDescent="0.25">
      <c r="A143" t="s">
        <v>38</v>
      </c>
      <c r="B143">
        <f>(B141/B142)*365</f>
        <v>102.08968359593011</v>
      </c>
      <c r="C143" t="s">
        <v>39</v>
      </c>
      <c r="D143">
        <f>(D141/D142)*365</f>
        <v>20.997724638303357</v>
      </c>
      <c r="E143" t="s">
        <v>39</v>
      </c>
    </row>
    <row r="144" spans="1:6" x14ac:dyDescent="0.25">
      <c r="A144" t="s">
        <v>40</v>
      </c>
      <c r="B144" s="9">
        <f>(ROUND((43.75*B143)/(4.38+B143),1))/100</f>
        <v>0.42</v>
      </c>
      <c r="C144" s="9"/>
      <c r="D144" s="9">
        <f>(ROUND((43.75*D143)/(4.38+D143),1))/100</f>
        <v>0.36200000000000004</v>
      </c>
      <c r="E144" s="9"/>
      <c r="F144" s="9">
        <f>B144-D144</f>
        <v>5.799999999999994E-2</v>
      </c>
    </row>
    <row r="145" spans="1:6" x14ac:dyDescent="0.25">
      <c r="A145" t="s">
        <v>41</v>
      </c>
      <c r="B145" s="9">
        <f>(ROUND(44.53+6.146*LN(B143)+0.145*(LN(B143)^2),1))/100</f>
        <v>0.7609999999999999</v>
      </c>
      <c r="C145" s="9"/>
      <c r="D145" s="9">
        <f>(ROUND(44.53+6.146*LN(D143)+0.145*(LN(D143)^2),1))/100</f>
        <v>0.64599999999999991</v>
      </c>
      <c r="E145" s="9"/>
      <c r="F145" s="9">
        <f>B145-D145</f>
        <v>0.11499999999999999</v>
      </c>
    </row>
    <row r="147" spans="1:6" x14ac:dyDescent="0.25">
      <c r="A147" s="8" t="s">
        <v>101</v>
      </c>
    </row>
    <row r="148" spans="1:6" x14ac:dyDescent="0.25">
      <c r="B148" t="s">
        <v>35</v>
      </c>
      <c r="D148" t="s">
        <v>36</v>
      </c>
      <c r="F148" t="s">
        <v>37</v>
      </c>
    </row>
    <row r="149" spans="1:6" x14ac:dyDescent="0.25">
      <c r="A149" s="10" t="s">
        <v>77</v>
      </c>
      <c r="B149">
        <v>8.39</v>
      </c>
      <c r="C149" s="10" t="s">
        <v>79</v>
      </c>
      <c r="D149">
        <v>2.4700000000000002</v>
      </c>
      <c r="E149" s="10" t="s">
        <v>79</v>
      </c>
    </row>
    <row r="150" spans="1:6" x14ac:dyDescent="0.25">
      <c r="A150" s="10" t="s">
        <v>78</v>
      </c>
      <c r="B150">
        <v>42.874000000000002</v>
      </c>
      <c r="C150" s="10" t="s">
        <v>79</v>
      </c>
      <c r="D150">
        <v>42.874000000000002</v>
      </c>
      <c r="E150" s="10" t="s">
        <v>79</v>
      </c>
    </row>
    <row r="151" spans="1:6" x14ac:dyDescent="0.25">
      <c r="A151" t="s">
        <v>38</v>
      </c>
      <c r="B151">
        <f>(B149/B150)*365</f>
        <v>71.426738816065679</v>
      </c>
      <c r="C151" t="s">
        <v>39</v>
      </c>
      <c r="D151">
        <f>(D149/D150)*365</f>
        <v>21.027895694360218</v>
      </c>
      <c r="E151" t="s">
        <v>39</v>
      </c>
    </row>
    <row r="152" spans="1:6" x14ac:dyDescent="0.25">
      <c r="A152" t="s">
        <v>40</v>
      </c>
      <c r="B152" s="9">
        <f>(ROUND((43.75*B151)/(4.38+B151),1))/100</f>
        <v>0.41200000000000003</v>
      </c>
      <c r="C152" s="9"/>
      <c r="D152" s="9">
        <f>(ROUND((43.75*D151)/(4.38+D151),1))/100</f>
        <v>0.36200000000000004</v>
      </c>
      <c r="E152" s="9"/>
      <c r="F152" s="9">
        <f>B152-D152</f>
        <v>4.9999999999999989E-2</v>
      </c>
    </row>
    <row r="153" spans="1:6" x14ac:dyDescent="0.25">
      <c r="A153" t="s">
        <v>41</v>
      </c>
      <c r="B153" s="9">
        <f>(ROUND(44.53+6.146*LN(B151)+0.145*(LN(B151)^2),1))/100</f>
        <v>0.7340000000000001</v>
      </c>
      <c r="C153" s="9"/>
      <c r="D153" s="9">
        <f>(ROUND(44.53+6.146*LN(D151)+0.145*(LN(D151)^2),1))/100</f>
        <v>0.64599999999999991</v>
      </c>
      <c r="E153" s="9"/>
      <c r="F153" s="9">
        <f>B153-D153</f>
        <v>8.8000000000000189E-2</v>
      </c>
    </row>
    <row r="155" spans="1:6" x14ac:dyDescent="0.25">
      <c r="A155" s="8" t="s">
        <v>102</v>
      </c>
    </row>
    <row r="156" spans="1:6" x14ac:dyDescent="0.25">
      <c r="B156" t="s">
        <v>35</v>
      </c>
      <c r="D156" t="s">
        <v>36</v>
      </c>
      <c r="F156" t="s">
        <v>37</v>
      </c>
    </row>
    <row r="157" spans="1:6" x14ac:dyDescent="0.25">
      <c r="A157" s="10" t="s">
        <v>77</v>
      </c>
      <c r="B157">
        <v>16.05</v>
      </c>
      <c r="C157" s="10" t="s">
        <v>79</v>
      </c>
      <c r="D157">
        <v>5.05</v>
      </c>
      <c r="E157" s="10" t="s">
        <v>79</v>
      </c>
    </row>
    <row r="158" spans="1:6" x14ac:dyDescent="0.25">
      <c r="A158" s="10" t="s">
        <v>78</v>
      </c>
      <c r="B158">
        <v>87.706999999999994</v>
      </c>
      <c r="C158" s="10" t="s">
        <v>79</v>
      </c>
      <c r="D158">
        <v>87.706999999999994</v>
      </c>
      <c r="E158" s="10" t="s">
        <v>79</v>
      </c>
    </row>
    <row r="159" spans="1:6" x14ac:dyDescent="0.25">
      <c r="A159" t="s">
        <v>38</v>
      </c>
      <c r="B159">
        <f>(B157/B158)*365</f>
        <v>66.793414436704026</v>
      </c>
      <c r="C159" t="s">
        <v>39</v>
      </c>
      <c r="D159">
        <f>(D157/D158)*365</f>
        <v>21.015996442701269</v>
      </c>
      <c r="E159" t="s">
        <v>39</v>
      </c>
    </row>
    <row r="160" spans="1:6" x14ac:dyDescent="0.25">
      <c r="A160" t="s">
        <v>40</v>
      </c>
      <c r="B160" s="9">
        <f>(ROUND((43.75*B159)/(4.38+B159),1))/100</f>
        <v>0.41100000000000003</v>
      </c>
      <c r="C160" s="9"/>
      <c r="D160" s="9">
        <f>(ROUND((43.75*D159)/(4.38+D159),1))/100</f>
        <v>0.36200000000000004</v>
      </c>
      <c r="E160" s="9"/>
      <c r="F160" s="9">
        <f>B160-D160</f>
        <v>4.8999999999999988E-2</v>
      </c>
    </row>
    <row r="161" spans="1:8" x14ac:dyDescent="0.25">
      <c r="A161" t="s">
        <v>41</v>
      </c>
      <c r="B161" s="9">
        <f>(ROUND(44.53+6.146*LN(B159)+0.145*(LN(B159)^2),1))/100</f>
        <v>0.72900000000000009</v>
      </c>
      <c r="C161" s="9"/>
      <c r="D161" s="9">
        <f>(ROUND(44.53+6.146*LN(D159)+0.145*(LN(D159)^2),1))/100</f>
        <v>0.64599999999999991</v>
      </c>
      <c r="E161" s="9"/>
      <c r="F161" s="9">
        <f>B161-D161</f>
        <v>8.3000000000000185E-2</v>
      </c>
    </row>
    <row r="163" spans="1:8" x14ac:dyDescent="0.25">
      <c r="A163" s="8" t="s">
        <v>103</v>
      </c>
    </row>
    <row r="164" spans="1:8" x14ac:dyDescent="0.25">
      <c r="B164" t="s">
        <v>35</v>
      </c>
      <c r="D164" t="s">
        <v>36</v>
      </c>
      <c r="F164" t="s">
        <v>37</v>
      </c>
    </row>
    <row r="165" spans="1:8" x14ac:dyDescent="0.25">
      <c r="A165" s="10" t="s">
        <v>77</v>
      </c>
      <c r="B165">
        <v>3.57</v>
      </c>
      <c r="C165" s="10" t="s">
        <v>79</v>
      </c>
      <c r="D165">
        <v>3.15</v>
      </c>
      <c r="E165" s="10" t="s">
        <v>79</v>
      </c>
    </row>
    <row r="166" spans="1:8" x14ac:dyDescent="0.25">
      <c r="A166" s="10" t="s">
        <v>78</v>
      </c>
      <c r="B166">
        <v>41.106999999999999</v>
      </c>
      <c r="C166" s="10" t="s">
        <v>79</v>
      </c>
      <c r="D166">
        <v>41.106999999999999</v>
      </c>
      <c r="E166" s="10" t="s">
        <v>79</v>
      </c>
    </row>
    <row r="167" spans="1:8" x14ac:dyDescent="0.25">
      <c r="A167" t="s">
        <v>38</v>
      </c>
      <c r="B167">
        <f>(B165/B166)*365</f>
        <v>31.698980708881699</v>
      </c>
      <c r="C167" t="s">
        <v>39</v>
      </c>
      <c r="D167">
        <f>(D165/D166)*365</f>
        <v>27.969688860777971</v>
      </c>
      <c r="E167" t="s">
        <v>39</v>
      </c>
    </row>
    <row r="168" spans="1:8" x14ac:dyDescent="0.25">
      <c r="A168" t="s">
        <v>40</v>
      </c>
      <c r="B168" s="9">
        <f>(ROUND((43.75*B167)/(4.38+B167),1))/100</f>
        <v>0.38400000000000001</v>
      </c>
      <c r="C168" s="9"/>
      <c r="D168" s="9">
        <f>(ROUND((43.75*D167)/(4.38+D167),1))/100</f>
        <v>0.37799999999999995</v>
      </c>
      <c r="E168" s="9"/>
      <c r="F168" s="9">
        <f>B168-D168</f>
        <v>6.0000000000000608E-3</v>
      </c>
    </row>
    <row r="169" spans="1:8" x14ac:dyDescent="0.25">
      <c r="A169" t="s">
        <v>41</v>
      </c>
      <c r="B169" s="9">
        <f>(ROUND(44.53+6.146*LN(B167)+0.145*(LN(B167)^2),1))/100</f>
        <v>0.67500000000000004</v>
      </c>
      <c r="C169" s="9"/>
      <c r="D169" s="9">
        <f>(ROUND(44.53+6.146*LN(D167)+0.145*(LN(D167)^2),1))/100</f>
        <v>0.66599999999999993</v>
      </c>
      <c r="E169" s="9"/>
      <c r="F169" s="9">
        <f>B169-D169</f>
        <v>9.000000000000119E-3</v>
      </c>
    </row>
    <row r="171" spans="1:8" x14ac:dyDescent="0.25">
      <c r="A171" s="8" t="s">
        <v>55</v>
      </c>
    </row>
    <row r="172" spans="1:8" x14ac:dyDescent="0.25">
      <c r="B172" t="s">
        <v>35</v>
      </c>
      <c r="D172" t="s">
        <v>36</v>
      </c>
      <c r="F172" t="s">
        <v>37</v>
      </c>
    </row>
    <row r="173" spans="1:8" x14ac:dyDescent="0.25">
      <c r="A173" s="10" t="s">
        <v>77</v>
      </c>
      <c r="B173">
        <v>1.4</v>
      </c>
      <c r="C173" s="10" t="s">
        <v>79</v>
      </c>
      <c r="D173">
        <v>1.34</v>
      </c>
      <c r="E173" s="10" t="s">
        <v>79</v>
      </c>
      <c r="H173" s="10" t="s">
        <v>131</v>
      </c>
    </row>
    <row r="174" spans="1:8" x14ac:dyDescent="0.25">
      <c r="A174" s="10" t="s">
        <v>78</v>
      </c>
      <c r="C174" s="10" t="s">
        <v>79</v>
      </c>
      <c r="E174" s="10" t="s">
        <v>79</v>
      </c>
    </row>
    <row r="175" spans="1:8" x14ac:dyDescent="0.25">
      <c r="A175" t="s">
        <v>38</v>
      </c>
      <c r="B175" t="e">
        <f>(B173/B174)*365</f>
        <v>#DIV/0!</v>
      </c>
      <c r="C175" t="s">
        <v>39</v>
      </c>
      <c r="D175" t="e">
        <f>(D173/D174)*365</f>
        <v>#DIV/0!</v>
      </c>
      <c r="E175" t="s">
        <v>39</v>
      </c>
    </row>
    <row r="176" spans="1:8" x14ac:dyDescent="0.25">
      <c r="A176" t="s">
        <v>40</v>
      </c>
      <c r="B176" s="9" t="e">
        <f>(ROUND((43.75*B175)/(4.38+B175),1))/100</f>
        <v>#DIV/0!</v>
      </c>
      <c r="C176" s="9"/>
      <c r="D176" s="9" t="e">
        <f>(ROUND((43.75*D175)/(4.38+D175),1))/100</f>
        <v>#DIV/0!</v>
      </c>
      <c r="E176" s="9"/>
      <c r="F176" s="9" t="e">
        <f>B176-D176</f>
        <v>#DIV/0!</v>
      </c>
    </row>
    <row r="177" spans="1:8" x14ac:dyDescent="0.25">
      <c r="A177" t="s">
        <v>41</v>
      </c>
      <c r="B177" s="9" t="e">
        <f>(ROUND(44.53+6.146*LN(B175)+0.145*(LN(B175)^2),1))/100</f>
        <v>#DIV/0!</v>
      </c>
      <c r="C177" s="9"/>
      <c r="D177" s="9" t="e">
        <f>(ROUND(44.53+6.146*LN(D175)+0.145*(LN(D175)^2),1))/100</f>
        <v>#DIV/0!</v>
      </c>
      <c r="E177" s="9"/>
      <c r="F177" s="9" t="e">
        <f>B177-D177</f>
        <v>#DIV/0!</v>
      </c>
    </row>
    <row r="179" spans="1:8" x14ac:dyDescent="0.25">
      <c r="A179" s="8" t="s">
        <v>104</v>
      </c>
    </row>
    <row r="180" spans="1:8" x14ac:dyDescent="0.25">
      <c r="B180" t="s">
        <v>35</v>
      </c>
      <c r="D180" t="s">
        <v>36</v>
      </c>
      <c r="F180" t="s">
        <v>37</v>
      </c>
    </row>
    <row r="181" spans="1:8" x14ac:dyDescent="0.25">
      <c r="A181" s="10" t="s">
        <v>77</v>
      </c>
      <c r="B181">
        <v>2.64</v>
      </c>
      <c r="C181" s="10" t="s">
        <v>79</v>
      </c>
      <c r="D181">
        <v>2.64</v>
      </c>
      <c r="E181" s="10" t="s">
        <v>79</v>
      </c>
      <c r="H181" s="10" t="s">
        <v>132</v>
      </c>
    </row>
    <row r="182" spans="1:8" x14ac:dyDescent="0.25">
      <c r="A182" s="10" t="s">
        <v>78</v>
      </c>
      <c r="C182" s="10" t="s">
        <v>79</v>
      </c>
      <c r="E182" s="10" t="s">
        <v>79</v>
      </c>
    </row>
    <row r="183" spans="1:8" x14ac:dyDescent="0.25">
      <c r="A183" t="s">
        <v>38</v>
      </c>
      <c r="B183" t="e">
        <f>(B181/B182)*365</f>
        <v>#DIV/0!</v>
      </c>
      <c r="C183" t="s">
        <v>39</v>
      </c>
      <c r="D183" t="e">
        <f>(D181/D182)*365</f>
        <v>#DIV/0!</v>
      </c>
      <c r="E183" t="s">
        <v>39</v>
      </c>
    </row>
    <row r="184" spans="1:8" x14ac:dyDescent="0.25">
      <c r="A184" t="s">
        <v>40</v>
      </c>
      <c r="B184" s="9" t="e">
        <f>(ROUND((43.75*B183)/(4.38+B183),1))/100</f>
        <v>#DIV/0!</v>
      </c>
      <c r="C184" s="9"/>
      <c r="D184" s="9" t="e">
        <f>(ROUND((43.75*D183)/(4.38+D183),1))/100</f>
        <v>#DIV/0!</v>
      </c>
      <c r="E184" s="9"/>
      <c r="F184" s="9" t="e">
        <f>B184-D184</f>
        <v>#DIV/0!</v>
      </c>
    </row>
    <row r="185" spans="1:8" x14ac:dyDescent="0.25">
      <c r="A185" t="s">
        <v>41</v>
      </c>
      <c r="B185" s="9" t="e">
        <f>(ROUND(44.53+6.146*LN(B183)+0.145*(LN(B183)^2),1))/100</f>
        <v>#DIV/0!</v>
      </c>
      <c r="C185" s="9"/>
      <c r="D185" s="9" t="e">
        <f>(ROUND(44.53+6.146*LN(D183)+0.145*(LN(D183)^2),1))/100</f>
        <v>#DIV/0!</v>
      </c>
      <c r="E185" s="9"/>
      <c r="F185" s="9" t="e">
        <f>B185-D185</f>
        <v>#DIV/0!</v>
      </c>
    </row>
    <row r="187" spans="1:8" x14ac:dyDescent="0.25">
      <c r="A187" s="8" t="s">
        <v>105</v>
      </c>
    </row>
    <row r="188" spans="1:8" x14ac:dyDescent="0.25">
      <c r="B188" t="s">
        <v>35</v>
      </c>
      <c r="D188" t="s">
        <v>36</v>
      </c>
      <c r="F188" t="s">
        <v>37</v>
      </c>
    </row>
    <row r="189" spans="1:8" x14ac:dyDescent="0.25">
      <c r="A189" s="10" t="s">
        <v>77</v>
      </c>
      <c r="B189">
        <v>10.64</v>
      </c>
      <c r="C189" s="10" t="s">
        <v>79</v>
      </c>
      <c r="D189">
        <v>7.74</v>
      </c>
      <c r="E189" s="10" t="s">
        <v>79</v>
      </c>
    </row>
    <row r="190" spans="1:8" x14ac:dyDescent="0.25">
      <c r="A190" s="10" t="s">
        <v>78</v>
      </c>
      <c r="C190" s="10" t="s">
        <v>79</v>
      </c>
      <c r="E190" s="10" t="s">
        <v>79</v>
      </c>
      <c r="G190" s="10" t="s">
        <v>135</v>
      </c>
    </row>
    <row r="191" spans="1:8" x14ac:dyDescent="0.25">
      <c r="A191" t="s">
        <v>38</v>
      </c>
      <c r="B191" t="e">
        <f>(B189/B190)*365</f>
        <v>#DIV/0!</v>
      </c>
      <c r="C191" t="s">
        <v>39</v>
      </c>
      <c r="D191" t="e">
        <f>(D189/D190)*365</f>
        <v>#DIV/0!</v>
      </c>
      <c r="E191" t="s">
        <v>39</v>
      </c>
    </row>
    <row r="192" spans="1:8" x14ac:dyDescent="0.25">
      <c r="A192" t="s">
        <v>40</v>
      </c>
      <c r="B192" s="9" t="e">
        <f>(ROUND((43.75*B191)/(4.38+B191),1))/100</f>
        <v>#DIV/0!</v>
      </c>
      <c r="C192" s="9"/>
      <c r="D192" s="9" t="e">
        <f>(ROUND((43.75*D191)/(4.38+D191),1))/100</f>
        <v>#DIV/0!</v>
      </c>
      <c r="E192" s="9"/>
      <c r="F192" s="9" t="e">
        <f>B192-D192</f>
        <v>#DIV/0!</v>
      </c>
    </row>
    <row r="193" spans="1:7" x14ac:dyDescent="0.25">
      <c r="A193" t="s">
        <v>41</v>
      </c>
      <c r="B193" s="9" t="e">
        <f>(ROUND(44.53+6.146*LN(B191)+0.145*(LN(B191)^2),1))/100</f>
        <v>#DIV/0!</v>
      </c>
      <c r="C193" s="9"/>
      <c r="D193" s="9" t="e">
        <f>(ROUND(44.53+6.146*LN(D191)+0.145*(LN(D191)^2),1))/100</f>
        <v>#DIV/0!</v>
      </c>
      <c r="E193" s="9"/>
      <c r="F193" s="9" t="e">
        <f>B193-D193</f>
        <v>#DIV/0!</v>
      </c>
    </row>
    <row r="195" spans="1:7" x14ac:dyDescent="0.25">
      <c r="A195" s="8" t="s">
        <v>106</v>
      </c>
    </row>
    <row r="196" spans="1:7" x14ac:dyDescent="0.25">
      <c r="B196" t="s">
        <v>35</v>
      </c>
      <c r="D196" t="s">
        <v>36</v>
      </c>
      <c r="F196" t="s">
        <v>37</v>
      </c>
    </row>
    <row r="197" spans="1:7" x14ac:dyDescent="0.25">
      <c r="A197" s="10" t="s">
        <v>77</v>
      </c>
      <c r="B197">
        <v>3.24</v>
      </c>
      <c r="C197" s="10" t="s">
        <v>79</v>
      </c>
      <c r="D197">
        <v>3.12</v>
      </c>
      <c r="E197" s="10" t="s">
        <v>79</v>
      </c>
    </row>
    <row r="198" spans="1:7" x14ac:dyDescent="0.25">
      <c r="A198" s="10" t="s">
        <v>78</v>
      </c>
      <c r="C198" s="10" t="s">
        <v>79</v>
      </c>
      <c r="E198" s="10" t="s">
        <v>79</v>
      </c>
      <c r="G198" s="10" t="s">
        <v>133</v>
      </c>
    </row>
    <row r="199" spans="1:7" x14ac:dyDescent="0.25">
      <c r="A199" t="s">
        <v>38</v>
      </c>
      <c r="B199" t="e">
        <f>(B197/B198)*365</f>
        <v>#DIV/0!</v>
      </c>
      <c r="C199" t="s">
        <v>39</v>
      </c>
      <c r="D199" t="e">
        <f>(D197/D198)*365</f>
        <v>#DIV/0!</v>
      </c>
      <c r="E199" t="s">
        <v>39</v>
      </c>
    </row>
    <row r="200" spans="1:7" x14ac:dyDescent="0.25">
      <c r="A200" t="s">
        <v>40</v>
      </c>
      <c r="B200" s="9" t="e">
        <f>(ROUND((43.75*B199)/(4.38+B199),1))/100</f>
        <v>#DIV/0!</v>
      </c>
      <c r="C200" s="9"/>
      <c r="D200" s="9" t="e">
        <f>(ROUND((43.75*D199)/(4.38+D199),1))/100</f>
        <v>#DIV/0!</v>
      </c>
      <c r="E200" s="9"/>
      <c r="F200" s="9" t="e">
        <f>B200-D200</f>
        <v>#DIV/0!</v>
      </c>
    </row>
    <row r="201" spans="1:7" x14ac:dyDescent="0.25">
      <c r="A201" t="s">
        <v>41</v>
      </c>
      <c r="B201" s="9" t="e">
        <f>(ROUND(44.53+6.146*LN(B199)+0.145*(LN(B199)^2),1))/100</f>
        <v>#DIV/0!</v>
      </c>
      <c r="C201" s="9"/>
      <c r="D201" s="9" t="e">
        <f>(ROUND(44.53+6.146*LN(D199)+0.145*(LN(D199)^2),1))/100</f>
        <v>#DIV/0!</v>
      </c>
      <c r="E201" s="9"/>
      <c r="F201" s="9" t="e">
        <f>B201-D201</f>
        <v>#DIV/0!</v>
      </c>
    </row>
    <row r="203" spans="1:7" x14ac:dyDescent="0.25">
      <c r="A203" s="8" t="s">
        <v>107</v>
      </c>
    </row>
    <row r="204" spans="1:7" x14ac:dyDescent="0.25">
      <c r="B204" t="s">
        <v>35</v>
      </c>
      <c r="D204" t="s">
        <v>36</v>
      </c>
      <c r="F204" t="s">
        <v>37</v>
      </c>
    </row>
    <row r="205" spans="1:7" x14ac:dyDescent="0.25">
      <c r="A205" s="10" t="s">
        <v>77</v>
      </c>
      <c r="B205">
        <v>3.71</v>
      </c>
      <c r="C205" s="10" t="s">
        <v>79</v>
      </c>
      <c r="D205">
        <v>3.5</v>
      </c>
      <c r="E205" s="10" t="s">
        <v>79</v>
      </c>
    </row>
    <row r="206" spans="1:7" x14ac:dyDescent="0.25">
      <c r="A206" s="10" t="s">
        <v>78</v>
      </c>
      <c r="C206" s="10" t="s">
        <v>79</v>
      </c>
      <c r="E206" s="10" t="s">
        <v>79</v>
      </c>
      <c r="G206" s="10" t="s">
        <v>134</v>
      </c>
    </row>
    <row r="207" spans="1:7" x14ac:dyDescent="0.25">
      <c r="A207" t="s">
        <v>38</v>
      </c>
      <c r="B207" t="e">
        <f>(B205/B206)*365</f>
        <v>#DIV/0!</v>
      </c>
      <c r="C207" t="s">
        <v>39</v>
      </c>
      <c r="D207" t="e">
        <f>(D205/D206)*365</f>
        <v>#DIV/0!</v>
      </c>
      <c r="E207" t="s">
        <v>39</v>
      </c>
    </row>
    <row r="208" spans="1:7" x14ac:dyDescent="0.25">
      <c r="A208" t="s">
        <v>40</v>
      </c>
      <c r="B208" s="9" t="e">
        <f>(ROUND((43.75*B207)/(4.38+B207),1))/100</f>
        <v>#DIV/0!</v>
      </c>
      <c r="C208" s="9"/>
      <c r="D208" s="9" t="e">
        <f>(ROUND((43.75*D207)/(4.38+D207),1))/100</f>
        <v>#DIV/0!</v>
      </c>
      <c r="E208" s="9"/>
      <c r="F208" s="9" t="e">
        <f>B208-D208</f>
        <v>#DIV/0!</v>
      </c>
    </row>
    <row r="209" spans="1:6" x14ac:dyDescent="0.25">
      <c r="A209" t="s">
        <v>41</v>
      </c>
      <c r="B209" s="9" t="e">
        <f>(ROUND(44.53+6.146*LN(B207)+0.145*(LN(B207)^2),1))/100</f>
        <v>#DIV/0!</v>
      </c>
      <c r="C209" s="9"/>
      <c r="D209" s="9" t="e">
        <f>(ROUND(44.53+6.146*LN(D207)+0.145*(LN(D207)^2),1))/100</f>
        <v>#DIV/0!</v>
      </c>
      <c r="E209" s="9"/>
      <c r="F209" s="9" t="e">
        <f>B209-D209</f>
        <v>#DIV/0!</v>
      </c>
    </row>
    <row r="211" spans="1:6" x14ac:dyDescent="0.25">
      <c r="A211" s="8" t="s">
        <v>59</v>
      </c>
    </row>
    <row r="212" spans="1:6" x14ac:dyDescent="0.25">
      <c r="B212" t="s">
        <v>35</v>
      </c>
      <c r="D212" t="s">
        <v>36</v>
      </c>
      <c r="F212" t="s">
        <v>37</v>
      </c>
    </row>
    <row r="213" spans="1:6" x14ac:dyDescent="0.25">
      <c r="A213" s="10" t="s">
        <v>77</v>
      </c>
      <c r="B213">
        <v>69.040000000000006</v>
      </c>
      <c r="C213" s="10" t="s">
        <v>79</v>
      </c>
      <c r="D213">
        <v>5.16</v>
      </c>
      <c r="E213" s="10" t="s">
        <v>79</v>
      </c>
    </row>
    <row r="214" spans="1:6" x14ac:dyDescent="0.25">
      <c r="A214" s="10" t="s">
        <v>78</v>
      </c>
      <c r="B214">
        <v>103.2</v>
      </c>
      <c r="C214" s="10" t="s">
        <v>79</v>
      </c>
      <c r="D214">
        <v>103.2</v>
      </c>
      <c r="E214" s="10" t="s">
        <v>79</v>
      </c>
    </row>
    <row r="215" spans="1:6" x14ac:dyDescent="0.25">
      <c r="A215" t="s">
        <v>38</v>
      </c>
      <c r="B215">
        <f>(B213/B214)*365</f>
        <v>244.18217054263567</v>
      </c>
      <c r="C215" t="s">
        <v>39</v>
      </c>
      <c r="D215">
        <f>(D213/D214)*365</f>
        <v>18.25</v>
      </c>
      <c r="E215" t="s">
        <v>39</v>
      </c>
    </row>
    <row r="216" spans="1:6" x14ac:dyDescent="0.25">
      <c r="A216" t="s">
        <v>40</v>
      </c>
      <c r="B216" s="9">
        <f>(ROUND((43.75*B215)/(4.38+B215),1))/100</f>
        <v>0.43</v>
      </c>
      <c r="C216" s="9"/>
      <c r="D216" s="9">
        <f>(ROUND((43.75*D215)/(4.38+D215),1))/100</f>
        <v>0.35299999999999998</v>
      </c>
      <c r="E216" s="9"/>
      <c r="F216" s="9">
        <f>B216-D216</f>
        <v>7.7000000000000013E-2</v>
      </c>
    </row>
    <row r="217" spans="1:6" x14ac:dyDescent="0.25">
      <c r="A217" t="s">
        <v>41</v>
      </c>
      <c r="B217" s="9">
        <f>(ROUND(44.53+6.146*LN(B215)+0.145*(LN(B215)^2),1))/100</f>
        <v>0.82700000000000007</v>
      </c>
      <c r="C217" s="9"/>
      <c r="D217" s="9">
        <f>(ROUND(44.53+6.146*LN(D215)+0.145*(LN(D215)^2),1))/100</f>
        <v>0.63600000000000001</v>
      </c>
      <c r="E217" s="9"/>
      <c r="F217" s="9">
        <f>B217-D217</f>
        <v>0.19100000000000006</v>
      </c>
    </row>
    <row r="219" spans="1:6" x14ac:dyDescent="0.25">
      <c r="A219" s="8" t="s">
        <v>60</v>
      </c>
    </row>
    <row r="220" spans="1:6" x14ac:dyDescent="0.25">
      <c r="B220" t="s">
        <v>35</v>
      </c>
      <c r="D220" t="s">
        <v>36</v>
      </c>
      <c r="F220" t="s">
        <v>37</v>
      </c>
    </row>
    <row r="221" spans="1:6" x14ac:dyDescent="0.25">
      <c r="A221" s="10" t="s">
        <v>77</v>
      </c>
      <c r="B221">
        <v>17.61</v>
      </c>
      <c r="C221" s="10" t="s">
        <v>79</v>
      </c>
      <c r="D221">
        <v>1.55</v>
      </c>
      <c r="E221" s="10" t="s">
        <v>79</v>
      </c>
    </row>
    <row r="222" spans="1:6" x14ac:dyDescent="0.25">
      <c r="A222" s="10" t="s">
        <v>78</v>
      </c>
      <c r="B222">
        <v>77.7</v>
      </c>
      <c r="C222" s="10" t="s">
        <v>79</v>
      </c>
      <c r="D222">
        <v>77.7</v>
      </c>
      <c r="E222" s="10" t="s">
        <v>79</v>
      </c>
    </row>
    <row r="223" spans="1:6" x14ac:dyDescent="0.25">
      <c r="A223" t="s">
        <v>38</v>
      </c>
      <c r="B223">
        <f>(B221/B222)*365</f>
        <v>82.723938223938219</v>
      </c>
      <c r="C223" t="s">
        <v>39</v>
      </c>
      <c r="D223">
        <f>(D221/D222)*365</f>
        <v>7.2812097812097809</v>
      </c>
      <c r="E223" t="s">
        <v>39</v>
      </c>
    </row>
    <row r="224" spans="1:6" x14ac:dyDescent="0.25">
      <c r="A224" t="s">
        <v>40</v>
      </c>
      <c r="B224" s="9">
        <f>(ROUND((43.75*B223)/(4.38+B223),1))/100</f>
        <v>0.41600000000000004</v>
      </c>
      <c r="C224" s="9"/>
      <c r="D224" s="9">
        <f>(ROUND((43.75*D223)/(4.38+D223),1))/100</f>
        <v>0.27300000000000002</v>
      </c>
      <c r="E224" s="9"/>
      <c r="F224" s="9">
        <f>B224-D224</f>
        <v>0.14300000000000002</v>
      </c>
    </row>
    <row r="225" spans="1:6" x14ac:dyDescent="0.25">
      <c r="A225" t="s">
        <v>41</v>
      </c>
      <c r="B225" s="9">
        <f>(ROUND(44.53+6.146*LN(B223)+0.145*(LN(B223)^2),1))/100</f>
        <v>0.745</v>
      </c>
      <c r="C225" s="9"/>
      <c r="D225" s="9">
        <f>(ROUND(44.53+6.146*LN(D223)+0.145*(LN(D223)^2),1))/100</f>
        <v>0.57299999999999995</v>
      </c>
      <c r="E225" s="9"/>
      <c r="F225" s="9">
        <f>B225-D225</f>
        <v>0.17200000000000004</v>
      </c>
    </row>
    <row r="227" spans="1:6" x14ac:dyDescent="0.25">
      <c r="A227" s="8" t="s">
        <v>61</v>
      </c>
    </row>
    <row r="228" spans="1:6" x14ac:dyDescent="0.25">
      <c r="B228" t="s">
        <v>35</v>
      </c>
      <c r="D228" t="s">
        <v>36</v>
      </c>
      <c r="F228" t="s">
        <v>37</v>
      </c>
    </row>
    <row r="229" spans="1:6" x14ac:dyDescent="0.25">
      <c r="A229" s="10" t="s">
        <v>77</v>
      </c>
      <c r="B229">
        <v>6.51</v>
      </c>
      <c r="C229" s="10" t="s">
        <v>79</v>
      </c>
      <c r="D229">
        <v>0.61</v>
      </c>
      <c r="E229" s="10" t="s">
        <v>79</v>
      </c>
    </row>
    <row r="230" spans="1:6" x14ac:dyDescent="0.25">
      <c r="A230" s="10" t="s">
        <v>78</v>
      </c>
      <c r="B230">
        <v>12.2</v>
      </c>
      <c r="C230" s="10" t="s">
        <v>79</v>
      </c>
      <c r="D230">
        <v>12.2</v>
      </c>
      <c r="E230" s="10" t="s">
        <v>79</v>
      </c>
    </row>
    <row r="231" spans="1:6" x14ac:dyDescent="0.25">
      <c r="A231" t="s">
        <v>38</v>
      </c>
      <c r="B231">
        <f>(B229/B230)*365</f>
        <v>194.76639344262296</v>
      </c>
      <c r="C231" t="s">
        <v>39</v>
      </c>
      <c r="D231">
        <f>(D229/D230)*365</f>
        <v>18.25</v>
      </c>
      <c r="E231" t="s">
        <v>39</v>
      </c>
    </row>
    <row r="232" spans="1:6" x14ac:dyDescent="0.25">
      <c r="A232" t="s">
        <v>40</v>
      </c>
      <c r="B232" s="9">
        <f>(ROUND((43.75*B231)/(4.38+B231),1))/100</f>
        <v>0.42799999999999999</v>
      </c>
      <c r="C232" s="9"/>
      <c r="D232" s="9">
        <f>(ROUND((43.75*D231)/(4.38+D231),1))/100</f>
        <v>0.35299999999999998</v>
      </c>
      <c r="E232" s="9"/>
      <c r="F232" s="9">
        <f>B232-D232</f>
        <v>7.5000000000000011E-2</v>
      </c>
    </row>
    <row r="233" spans="1:6" x14ac:dyDescent="0.25">
      <c r="A233" t="s">
        <v>41</v>
      </c>
      <c r="B233" s="9">
        <f>(ROUND(44.53+6.146*LN(B231)+0.145*(LN(B231)^2),1))/100</f>
        <v>0.81</v>
      </c>
      <c r="C233" s="9"/>
      <c r="D233" s="9">
        <f>(ROUND(44.53+6.146*LN(D231)+0.145*(LN(D231)^2),1))/100</f>
        <v>0.63600000000000001</v>
      </c>
      <c r="E233" s="9"/>
      <c r="F233" s="9">
        <f>B233-D233</f>
        <v>0.17400000000000004</v>
      </c>
    </row>
    <row r="235" spans="1:6" x14ac:dyDescent="0.25">
      <c r="A235" s="8" t="s">
        <v>62</v>
      </c>
    </row>
    <row r="236" spans="1:6" x14ac:dyDescent="0.25">
      <c r="B236" t="s">
        <v>35</v>
      </c>
      <c r="D236" t="s">
        <v>36</v>
      </c>
      <c r="F236" t="s">
        <v>37</v>
      </c>
    </row>
    <row r="237" spans="1:6" x14ac:dyDescent="0.25">
      <c r="A237" s="10" t="s">
        <v>77</v>
      </c>
      <c r="B237">
        <v>2.13</v>
      </c>
      <c r="C237" s="10" t="s">
        <v>79</v>
      </c>
      <c r="D237">
        <v>1.1000000000000001</v>
      </c>
      <c r="E237" s="10" t="s">
        <v>79</v>
      </c>
    </row>
    <row r="238" spans="1:6" x14ac:dyDescent="0.25">
      <c r="A238" s="10" t="s">
        <v>78</v>
      </c>
      <c r="B238">
        <v>21.9</v>
      </c>
      <c r="C238" s="10" t="s">
        <v>79</v>
      </c>
      <c r="D238">
        <v>21.9</v>
      </c>
      <c r="E238" s="10" t="s">
        <v>79</v>
      </c>
    </row>
    <row r="239" spans="1:6" x14ac:dyDescent="0.25">
      <c r="A239" t="s">
        <v>38</v>
      </c>
      <c r="B239">
        <f>(B237/B238)*365</f>
        <v>35.5</v>
      </c>
      <c r="C239" t="s">
        <v>39</v>
      </c>
      <c r="D239">
        <f>(D237/D238)*365</f>
        <v>18.333333333333336</v>
      </c>
      <c r="E239" t="s">
        <v>39</v>
      </c>
    </row>
    <row r="240" spans="1:6" x14ac:dyDescent="0.25">
      <c r="A240" t="s">
        <v>40</v>
      </c>
      <c r="B240" s="9">
        <f>(ROUND((43.75*B239)/(4.38+B239),1))/100</f>
        <v>0.38900000000000001</v>
      </c>
      <c r="C240" s="9"/>
      <c r="D240" s="9">
        <f>(ROUND((43.75*D239)/(4.38+D239),1))/100</f>
        <v>0.35299999999999998</v>
      </c>
      <c r="E240" s="9"/>
      <c r="F240" s="9">
        <f>B240-D240</f>
        <v>3.6000000000000032E-2</v>
      </c>
    </row>
    <row r="241" spans="1:6" x14ac:dyDescent="0.25">
      <c r="A241" t="s">
        <v>41</v>
      </c>
      <c r="B241" s="9">
        <f>(ROUND(44.53+6.146*LN(B239)+0.145*(LN(B239)^2),1))/100</f>
        <v>0.68299999999999994</v>
      </c>
      <c r="C241" s="9"/>
      <c r="D241" s="9">
        <f>(ROUND(44.53+6.146*LN(D239)+0.145*(LN(D239)^2),1))/100</f>
        <v>0.63600000000000001</v>
      </c>
      <c r="E241" s="9"/>
      <c r="F241" s="9">
        <f>B241-D241</f>
        <v>4.6999999999999931E-2</v>
      </c>
    </row>
    <row r="243" spans="1:6" x14ac:dyDescent="0.25">
      <c r="A243" s="8" t="s">
        <v>63</v>
      </c>
    </row>
    <row r="244" spans="1:6" x14ac:dyDescent="0.25">
      <c r="B244" t="s">
        <v>35</v>
      </c>
      <c r="D244" t="s">
        <v>36</v>
      </c>
      <c r="F244" t="s">
        <v>37</v>
      </c>
    </row>
    <row r="245" spans="1:6" x14ac:dyDescent="0.25">
      <c r="A245" s="10" t="s">
        <v>77</v>
      </c>
      <c r="B245">
        <v>1.2</v>
      </c>
      <c r="C245" s="10" t="s">
        <v>79</v>
      </c>
      <c r="D245">
        <v>0.74</v>
      </c>
      <c r="E245" s="10" t="s">
        <v>79</v>
      </c>
    </row>
    <row r="246" spans="1:6" x14ac:dyDescent="0.25">
      <c r="A246" s="10" t="s">
        <v>78</v>
      </c>
      <c r="C246" s="10" t="s">
        <v>79</v>
      </c>
      <c r="E246" s="10" t="s">
        <v>79</v>
      </c>
    </row>
    <row r="247" spans="1:6" x14ac:dyDescent="0.25">
      <c r="A247" t="s">
        <v>38</v>
      </c>
      <c r="B247" t="e">
        <f>(B245/B246)*365</f>
        <v>#DIV/0!</v>
      </c>
      <c r="C247" t="s">
        <v>39</v>
      </c>
      <c r="D247" t="e">
        <f>(D245/D246)*365</f>
        <v>#DIV/0!</v>
      </c>
      <c r="E247" t="s">
        <v>39</v>
      </c>
    </row>
    <row r="248" spans="1:6" x14ac:dyDescent="0.25">
      <c r="A248" t="s">
        <v>40</v>
      </c>
      <c r="B248" s="9" t="e">
        <f>(ROUND((43.75*B247)/(4.38+B247),1))/100</f>
        <v>#DIV/0!</v>
      </c>
      <c r="C248" s="9"/>
      <c r="D248" s="9" t="e">
        <f>(ROUND((43.75*D247)/(4.38+D247),1))/100</f>
        <v>#DIV/0!</v>
      </c>
      <c r="E248" s="9"/>
      <c r="F248" s="9" t="e">
        <f>B248-D248</f>
        <v>#DIV/0!</v>
      </c>
    </row>
    <row r="249" spans="1:6" x14ac:dyDescent="0.25">
      <c r="A249" t="s">
        <v>41</v>
      </c>
      <c r="B249" s="9" t="e">
        <f>(ROUND(44.53+6.146*LN(B247)+0.145*(LN(B247)^2),1))/100</f>
        <v>#DIV/0!</v>
      </c>
      <c r="C249" s="9"/>
      <c r="D249" s="9" t="e">
        <f>(ROUND(44.53+6.146*LN(D247)+0.145*(LN(D247)^2),1))/100</f>
        <v>#DIV/0!</v>
      </c>
      <c r="E249" s="9"/>
      <c r="F249" s="9" t="e">
        <f>B249-D249</f>
        <v>#DIV/0!</v>
      </c>
    </row>
    <row r="251" spans="1:6" x14ac:dyDescent="0.25">
      <c r="A251" s="8" t="s">
        <v>64</v>
      </c>
    </row>
    <row r="252" spans="1:6" x14ac:dyDescent="0.25">
      <c r="B252" t="s">
        <v>35</v>
      </c>
      <c r="D252" t="s">
        <v>36</v>
      </c>
      <c r="F252" t="s">
        <v>37</v>
      </c>
    </row>
    <row r="253" spans="1:6" x14ac:dyDescent="0.25">
      <c r="A253" s="10" t="s">
        <v>77</v>
      </c>
      <c r="B253">
        <v>2.38</v>
      </c>
      <c r="C253" s="10" t="s">
        <v>79</v>
      </c>
      <c r="D253">
        <v>2.38</v>
      </c>
      <c r="E253" s="10" t="s">
        <v>79</v>
      </c>
    </row>
    <row r="254" spans="1:6" x14ac:dyDescent="0.25">
      <c r="A254" s="10" t="s">
        <v>78</v>
      </c>
      <c r="C254" s="10" t="s">
        <v>79</v>
      </c>
      <c r="E254" s="10" t="s">
        <v>79</v>
      </c>
    </row>
    <row r="255" spans="1:6" x14ac:dyDescent="0.25">
      <c r="A255" t="s">
        <v>38</v>
      </c>
      <c r="B255" t="e">
        <f>(B253/B254)*365</f>
        <v>#DIV/0!</v>
      </c>
      <c r="C255" t="s">
        <v>39</v>
      </c>
      <c r="D255" t="e">
        <f>(D253/D254)*365</f>
        <v>#DIV/0!</v>
      </c>
      <c r="E255" t="s">
        <v>39</v>
      </c>
    </row>
    <row r="256" spans="1:6" x14ac:dyDescent="0.25">
      <c r="A256" t="s">
        <v>40</v>
      </c>
      <c r="B256" s="9" t="e">
        <f>(ROUND((43.75*B255)/(4.38+B255),1))/100</f>
        <v>#DIV/0!</v>
      </c>
      <c r="C256" s="9"/>
      <c r="D256" s="9" t="e">
        <f>(ROUND((43.75*D255)/(4.38+D255),1))/100</f>
        <v>#DIV/0!</v>
      </c>
      <c r="E256" s="9"/>
      <c r="F256" s="9" t="e">
        <f>B256-D256</f>
        <v>#DIV/0!</v>
      </c>
    </row>
    <row r="257" spans="1:6" x14ac:dyDescent="0.25">
      <c r="A257" t="s">
        <v>41</v>
      </c>
      <c r="B257" s="9" t="e">
        <f>(ROUND(44.53+6.146*LN(B255)+0.145*(LN(B255)^2),1))/100</f>
        <v>#DIV/0!</v>
      </c>
      <c r="C257" s="9"/>
      <c r="D257" s="9" t="e">
        <f>(ROUND(44.53+6.146*LN(D255)+0.145*(LN(D255)^2),1))/100</f>
        <v>#DIV/0!</v>
      </c>
      <c r="E257" s="9"/>
      <c r="F257" s="9" t="e">
        <f>B257-D257</f>
        <v>#DIV/0!</v>
      </c>
    </row>
    <row r="259" spans="1:6" x14ac:dyDescent="0.25">
      <c r="A259" s="8" t="s">
        <v>65</v>
      </c>
    </row>
    <row r="260" spans="1:6" x14ac:dyDescent="0.25">
      <c r="B260" t="s">
        <v>35</v>
      </c>
      <c r="D260" t="s">
        <v>36</v>
      </c>
      <c r="F260" t="s">
        <v>37</v>
      </c>
    </row>
    <row r="261" spans="1:6" x14ac:dyDescent="0.25">
      <c r="A261" s="10" t="s">
        <v>77</v>
      </c>
      <c r="B261">
        <v>1.73</v>
      </c>
      <c r="C261" s="10" t="s">
        <v>79</v>
      </c>
      <c r="D261">
        <v>1.73</v>
      </c>
      <c r="E261" s="10" t="s">
        <v>79</v>
      </c>
    </row>
    <row r="262" spans="1:6" x14ac:dyDescent="0.25">
      <c r="A262" s="10" t="s">
        <v>78</v>
      </c>
      <c r="C262" s="10" t="s">
        <v>79</v>
      </c>
      <c r="E262" s="10" t="s">
        <v>79</v>
      </c>
    </row>
    <row r="263" spans="1:6" x14ac:dyDescent="0.25">
      <c r="A263" t="s">
        <v>38</v>
      </c>
      <c r="B263" t="e">
        <f>(B261/B262)*365</f>
        <v>#DIV/0!</v>
      </c>
      <c r="C263" t="s">
        <v>39</v>
      </c>
      <c r="D263" t="e">
        <f>(D261/D262)*365</f>
        <v>#DIV/0!</v>
      </c>
      <c r="E263" t="s">
        <v>39</v>
      </c>
    </row>
    <row r="264" spans="1:6" x14ac:dyDescent="0.25">
      <c r="A264" t="s">
        <v>40</v>
      </c>
      <c r="B264" s="9" t="e">
        <f>(ROUND((43.75*B263)/(4.38+B263),1))/100</f>
        <v>#DIV/0!</v>
      </c>
      <c r="C264" s="9"/>
      <c r="D264" s="9" t="e">
        <f>(ROUND((43.75*D263)/(4.38+D263),1))/100</f>
        <v>#DIV/0!</v>
      </c>
      <c r="E264" s="9"/>
      <c r="F264" s="9" t="e">
        <f>B264-D264</f>
        <v>#DIV/0!</v>
      </c>
    </row>
    <row r="265" spans="1:6" x14ac:dyDescent="0.25">
      <c r="A265" t="s">
        <v>41</v>
      </c>
      <c r="B265" s="9" t="e">
        <f>(ROUND(44.53+6.146*LN(B263)+0.145*(LN(B263)^2),1))/100</f>
        <v>#DIV/0!</v>
      </c>
      <c r="C265" s="9"/>
      <c r="D265" s="9" t="e">
        <f>(ROUND(44.53+6.146*LN(D263)+0.145*(LN(D263)^2),1))/100</f>
        <v>#DIV/0!</v>
      </c>
      <c r="E265" s="9"/>
      <c r="F265" s="9" t="e">
        <f>B265-D265</f>
        <v>#DIV/0!</v>
      </c>
    </row>
    <row r="267" spans="1:6" x14ac:dyDescent="0.25">
      <c r="A267" s="8" t="s">
        <v>66</v>
      </c>
    </row>
    <row r="268" spans="1:6" x14ac:dyDescent="0.25">
      <c r="B268" t="s">
        <v>35</v>
      </c>
      <c r="D268" t="s">
        <v>36</v>
      </c>
      <c r="F268" t="s">
        <v>37</v>
      </c>
    </row>
    <row r="269" spans="1:6" x14ac:dyDescent="0.25">
      <c r="A269" s="10" t="s">
        <v>77</v>
      </c>
      <c r="B269">
        <v>2.2000000000000002</v>
      </c>
      <c r="C269" s="10" t="s">
        <v>79</v>
      </c>
      <c r="D269">
        <v>1</v>
      </c>
      <c r="E269" s="10" t="s">
        <v>79</v>
      </c>
    </row>
    <row r="270" spans="1:6" x14ac:dyDescent="0.25">
      <c r="A270" s="10" t="s">
        <v>78</v>
      </c>
      <c r="C270" s="10" t="s">
        <v>79</v>
      </c>
      <c r="E270" s="10" t="s">
        <v>79</v>
      </c>
    </row>
    <row r="271" spans="1:6" x14ac:dyDescent="0.25">
      <c r="A271" t="s">
        <v>38</v>
      </c>
      <c r="B271" t="e">
        <f>(B269/B270)*365</f>
        <v>#DIV/0!</v>
      </c>
      <c r="C271" t="s">
        <v>39</v>
      </c>
      <c r="D271" t="e">
        <f>(D269/D270)*365</f>
        <v>#DIV/0!</v>
      </c>
      <c r="E271" t="s">
        <v>39</v>
      </c>
    </row>
    <row r="272" spans="1:6" x14ac:dyDescent="0.25">
      <c r="A272" t="s">
        <v>40</v>
      </c>
      <c r="B272" s="9" t="e">
        <f>(ROUND((43.75*B271)/(4.38+B271),1))/100</f>
        <v>#DIV/0!</v>
      </c>
      <c r="C272" s="9"/>
      <c r="D272" s="9" t="e">
        <f>(ROUND((43.75*D271)/(4.38+D271),1))/100</f>
        <v>#DIV/0!</v>
      </c>
      <c r="E272" s="9"/>
      <c r="F272" s="9" t="e">
        <f>B272-D272</f>
        <v>#DIV/0!</v>
      </c>
    </row>
    <row r="273" spans="1:6" x14ac:dyDescent="0.25">
      <c r="A273" t="s">
        <v>41</v>
      </c>
      <c r="B273" s="9" t="e">
        <f>(ROUND(44.53+6.146*LN(B271)+0.145*(LN(B271)^2),1))/100</f>
        <v>#DIV/0!</v>
      </c>
      <c r="C273" s="9"/>
      <c r="D273" s="9" t="e">
        <f>(ROUND(44.53+6.146*LN(D271)+0.145*(LN(D271)^2),1))/100</f>
        <v>#DIV/0!</v>
      </c>
      <c r="E273" s="9"/>
      <c r="F273" s="9" t="e">
        <f>B273-D273</f>
        <v>#DIV/0!</v>
      </c>
    </row>
    <row r="275" spans="1:6" x14ac:dyDescent="0.25">
      <c r="A275" s="8" t="s">
        <v>67</v>
      </c>
    </row>
    <row r="276" spans="1:6" x14ac:dyDescent="0.25">
      <c r="B276" t="s">
        <v>35</v>
      </c>
      <c r="D276" t="s">
        <v>36</v>
      </c>
      <c r="F276" t="s">
        <v>37</v>
      </c>
    </row>
    <row r="277" spans="1:6" x14ac:dyDescent="0.25">
      <c r="A277" s="10" t="s">
        <v>77</v>
      </c>
      <c r="B277">
        <v>0.54</v>
      </c>
      <c r="C277" s="10" t="s">
        <v>79</v>
      </c>
      <c r="D277">
        <v>0.53</v>
      </c>
      <c r="E277" s="10" t="s">
        <v>79</v>
      </c>
    </row>
    <row r="278" spans="1:6" x14ac:dyDescent="0.25">
      <c r="A278" s="10" t="s">
        <v>78</v>
      </c>
      <c r="C278" s="10" t="s">
        <v>79</v>
      </c>
      <c r="E278" s="10" t="s">
        <v>79</v>
      </c>
    </row>
    <row r="279" spans="1:6" x14ac:dyDescent="0.25">
      <c r="A279" t="s">
        <v>38</v>
      </c>
      <c r="B279" t="e">
        <f>(B277/B278)*365</f>
        <v>#DIV/0!</v>
      </c>
      <c r="C279" t="s">
        <v>39</v>
      </c>
      <c r="D279" t="e">
        <f>(D277/D278)*365</f>
        <v>#DIV/0!</v>
      </c>
      <c r="E279" t="s">
        <v>39</v>
      </c>
    </row>
    <row r="280" spans="1:6" x14ac:dyDescent="0.25">
      <c r="A280" t="s">
        <v>40</v>
      </c>
      <c r="B280" s="9" t="e">
        <f>(ROUND((43.75*B279)/(4.38+B279),1))/100</f>
        <v>#DIV/0!</v>
      </c>
      <c r="C280" s="9"/>
      <c r="D280" s="9" t="e">
        <f>(ROUND((43.75*D279)/(4.38+D279),1))/100</f>
        <v>#DIV/0!</v>
      </c>
      <c r="E280" s="9"/>
      <c r="F280" s="9" t="e">
        <f>B280-D280</f>
        <v>#DIV/0!</v>
      </c>
    </row>
    <row r="281" spans="1:6" x14ac:dyDescent="0.25">
      <c r="A281" t="s">
        <v>41</v>
      </c>
      <c r="B281" s="9" t="e">
        <f>(ROUND(44.53+6.146*LN(B279)+0.145*(LN(B279)^2),1))/100</f>
        <v>#DIV/0!</v>
      </c>
      <c r="C281" s="9"/>
      <c r="D281" s="9" t="e">
        <f>(ROUND(44.53+6.146*LN(D279)+0.145*(LN(D279)^2),1))/100</f>
        <v>#DIV/0!</v>
      </c>
      <c r="E281" s="9"/>
      <c r="F281" s="9" t="e">
        <f>B281-D281</f>
        <v>#DIV/0!</v>
      </c>
    </row>
    <row r="283" spans="1:6" x14ac:dyDescent="0.25">
      <c r="A283" s="8" t="s">
        <v>68</v>
      </c>
    </row>
    <row r="284" spans="1:6" x14ac:dyDescent="0.25">
      <c r="B284" t="s">
        <v>35</v>
      </c>
      <c r="D284" t="s">
        <v>36</v>
      </c>
      <c r="F284" t="s">
        <v>37</v>
      </c>
    </row>
    <row r="285" spans="1:6" x14ac:dyDescent="0.25">
      <c r="A285" s="10" t="s">
        <v>77</v>
      </c>
      <c r="B285">
        <v>0.36</v>
      </c>
      <c r="C285" s="10" t="s">
        <v>79</v>
      </c>
      <c r="D285">
        <v>0.32</v>
      </c>
      <c r="E285" s="10" t="s">
        <v>79</v>
      </c>
    </row>
    <row r="286" spans="1:6" x14ac:dyDescent="0.25">
      <c r="A286" s="10" t="s">
        <v>78</v>
      </c>
      <c r="C286" s="10" t="s">
        <v>79</v>
      </c>
      <c r="E286" s="10" t="s">
        <v>79</v>
      </c>
    </row>
    <row r="287" spans="1:6" x14ac:dyDescent="0.25">
      <c r="A287" t="s">
        <v>38</v>
      </c>
      <c r="B287" t="e">
        <f>(B285/B286)*365</f>
        <v>#DIV/0!</v>
      </c>
      <c r="C287" t="s">
        <v>39</v>
      </c>
      <c r="D287" t="e">
        <f>(D285/D286)*365</f>
        <v>#DIV/0!</v>
      </c>
      <c r="E287" t="s">
        <v>39</v>
      </c>
    </row>
    <row r="288" spans="1:6" x14ac:dyDescent="0.25">
      <c r="A288" t="s">
        <v>40</v>
      </c>
      <c r="B288" s="9" t="e">
        <f>(ROUND((43.75*B287)/(4.38+B287),1))/100</f>
        <v>#DIV/0!</v>
      </c>
      <c r="C288" s="9"/>
      <c r="D288" s="9" t="e">
        <f>(ROUND((43.75*D287)/(4.38+D287),1))/100</f>
        <v>#DIV/0!</v>
      </c>
      <c r="E288" s="9"/>
      <c r="F288" s="9" t="e">
        <f>B288-D288</f>
        <v>#DIV/0!</v>
      </c>
    </row>
    <row r="289" spans="1:6" x14ac:dyDescent="0.25">
      <c r="A289" t="s">
        <v>41</v>
      </c>
      <c r="B289" s="9" t="e">
        <f>(ROUND(44.53+6.146*LN(B287)+0.145*(LN(B287)^2),1))/100</f>
        <v>#DIV/0!</v>
      </c>
      <c r="C289" s="9"/>
      <c r="D289" s="9" t="e">
        <f>(ROUND(44.53+6.146*LN(D287)+0.145*(LN(D287)^2),1))/100</f>
        <v>#DIV/0!</v>
      </c>
      <c r="E289" s="9"/>
      <c r="F289" s="9" t="e">
        <f>B289-D289</f>
        <v>#DIV/0!</v>
      </c>
    </row>
    <row r="291" spans="1:6" x14ac:dyDescent="0.25">
      <c r="A291" s="8" t="s">
        <v>109</v>
      </c>
    </row>
    <row r="292" spans="1:6" x14ac:dyDescent="0.25">
      <c r="B292" t="s">
        <v>35</v>
      </c>
      <c r="D292" t="s">
        <v>36</v>
      </c>
      <c r="F292" t="s">
        <v>37</v>
      </c>
    </row>
    <row r="293" spans="1:6" x14ac:dyDescent="0.25">
      <c r="A293" s="10" t="s">
        <v>77</v>
      </c>
      <c r="B293">
        <v>1.44</v>
      </c>
      <c r="C293" s="10" t="s">
        <v>79</v>
      </c>
      <c r="D293">
        <v>0.78</v>
      </c>
      <c r="E293" s="10" t="s">
        <v>79</v>
      </c>
    </row>
    <row r="294" spans="1:6" x14ac:dyDescent="0.25">
      <c r="A294" s="10" t="s">
        <v>78</v>
      </c>
      <c r="B294">
        <v>15.6</v>
      </c>
      <c r="C294" s="10" t="s">
        <v>79</v>
      </c>
      <c r="D294">
        <v>15.6</v>
      </c>
      <c r="E294" s="10" t="s">
        <v>79</v>
      </c>
    </row>
    <row r="295" spans="1:6" x14ac:dyDescent="0.25">
      <c r="A295" t="s">
        <v>38</v>
      </c>
      <c r="B295">
        <f>(B293/B294)*365</f>
        <v>33.692307692307693</v>
      </c>
      <c r="C295" t="s">
        <v>39</v>
      </c>
      <c r="D295">
        <f>(D293/D294)*365</f>
        <v>18.25</v>
      </c>
      <c r="E295" t="s">
        <v>39</v>
      </c>
    </row>
    <row r="296" spans="1:6" x14ac:dyDescent="0.25">
      <c r="A296" t="s">
        <v>40</v>
      </c>
      <c r="B296" s="9">
        <f>(ROUND((43.75*B295)/(4.38+B295),1))/100</f>
        <v>0.38700000000000001</v>
      </c>
      <c r="C296" s="9"/>
      <c r="D296" s="9">
        <f>(ROUND((43.75*D295)/(4.38+D295),1))/100</f>
        <v>0.35299999999999998</v>
      </c>
      <c r="E296" s="9"/>
      <c r="F296" s="9">
        <f>B296-D296</f>
        <v>3.400000000000003E-2</v>
      </c>
    </row>
    <row r="297" spans="1:6" x14ac:dyDescent="0.25">
      <c r="A297" t="s">
        <v>41</v>
      </c>
      <c r="B297" s="9">
        <f>(ROUND(44.53+6.146*LN(B295)+0.145*(LN(B295)^2),1))/100</f>
        <v>0.67900000000000005</v>
      </c>
      <c r="C297" s="9"/>
      <c r="D297" s="9">
        <f>(ROUND(44.53+6.146*LN(D295)+0.145*(LN(D295)^2),1))/100</f>
        <v>0.63600000000000001</v>
      </c>
      <c r="E297" s="9"/>
      <c r="F297" s="9">
        <f>B297-D297</f>
        <v>4.3000000000000038E-2</v>
      </c>
    </row>
    <row r="299" spans="1:6" x14ac:dyDescent="0.25">
      <c r="A299" s="8" t="s">
        <v>58</v>
      </c>
    </row>
    <row r="300" spans="1:6" x14ac:dyDescent="0.25">
      <c r="B300" t="s">
        <v>35</v>
      </c>
      <c r="D300" t="s">
        <v>36</v>
      </c>
      <c r="F300" t="s">
        <v>37</v>
      </c>
    </row>
    <row r="301" spans="1:6" x14ac:dyDescent="0.25">
      <c r="A301" s="10" t="s">
        <v>77</v>
      </c>
      <c r="B301">
        <v>0.63</v>
      </c>
      <c r="C301" s="10" t="s">
        <v>79</v>
      </c>
      <c r="D301">
        <v>0.56999999999999995</v>
      </c>
      <c r="E301" s="10" t="s">
        <v>79</v>
      </c>
    </row>
    <row r="302" spans="1:6" x14ac:dyDescent="0.25">
      <c r="A302" s="10" t="s">
        <v>78</v>
      </c>
      <c r="B302">
        <v>11.475</v>
      </c>
      <c r="C302" s="10" t="s">
        <v>79</v>
      </c>
      <c r="D302">
        <v>11.475</v>
      </c>
      <c r="E302" s="10" t="s">
        <v>79</v>
      </c>
    </row>
    <row r="303" spans="1:6" x14ac:dyDescent="0.25">
      <c r="A303" t="s">
        <v>38</v>
      </c>
      <c r="B303">
        <f>(B301/B302)*365</f>
        <v>20.03921568627451</v>
      </c>
      <c r="C303" t="s">
        <v>39</v>
      </c>
      <c r="D303">
        <f>(D301/D302)*365</f>
        <v>18.130718954248366</v>
      </c>
      <c r="E303" t="s">
        <v>39</v>
      </c>
    </row>
    <row r="304" spans="1:6" x14ac:dyDescent="0.25">
      <c r="A304" t="s">
        <v>40</v>
      </c>
      <c r="B304" s="9">
        <f>(ROUND((43.75*B303)/(4.38+B303),1))/100</f>
        <v>0.35899999999999999</v>
      </c>
      <c r="C304" s="9"/>
      <c r="D304" s="9">
        <f>(ROUND((43.75*D303)/(4.38+D303),1))/100</f>
        <v>0.35200000000000004</v>
      </c>
      <c r="E304" s="9"/>
      <c r="F304" s="9">
        <f>B304-D304</f>
        <v>6.9999999999999507E-3</v>
      </c>
    </row>
    <row r="305" spans="1:6" x14ac:dyDescent="0.25">
      <c r="A305" t="s">
        <v>41</v>
      </c>
      <c r="B305" s="9">
        <f>(ROUND(44.53+6.146*LN(B303)+0.145*(LN(B303)^2),1))/100</f>
        <v>0.64300000000000002</v>
      </c>
      <c r="C305" s="9"/>
      <c r="D305" s="9">
        <f>(ROUND(44.53+6.146*LN(D303)+0.145*(LN(D303)^2),1))/100</f>
        <v>0.63600000000000001</v>
      </c>
      <c r="E305" s="9"/>
      <c r="F305" s="9">
        <f>B305-D305</f>
        <v>7.0000000000000062E-3</v>
      </c>
    </row>
    <row r="307" spans="1:6" x14ac:dyDescent="0.25">
      <c r="A307" s="8" t="s">
        <v>212</v>
      </c>
    </row>
    <row r="308" spans="1:6" x14ac:dyDescent="0.25">
      <c r="B308" t="s">
        <v>35</v>
      </c>
      <c r="D308" t="s">
        <v>36</v>
      </c>
      <c r="F308" t="s">
        <v>37</v>
      </c>
    </row>
    <row r="309" spans="1:6" x14ac:dyDescent="0.25">
      <c r="A309" s="10" t="s">
        <v>77</v>
      </c>
      <c r="B309">
        <v>3.13</v>
      </c>
      <c r="C309" s="10" t="s">
        <v>79</v>
      </c>
      <c r="D309">
        <v>2.97</v>
      </c>
      <c r="E309" s="10" t="s">
        <v>79</v>
      </c>
    </row>
    <row r="310" spans="1:6" s="42" customFormat="1" x14ac:dyDescent="0.25">
      <c r="A310" s="41" t="s">
        <v>78</v>
      </c>
      <c r="B310" s="42">
        <f>18.36*(5.52/12)</f>
        <v>8.4455999999999989</v>
      </c>
      <c r="C310" s="41" t="s">
        <v>79</v>
      </c>
      <c r="D310" s="42">
        <f>18.36*(5.52/12)</f>
        <v>8.4455999999999989</v>
      </c>
      <c r="E310" s="41" t="s">
        <v>79</v>
      </c>
    </row>
    <row r="311" spans="1:6" x14ac:dyDescent="0.25">
      <c r="A311" t="s">
        <v>38</v>
      </c>
      <c r="B311">
        <f>(B309/B310)*365</f>
        <v>135.27162072558494</v>
      </c>
      <c r="C311" t="s">
        <v>39</v>
      </c>
      <c r="D311">
        <f>(D309/D310)*365</f>
        <v>128.35677749360616</v>
      </c>
      <c r="E311" t="s">
        <v>39</v>
      </c>
    </row>
    <row r="312" spans="1:6" x14ac:dyDescent="0.25">
      <c r="A312" t="s">
        <v>40</v>
      </c>
      <c r="B312" s="9">
        <f>(ROUND((43.75*B311)/(4.38+B311),1))/100</f>
        <v>0.42399999999999999</v>
      </c>
      <c r="C312" s="9"/>
      <c r="D312" s="9">
        <f>(ROUND((43.75*D311)/(4.38+D311),1))/100</f>
        <v>0.42299999999999999</v>
      </c>
      <c r="E312" s="9"/>
      <c r="F312" s="9">
        <f>B312-D312</f>
        <v>1.0000000000000009E-3</v>
      </c>
    </row>
    <row r="313" spans="1:6" x14ac:dyDescent="0.25">
      <c r="A313" t="s">
        <v>41</v>
      </c>
      <c r="B313" s="9">
        <f>(ROUND(44.53+6.146*LN(B311)+0.145*(LN(B311)^2),1))/100</f>
        <v>0.78200000000000003</v>
      </c>
      <c r="C313" s="9"/>
      <c r="D313" s="9">
        <f>(ROUND(44.53+6.146*LN(D311)+0.145*(LN(D311)^2),1))/100</f>
        <v>0.77800000000000002</v>
      </c>
      <c r="E313" s="9"/>
      <c r="F313" s="9">
        <f>B313-D313</f>
        <v>4.0000000000000036E-3</v>
      </c>
    </row>
    <row r="315" spans="1:6" x14ac:dyDescent="0.25">
      <c r="A315" s="8" t="s">
        <v>213</v>
      </c>
    </row>
    <row r="316" spans="1:6" x14ac:dyDescent="0.25">
      <c r="B316" t="s">
        <v>35</v>
      </c>
      <c r="D316" t="s">
        <v>36</v>
      </c>
      <c r="F316" t="s">
        <v>37</v>
      </c>
    </row>
    <row r="317" spans="1:6" x14ac:dyDescent="0.25">
      <c r="A317" s="10" t="s">
        <v>77</v>
      </c>
      <c r="B317">
        <v>1.1399999999999999</v>
      </c>
      <c r="C317" s="10" t="s">
        <v>79</v>
      </c>
      <c r="D317">
        <v>0.79</v>
      </c>
      <c r="E317" s="10" t="s">
        <v>79</v>
      </c>
    </row>
    <row r="318" spans="1:6" x14ac:dyDescent="0.25">
      <c r="A318" s="10" t="s">
        <v>78</v>
      </c>
      <c r="B318" s="39">
        <f>6.39*(5.52/12)</f>
        <v>2.9393999999999996</v>
      </c>
      <c r="C318" s="40" t="s">
        <v>79</v>
      </c>
      <c r="D318" s="39">
        <f>6.39*(5.52/12)</f>
        <v>2.9393999999999996</v>
      </c>
      <c r="E318" s="10" t="s">
        <v>79</v>
      </c>
    </row>
    <row r="319" spans="1:6" x14ac:dyDescent="0.25">
      <c r="A319" t="s">
        <v>38</v>
      </c>
      <c r="B319">
        <f>(B317/B318)*365</f>
        <v>141.55950193917127</v>
      </c>
      <c r="C319" t="s">
        <v>39</v>
      </c>
      <c r="D319">
        <f>(D317/D318)*365</f>
        <v>98.098251343811668</v>
      </c>
      <c r="E319" t="s">
        <v>39</v>
      </c>
    </row>
    <row r="320" spans="1:6" x14ac:dyDescent="0.25">
      <c r="A320" t="s">
        <v>40</v>
      </c>
      <c r="B320" s="9">
        <f>(ROUND((43.75*B319)/(4.38+B319),1))/100</f>
        <v>0.42399999999999999</v>
      </c>
      <c r="C320" s="9"/>
      <c r="D320" s="9">
        <f>(ROUND((43.75*D319)/(4.38+D319),1))/100</f>
        <v>0.41899999999999998</v>
      </c>
      <c r="E320" s="9"/>
      <c r="F320" s="9">
        <f>B320-D320</f>
        <v>5.0000000000000044E-3</v>
      </c>
    </row>
    <row r="321" spans="1:6" x14ac:dyDescent="0.25">
      <c r="A321" t="s">
        <v>41</v>
      </c>
      <c r="B321" s="9">
        <f>(ROUND(44.53+6.146*LN(B319)+0.145*(LN(B319)^2),1))/100</f>
        <v>0.78500000000000003</v>
      </c>
      <c r="C321" s="9"/>
      <c r="D321" s="9">
        <f>(ROUND(44.53+6.146*LN(D319)+0.145*(LN(D319)^2),1))/100</f>
        <v>0.75800000000000001</v>
      </c>
      <c r="E321" s="9"/>
      <c r="F321" s="9">
        <f>B321-D321</f>
        <v>2.7000000000000024E-2</v>
      </c>
    </row>
    <row r="323" spans="1:6" x14ac:dyDescent="0.25">
      <c r="A323" s="8" t="s">
        <v>214</v>
      </c>
    </row>
    <row r="324" spans="1:6" x14ac:dyDescent="0.25">
      <c r="B324" t="s">
        <v>35</v>
      </c>
      <c r="D324" t="s">
        <v>36</v>
      </c>
      <c r="F324" t="s">
        <v>37</v>
      </c>
    </row>
    <row r="325" spans="1:6" x14ac:dyDescent="0.25">
      <c r="A325" s="10" t="s">
        <v>77</v>
      </c>
      <c r="B325">
        <v>6.08</v>
      </c>
      <c r="C325" s="10" t="s">
        <v>79</v>
      </c>
      <c r="D325">
        <v>5.59</v>
      </c>
      <c r="E325" s="10" t="s">
        <v>79</v>
      </c>
    </row>
    <row r="326" spans="1:6" s="42" customFormat="1" x14ac:dyDescent="0.25">
      <c r="A326" s="41" t="s">
        <v>78</v>
      </c>
      <c r="B326" s="42">
        <f>25.62*(5.52/12)</f>
        <v>11.7852</v>
      </c>
      <c r="C326" s="41" t="s">
        <v>79</v>
      </c>
      <c r="D326" s="42">
        <f>25.62*(5.52/12)</f>
        <v>11.7852</v>
      </c>
      <c r="E326" s="41" t="s">
        <v>79</v>
      </c>
    </row>
    <row r="327" spans="1:6" x14ac:dyDescent="0.25">
      <c r="A327" t="s">
        <v>38</v>
      </c>
      <c r="B327">
        <f>(B325/B326)*365</f>
        <v>188.303974476462</v>
      </c>
      <c r="C327" t="s">
        <v>39</v>
      </c>
      <c r="D327">
        <f>(D325/D326)*365</f>
        <v>173.12816074398398</v>
      </c>
      <c r="E327" t="s">
        <v>39</v>
      </c>
    </row>
    <row r="328" spans="1:6" x14ac:dyDescent="0.25">
      <c r="A328" t="s">
        <v>40</v>
      </c>
      <c r="B328" s="9">
        <f>(ROUND((43.75*B327)/(4.38+B327),1))/100</f>
        <v>0.42799999999999999</v>
      </c>
      <c r="C328" s="9"/>
      <c r="D328" s="9">
        <f>(ROUND((43.75*D327)/(4.38+D327),1))/100</f>
        <v>0.42700000000000005</v>
      </c>
      <c r="E328" s="9"/>
      <c r="F328" s="9">
        <f>B328-D328</f>
        <v>9.9999999999994538E-4</v>
      </c>
    </row>
    <row r="329" spans="1:6" x14ac:dyDescent="0.25">
      <c r="A329" t="s">
        <v>41</v>
      </c>
      <c r="B329" s="9">
        <f>(ROUND(44.53+6.146*LN(B327)+0.145*(LN(B327)^2),1))/100</f>
        <v>0.80700000000000005</v>
      </c>
      <c r="C329" s="9"/>
      <c r="D329" s="9">
        <f>(ROUND(44.53+6.146*LN(D327)+0.145*(LN(D327)^2),1))/100</f>
        <v>0.80099999999999993</v>
      </c>
      <c r="E329" s="9"/>
      <c r="F329" s="9">
        <f>B329-D329</f>
        <v>6.0000000000001164E-3</v>
      </c>
    </row>
  </sheetData>
  <pageMargins left="0.7" right="0.7" top="0.75" bottom="0.75" header="0.3" footer="0.3"/>
  <pageSetup orientation="portrait"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BBEB3-DA05-491C-A115-C51FD4628E65}">
  <dimension ref="A1:H4"/>
  <sheetViews>
    <sheetView workbookViewId="0">
      <selection activeCell="H2" sqref="H2:H4"/>
    </sheetView>
  </sheetViews>
  <sheetFormatPr defaultRowHeight="13.2" x14ac:dyDescent="0.25"/>
  <sheetData>
    <row r="1" spans="1:8" x14ac:dyDescent="0.25">
      <c r="A1" s="96" t="s">
        <v>222</v>
      </c>
      <c r="B1" s="96" t="s">
        <v>223</v>
      </c>
      <c r="C1" s="96" t="s">
        <v>224</v>
      </c>
      <c r="F1" s="208" t="s">
        <v>222</v>
      </c>
      <c r="G1" s="208" t="s">
        <v>223</v>
      </c>
      <c r="H1" s="208" t="s">
        <v>224</v>
      </c>
    </row>
    <row r="2" spans="1:8" x14ac:dyDescent="0.25">
      <c r="A2" s="97">
        <v>1</v>
      </c>
      <c r="B2" s="97">
        <v>27</v>
      </c>
      <c r="C2" s="98">
        <v>2.7907140219801072E-4</v>
      </c>
      <c r="F2" s="209">
        <v>1</v>
      </c>
      <c r="G2" s="209">
        <v>27</v>
      </c>
      <c r="H2" s="210">
        <v>0.31521134403025663</v>
      </c>
    </row>
    <row r="3" spans="1:8" x14ac:dyDescent="0.25">
      <c r="A3" s="149">
        <v>1</v>
      </c>
      <c r="B3" s="149">
        <v>27</v>
      </c>
      <c r="C3" s="150">
        <v>0.84746906814557832</v>
      </c>
      <c r="F3" s="261">
        <v>1</v>
      </c>
      <c r="G3" s="261">
        <v>27</v>
      </c>
      <c r="H3" s="262">
        <v>9.1024913994587529</v>
      </c>
    </row>
    <row r="4" spans="1:8" x14ac:dyDescent="0.25">
      <c r="C4">
        <f>SUM(C2:C3)</f>
        <v>0.84774813954777628</v>
      </c>
      <c r="H4">
        <f>SUM(H2:H3)</f>
        <v>9.4177027434890093</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E2707-547C-4109-B3CA-CF5ED4F72BED}">
  <dimension ref="A1:H4"/>
  <sheetViews>
    <sheetView workbookViewId="0">
      <selection activeCell="H2" sqref="H2:H4"/>
    </sheetView>
  </sheetViews>
  <sheetFormatPr defaultRowHeight="13.2" x14ac:dyDescent="0.25"/>
  <sheetData>
    <row r="1" spans="1:8" x14ac:dyDescent="0.25">
      <c r="A1" s="99" t="s">
        <v>222</v>
      </c>
      <c r="B1" s="99" t="s">
        <v>223</v>
      </c>
      <c r="C1" s="99" t="s">
        <v>224</v>
      </c>
      <c r="F1" s="211" t="s">
        <v>222</v>
      </c>
      <c r="G1" s="211" t="s">
        <v>223</v>
      </c>
      <c r="H1" s="211" t="s">
        <v>224</v>
      </c>
    </row>
    <row r="2" spans="1:8" x14ac:dyDescent="0.25">
      <c r="A2" s="100">
        <v>1</v>
      </c>
      <c r="B2" s="100">
        <v>24</v>
      </c>
      <c r="C2" s="101">
        <v>7.9478151425650394E-5</v>
      </c>
      <c r="F2" s="212">
        <v>1</v>
      </c>
      <c r="G2" s="212">
        <v>24</v>
      </c>
      <c r="H2" s="213">
        <v>0.22519727162896264</v>
      </c>
    </row>
    <row r="3" spans="1:8" x14ac:dyDescent="0.25">
      <c r="A3" s="151">
        <v>1</v>
      </c>
      <c r="B3" s="151">
        <v>24</v>
      </c>
      <c r="C3" s="152">
        <v>2.7648861029067726</v>
      </c>
      <c r="F3" s="263">
        <v>1</v>
      </c>
      <c r="G3" s="263">
        <v>24</v>
      </c>
      <c r="H3" s="264">
        <v>24.403698839806371</v>
      </c>
    </row>
    <row r="4" spans="1:8" x14ac:dyDescent="0.25">
      <c r="C4">
        <f>SUM(C2:C3)</f>
        <v>2.7649655810581981</v>
      </c>
      <c r="H4">
        <f>SUM(H2:H3)</f>
        <v>24.628896111435335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F6F2E-C215-480D-9D2E-278CC4B140AF}">
  <dimension ref="A1:H4"/>
  <sheetViews>
    <sheetView workbookViewId="0">
      <selection activeCell="H2" sqref="H2:H4"/>
    </sheetView>
  </sheetViews>
  <sheetFormatPr defaultRowHeight="13.2" x14ac:dyDescent="0.25"/>
  <sheetData>
    <row r="1" spans="1:8" x14ac:dyDescent="0.25">
      <c r="A1" s="102" t="s">
        <v>222</v>
      </c>
      <c r="B1" s="102" t="s">
        <v>223</v>
      </c>
      <c r="C1" s="102" t="s">
        <v>224</v>
      </c>
      <c r="F1" s="214" t="s">
        <v>222</v>
      </c>
      <c r="G1" s="214" t="s">
        <v>223</v>
      </c>
      <c r="H1" s="214" t="s">
        <v>224</v>
      </c>
    </row>
    <row r="2" spans="1:8" x14ac:dyDescent="0.25">
      <c r="A2" s="103">
        <v>1</v>
      </c>
      <c r="B2" s="103">
        <v>21</v>
      </c>
      <c r="C2" s="104">
        <v>0</v>
      </c>
      <c r="F2" s="215">
        <v>1</v>
      </c>
      <c r="G2" s="215">
        <v>21</v>
      </c>
      <c r="H2" s="216">
        <v>0.16006814648163054</v>
      </c>
    </row>
    <row r="3" spans="1:8" x14ac:dyDescent="0.25">
      <c r="A3" s="153">
        <v>1</v>
      </c>
      <c r="B3" s="153">
        <v>21</v>
      </c>
      <c r="C3" s="154">
        <v>1.9974018982238446</v>
      </c>
      <c r="F3" s="265">
        <v>1</v>
      </c>
      <c r="G3" s="265">
        <v>21</v>
      </c>
      <c r="H3" s="266">
        <v>7.2871581407165413</v>
      </c>
    </row>
    <row r="4" spans="1:8" x14ac:dyDescent="0.25">
      <c r="C4">
        <f>SUM(C2:C3)</f>
        <v>1.9974018982238446</v>
      </c>
      <c r="H4">
        <f>SUM(H2:H3)</f>
        <v>7.4472262871981716</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4E5A1-6167-4555-AB54-FE8A67825E2A}">
  <dimension ref="A1:H4"/>
  <sheetViews>
    <sheetView workbookViewId="0">
      <selection activeCell="H2" sqref="H2:H4"/>
    </sheetView>
  </sheetViews>
  <sheetFormatPr defaultRowHeight="13.2" x14ac:dyDescent="0.25"/>
  <sheetData>
    <row r="1" spans="1:8" x14ac:dyDescent="0.25">
      <c r="A1" s="105" t="s">
        <v>222</v>
      </c>
      <c r="B1" s="105" t="s">
        <v>223</v>
      </c>
      <c r="C1" s="105" t="s">
        <v>224</v>
      </c>
      <c r="F1" s="217" t="s">
        <v>222</v>
      </c>
      <c r="G1" s="217" t="s">
        <v>223</v>
      </c>
      <c r="H1" s="217" t="s">
        <v>224</v>
      </c>
    </row>
    <row r="2" spans="1:8" x14ac:dyDescent="0.25">
      <c r="A2" s="106">
        <v>1</v>
      </c>
      <c r="B2" s="106">
        <v>17</v>
      </c>
      <c r="C2" s="107">
        <v>1.9183348724242044E-2</v>
      </c>
      <c r="F2" s="218">
        <v>1</v>
      </c>
      <c r="G2" s="218">
        <v>17</v>
      </c>
      <c r="H2" s="219">
        <v>0.50030625447461319</v>
      </c>
    </row>
    <row r="3" spans="1:8" x14ac:dyDescent="0.25">
      <c r="A3" s="155">
        <v>1</v>
      </c>
      <c r="B3" s="155">
        <v>17</v>
      </c>
      <c r="C3" s="156">
        <v>0.3969211921278315</v>
      </c>
      <c r="F3" s="267">
        <v>1</v>
      </c>
      <c r="G3" s="267">
        <v>17</v>
      </c>
      <c r="H3" s="268">
        <v>2.3910239678700425</v>
      </c>
    </row>
    <row r="4" spans="1:8" x14ac:dyDescent="0.25">
      <c r="C4">
        <f>SUM(C2:C3)</f>
        <v>0.41610454085207355</v>
      </c>
      <c r="H4">
        <f>SUM(H2:H3)</f>
        <v>2.8913302223446555</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3B758-F7A4-49D2-9406-66186749BF9B}">
  <dimension ref="A1:H4"/>
  <sheetViews>
    <sheetView workbookViewId="0">
      <selection activeCell="H2" sqref="H2:H4"/>
    </sheetView>
  </sheetViews>
  <sheetFormatPr defaultRowHeight="13.2" x14ac:dyDescent="0.25"/>
  <sheetData>
    <row r="1" spans="1:8" x14ac:dyDescent="0.25">
      <c r="A1" s="108" t="s">
        <v>222</v>
      </c>
      <c r="B1" s="108" t="s">
        <v>223</v>
      </c>
      <c r="C1" s="108" t="s">
        <v>224</v>
      </c>
      <c r="F1" s="220" t="s">
        <v>222</v>
      </c>
      <c r="G1" s="220" t="s">
        <v>223</v>
      </c>
      <c r="H1" s="220" t="s">
        <v>224</v>
      </c>
    </row>
    <row r="2" spans="1:8" x14ac:dyDescent="0.25">
      <c r="A2" s="109">
        <v>1</v>
      </c>
      <c r="B2" s="109">
        <v>27</v>
      </c>
      <c r="C2" s="110">
        <v>0</v>
      </c>
      <c r="F2" s="221">
        <v>1</v>
      </c>
      <c r="G2" s="221">
        <v>27</v>
      </c>
      <c r="H2" s="222">
        <v>0.34554129500674929</v>
      </c>
    </row>
    <row r="3" spans="1:8" x14ac:dyDescent="0.25">
      <c r="A3" s="157">
        <v>1</v>
      </c>
      <c r="B3" s="157">
        <v>27</v>
      </c>
      <c r="C3" s="158">
        <v>0.79224904697886778</v>
      </c>
      <c r="F3" s="269">
        <v>1</v>
      </c>
      <c r="G3" s="269">
        <v>27</v>
      </c>
      <c r="H3" s="270">
        <v>5.5711673803569592</v>
      </c>
    </row>
    <row r="4" spans="1:8" x14ac:dyDescent="0.25">
      <c r="C4">
        <f>SUM(C2:C3)</f>
        <v>0.79224904697886778</v>
      </c>
      <c r="H4">
        <f>SUM(H2:H3)</f>
        <v>5.9167086753637088</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32E51-2656-4358-91F4-938017C12538}">
  <dimension ref="A1:H4"/>
  <sheetViews>
    <sheetView workbookViewId="0">
      <selection activeCell="H2" sqref="H2:H4"/>
    </sheetView>
  </sheetViews>
  <sheetFormatPr defaultRowHeight="13.2" x14ac:dyDescent="0.25"/>
  <sheetData>
    <row r="1" spans="1:8" x14ac:dyDescent="0.25">
      <c r="A1" s="111" t="s">
        <v>222</v>
      </c>
      <c r="B1" s="111" t="s">
        <v>223</v>
      </c>
      <c r="C1" s="111" t="s">
        <v>224</v>
      </c>
      <c r="F1" s="223" t="s">
        <v>222</v>
      </c>
      <c r="G1" s="223" t="s">
        <v>223</v>
      </c>
      <c r="H1" s="223" t="s">
        <v>224</v>
      </c>
    </row>
    <row r="2" spans="1:8" x14ac:dyDescent="0.25">
      <c r="A2" s="112">
        <v>1</v>
      </c>
      <c r="B2" s="112">
        <v>14</v>
      </c>
      <c r="C2" s="113">
        <v>1.0400341128705319E-4</v>
      </c>
      <c r="F2" s="224">
        <v>1</v>
      </c>
      <c r="G2" s="224">
        <v>14</v>
      </c>
      <c r="H2" s="225">
        <v>0.1590426910267036</v>
      </c>
    </row>
    <row r="3" spans="1:8" x14ac:dyDescent="0.25">
      <c r="A3" s="159">
        <v>1</v>
      </c>
      <c r="B3" s="159">
        <v>14</v>
      </c>
      <c r="C3" s="160">
        <v>0.71608144297766185</v>
      </c>
      <c r="F3" s="271">
        <v>1</v>
      </c>
      <c r="G3" s="271">
        <v>14</v>
      </c>
      <c r="H3" s="272">
        <v>2.1108719485949514</v>
      </c>
    </row>
    <row r="4" spans="1:8" x14ac:dyDescent="0.25">
      <c r="C4">
        <f>SUM(C2:C3)</f>
        <v>0.71618544638894888</v>
      </c>
      <c r="H4">
        <f>SUM(H2:H3)</f>
        <v>2.2699146396216552</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6F888-88BE-4A73-A6AE-9946AE43FB9B}">
  <dimension ref="A1:H4"/>
  <sheetViews>
    <sheetView workbookViewId="0">
      <selection activeCell="Q16" sqref="Q16"/>
    </sheetView>
  </sheetViews>
  <sheetFormatPr defaultRowHeight="13.2" x14ac:dyDescent="0.25"/>
  <sheetData>
    <row r="1" spans="1:8" x14ac:dyDescent="0.25">
      <c r="A1" s="114" t="s">
        <v>222</v>
      </c>
      <c r="B1" s="114" t="s">
        <v>223</v>
      </c>
      <c r="C1" s="114" t="s">
        <v>224</v>
      </c>
      <c r="F1" s="226" t="s">
        <v>222</v>
      </c>
      <c r="G1" s="226" t="s">
        <v>223</v>
      </c>
      <c r="H1" s="226" t="s">
        <v>224</v>
      </c>
    </row>
    <row r="2" spans="1:8" x14ac:dyDescent="0.25">
      <c r="A2" s="115">
        <v>1</v>
      </c>
      <c r="B2" s="115">
        <v>14</v>
      </c>
      <c r="C2" s="116">
        <v>0</v>
      </c>
      <c r="F2" s="227">
        <v>1</v>
      </c>
      <c r="G2" s="227">
        <v>14</v>
      </c>
      <c r="H2" s="228">
        <v>0.26212572666778888</v>
      </c>
    </row>
    <row r="3" spans="1:8" x14ac:dyDescent="0.25">
      <c r="A3" s="161">
        <v>1</v>
      </c>
      <c r="B3" s="161">
        <v>14</v>
      </c>
      <c r="C3" s="162">
        <v>1.2976273224391091</v>
      </c>
      <c r="F3" s="273">
        <v>1</v>
      </c>
      <c r="G3" s="273">
        <v>14</v>
      </c>
      <c r="H3" s="274">
        <v>2.6876887086775998</v>
      </c>
    </row>
    <row r="4" spans="1:8" x14ac:dyDescent="0.25">
      <c r="C4">
        <f>SUM(C2:C3)</f>
        <v>1.2976273224391091</v>
      </c>
      <c r="H4">
        <f>SUM(H2:H3)</f>
        <v>2.9498144353453886</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62A20-9136-4022-81B5-CCA50DABB729}">
  <dimension ref="A1:H300"/>
  <sheetViews>
    <sheetView topLeftCell="A293" workbookViewId="0">
      <selection activeCell="H300" sqref="H300"/>
    </sheetView>
  </sheetViews>
  <sheetFormatPr defaultRowHeight="13.2" x14ac:dyDescent="0.25"/>
  <cols>
    <col min="1" max="1" width="8.6640625" bestFit="1" customWidth="1"/>
    <col min="2" max="2" width="13.44140625" bestFit="1" customWidth="1"/>
    <col min="3" max="3" width="13.33203125" bestFit="1" customWidth="1"/>
    <col min="6" max="6" width="8.6640625" bestFit="1" customWidth="1"/>
    <col min="7" max="8" width="13.44140625" bestFit="1" customWidth="1"/>
  </cols>
  <sheetData>
    <row r="1" spans="1:8" x14ac:dyDescent="0.25">
      <c r="A1" s="315" t="s">
        <v>227</v>
      </c>
      <c r="B1" s="315" t="s">
        <v>228</v>
      </c>
      <c r="C1" s="315" t="s">
        <v>226</v>
      </c>
      <c r="F1" s="315" t="s">
        <v>227</v>
      </c>
      <c r="G1" s="315" t="s">
        <v>228</v>
      </c>
      <c r="H1" s="315" t="s">
        <v>225</v>
      </c>
    </row>
    <row r="2" spans="1:8" x14ac:dyDescent="0.25">
      <c r="A2" s="316" t="s">
        <v>230</v>
      </c>
      <c r="B2" s="316" t="s">
        <v>229</v>
      </c>
      <c r="C2" s="316">
        <v>0</v>
      </c>
      <c r="F2" s="316" t="s">
        <v>230</v>
      </c>
      <c r="G2" s="316" t="s">
        <v>229</v>
      </c>
      <c r="H2" s="316">
        <v>4.0553576904553612</v>
      </c>
    </row>
    <row r="3" spans="1:8" x14ac:dyDescent="0.25">
      <c r="A3" s="316" t="s">
        <v>230</v>
      </c>
      <c r="B3" s="316" t="s">
        <v>229</v>
      </c>
      <c r="C3" s="316">
        <v>1.1077823091725114</v>
      </c>
      <c r="F3" s="316" t="s">
        <v>230</v>
      </c>
      <c r="G3" s="316" t="s">
        <v>229</v>
      </c>
      <c r="H3" s="316">
        <v>0.55878293969194692</v>
      </c>
    </row>
    <row r="4" spans="1:8" x14ac:dyDescent="0.25">
      <c r="A4" s="316" t="s">
        <v>230</v>
      </c>
      <c r="B4" s="316" t="s">
        <v>229</v>
      </c>
      <c r="C4" s="316">
        <v>12.590309689150196</v>
      </c>
      <c r="F4" s="316" t="s">
        <v>230</v>
      </c>
      <c r="G4" s="316" t="s">
        <v>229</v>
      </c>
      <c r="H4" s="316">
        <v>0.80976609577439351</v>
      </c>
    </row>
    <row r="5" spans="1:8" x14ac:dyDescent="0.25">
      <c r="A5" s="316" t="s">
        <v>230</v>
      </c>
      <c r="B5" s="316" t="s">
        <v>229</v>
      </c>
      <c r="C5" s="316">
        <v>2.3330565447509888E-2</v>
      </c>
      <c r="F5" s="316" t="s">
        <v>230</v>
      </c>
      <c r="G5" s="316" t="s">
        <v>229</v>
      </c>
      <c r="H5" s="316">
        <v>1.1285868045241627E-2</v>
      </c>
    </row>
    <row r="6" spans="1:8" x14ac:dyDescent="0.25">
      <c r="A6" s="316" t="s">
        <v>230</v>
      </c>
      <c r="B6" s="316" t="s">
        <v>229</v>
      </c>
      <c r="C6" s="316">
        <v>4.9854446051575433E-3</v>
      </c>
      <c r="F6" s="316" t="s">
        <v>230</v>
      </c>
      <c r="G6" s="316" t="s">
        <v>229</v>
      </c>
      <c r="H6" s="316">
        <v>0.28257167011368578</v>
      </c>
    </row>
    <row r="7" spans="1:8" x14ac:dyDescent="0.25">
      <c r="A7" s="316" t="s">
        <v>230</v>
      </c>
      <c r="B7" s="316" t="s">
        <v>229</v>
      </c>
      <c r="C7" s="316">
        <v>7.7406175845146468</v>
      </c>
      <c r="F7" s="316" t="s">
        <v>230</v>
      </c>
      <c r="G7" s="316" t="s">
        <v>229</v>
      </c>
      <c r="H7" s="316">
        <v>0.13248977728616754</v>
      </c>
    </row>
    <row r="8" spans="1:8" x14ac:dyDescent="0.25">
      <c r="A8" s="316" t="s">
        <v>230</v>
      </c>
      <c r="B8" s="316" t="s">
        <v>229</v>
      </c>
      <c r="C8" s="316">
        <v>8.4674227378472872E-3</v>
      </c>
      <c r="F8" s="316" t="s">
        <v>230</v>
      </c>
      <c r="G8" s="316" t="s">
        <v>229</v>
      </c>
      <c r="H8" s="316">
        <v>0.50190595395735949</v>
      </c>
    </row>
    <row r="9" spans="1:8" x14ac:dyDescent="0.25">
      <c r="A9" s="316" t="s">
        <v>230</v>
      </c>
      <c r="B9" s="316" t="s">
        <v>229</v>
      </c>
      <c r="C9" s="316">
        <v>8.0343176540421197</v>
      </c>
      <c r="F9" s="316" t="s">
        <v>230</v>
      </c>
      <c r="G9" s="316" t="s">
        <v>229</v>
      </c>
      <c r="H9" s="316">
        <v>2.892258790086942E-2</v>
      </c>
    </row>
    <row r="10" spans="1:8" x14ac:dyDescent="0.25">
      <c r="A10" s="316" t="s">
        <v>230</v>
      </c>
      <c r="B10" s="316" t="s">
        <v>229</v>
      </c>
      <c r="C10" s="316">
        <v>0</v>
      </c>
      <c r="F10" s="316" t="s">
        <v>230</v>
      </c>
      <c r="G10" s="316" t="s">
        <v>229</v>
      </c>
      <c r="H10" s="316">
        <v>0.60466784971483822</v>
      </c>
    </row>
    <row r="11" spans="1:8" x14ac:dyDescent="0.25">
      <c r="A11" s="316" t="s">
        <v>230</v>
      </c>
      <c r="B11" s="316" t="s">
        <v>229</v>
      </c>
      <c r="C11" s="316">
        <v>4.0553576904553612</v>
      </c>
      <c r="F11" s="316" t="s">
        <v>230</v>
      </c>
      <c r="G11" s="316" t="s">
        <v>229</v>
      </c>
      <c r="H11" s="316">
        <v>0.38211584503703461</v>
      </c>
    </row>
    <row r="12" spans="1:8" x14ac:dyDescent="0.25">
      <c r="A12" s="316" t="s">
        <v>230</v>
      </c>
      <c r="B12" s="316" t="s">
        <v>229</v>
      </c>
      <c r="C12" s="316">
        <v>35.999529145819274</v>
      </c>
      <c r="F12" s="316" t="s">
        <v>230</v>
      </c>
      <c r="G12" s="316" t="s">
        <v>229</v>
      </c>
      <c r="H12" s="316">
        <v>4.7301176916981442E-2</v>
      </c>
    </row>
    <row r="13" spans="1:8" x14ac:dyDescent="0.25">
      <c r="A13" s="316" t="s">
        <v>230</v>
      </c>
      <c r="B13" s="316" t="s">
        <v>229</v>
      </c>
      <c r="C13" s="316">
        <v>28.03582869454905</v>
      </c>
      <c r="F13" s="316" t="s">
        <v>230</v>
      </c>
      <c r="G13" s="316" t="s">
        <v>229</v>
      </c>
      <c r="H13" s="316">
        <v>77.938293611536807</v>
      </c>
    </row>
    <row r="14" spans="1:8" x14ac:dyDescent="0.25">
      <c r="A14" s="316" t="s">
        <v>230</v>
      </c>
      <c r="B14" s="316" t="s">
        <v>229</v>
      </c>
      <c r="C14" s="316">
        <v>0.55878293969194692</v>
      </c>
      <c r="F14" s="316" t="s">
        <v>230</v>
      </c>
      <c r="G14" s="316" t="s">
        <v>229</v>
      </c>
      <c r="H14" s="316">
        <v>6.0385508525834061E-2</v>
      </c>
    </row>
    <row r="15" spans="1:8" x14ac:dyDescent="0.25">
      <c r="A15" s="316" t="s">
        <v>230</v>
      </c>
      <c r="B15" s="316" t="s">
        <v>229</v>
      </c>
      <c r="C15" s="316">
        <v>25.209272643851104</v>
      </c>
      <c r="F15" s="316" t="s">
        <v>230</v>
      </c>
      <c r="G15" s="316" t="s">
        <v>229</v>
      </c>
      <c r="H15" s="316">
        <v>9.8525793632822614E-2</v>
      </c>
    </row>
    <row r="16" spans="1:8" x14ac:dyDescent="0.25">
      <c r="A16" s="316" t="s">
        <v>230</v>
      </c>
      <c r="B16" s="316" t="s">
        <v>229</v>
      </c>
      <c r="C16" s="316">
        <v>59.36255298258645</v>
      </c>
      <c r="F16" s="316" t="s">
        <v>230</v>
      </c>
      <c r="G16" s="316" t="s">
        <v>229</v>
      </c>
      <c r="H16" s="316">
        <v>2.3330565447509888E-2</v>
      </c>
    </row>
    <row r="17" spans="1:8" x14ac:dyDescent="0.25">
      <c r="A17" s="316" t="s">
        <v>230</v>
      </c>
      <c r="B17" s="316" t="s">
        <v>229</v>
      </c>
      <c r="C17" s="316">
        <v>0.16497564762033468</v>
      </c>
      <c r="F17" s="316" t="s">
        <v>230</v>
      </c>
      <c r="G17" s="316" t="s">
        <v>229</v>
      </c>
      <c r="H17" s="316">
        <v>0.70520544005261498</v>
      </c>
    </row>
    <row r="18" spans="1:8" x14ac:dyDescent="0.25">
      <c r="A18" s="316" t="s">
        <v>230</v>
      </c>
      <c r="B18" s="316" t="s">
        <v>229</v>
      </c>
      <c r="C18" s="316">
        <v>0.70520544005261498</v>
      </c>
      <c r="F18" s="316" t="s">
        <v>230</v>
      </c>
      <c r="G18" s="316" t="s">
        <v>229</v>
      </c>
      <c r="H18" s="316">
        <v>6.8439566742909005E-2</v>
      </c>
    </row>
    <row r="19" spans="1:8" x14ac:dyDescent="0.25">
      <c r="A19" s="316" t="s">
        <v>230</v>
      </c>
      <c r="B19" s="316" t="s">
        <v>229</v>
      </c>
      <c r="C19" s="316">
        <v>2.4121405435126624</v>
      </c>
      <c r="F19" s="316" t="s">
        <v>230</v>
      </c>
      <c r="G19" s="316" t="s">
        <v>229</v>
      </c>
      <c r="H19" s="316">
        <v>2.0316297771243317</v>
      </c>
    </row>
    <row r="20" spans="1:8" x14ac:dyDescent="0.25">
      <c r="A20" s="316" t="s">
        <v>230</v>
      </c>
      <c r="B20" s="316" t="s">
        <v>229</v>
      </c>
      <c r="C20" s="316">
        <v>22.03508236236652</v>
      </c>
      <c r="F20" s="316" t="s">
        <v>230</v>
      </c>
      <c r="G20" s="316" t="s">
        <v>229</v>
      </c>
      <c r="H20" s="316">
        <v>0</v>
      </c>
    </row>
    <row r="21" spans="1:8" x14ac:dyDescent="0.25">
      <c r="A21" s="316" t="s">
        <v>230</v>
      </c>
      <c r="B21" s="316" t="s">
        <v>229</v>
      </c>
      <c r="C21" s="316">
        <v>1.7897013673086805E-2</v>
      </c>
      <c r="F21" s="316" t="s">
        <v>230</v>
      </c>
      <c r="G21" s="316" t="s">
        <v>229</v>
      </c>
      <c r="H21" s="316">
        <v>0.23982479396527351</v>
      </c>
    </row>
    <row r="22" spans="1:8" x14ac:dyDescent="0.25">
      <c r="A22" s="316" t="s">
        <v>230</v>
      </c>
      <c r="B22" s="316" t="s">
        <v>229</v>
      </c>
      <c r="C22" s="316">
        <v>0.21221879705732369</v>
      </c>
      <c r="F22" s="316" t="s">
        <v>230</v>
      </c>
      <c r="G22" s="316" t="s">
        <v>229</v>
      </c>
      <c r="H22" s="316">
        <v>1.1955474428567748E-2</v>
      </c>
    </row>
    <row r="23" spans="1:8" x14ac:dyDescent="0.25">
      <c r="A23" s="316" t="s">
        <v>230</v>
      </c>
      <c r="B23" s="316" t="s">
        <v>229</v>
      </c>
      <c r="C23" s="316">
        <v>37.497211010096763</v>
      </c>
      <c r="F23" s="316" t="s">
        <v>230</v>
      </c>
      <c r="G23" s="316" t="s">
        <v>229</v>
      </c>
      <c r="H23" s="316">
        <v>4.9854446051575433E-3</v>
      </c>
    </row>
    <row r="24" spans="1:8" x14ac:dyDescent="0.25">
      <c r="A24" s="316" t="s">
        <v>230</v>
      </c>
      <c r="B24" s="316" t="s">
        <v>229</v>
      </c>
      <c r="C24" s="316">
        <v>1.2190330790515851</v>
      </c>
      <c r="F24" s="316" t="s">
        <v>230</v>
      </c>
      <c r="G24" s="316" t="s">
        <v>229</v>
      </c>
      <c r="H24" s="316">
        <v>28.03582869454905</v>
      </c>
    </row>
    <row r="25" spans="1:8" x14ac:dyDescent="0.25">
      <c r="A25" s="316" t="s">
        <v>230</v>
      </c>
      <c r="B25" s="316" t="s">
        <v>229</v>
      </c>
      <c r="C25" s="316">
        <v>0.39797005461357182</v>
      </c>
      <c r="F25" s="316" t="s">
        <v>230</v>
      </c>
      <c r="G25" s="316" t="s">
        <v>229</v>
      </c>
      <c r="H25" s="316">
        <v>22.03508236236652</v>
      </c>
    </row>
    <row r="26" spans="1:8" x14ac:dyDescent="0.25">
      <c r="A26" s="316" t="s">
        <v>230</v>
      </c>
      <c r="B26" s="316" t="s">
        <v>229</v>
      </c>
      <c r="C26" s="316">
        <v>8.7706249213764949E-4</v>
      </c>
      <c r="F26" s="316" t="s">
        <v>230</v>
      </c>
      <c r="G26" s="316" t="s">
        <v>229</v>
      </c>
      <c r="H26" s="316">
        <v>5.5577978265423962</v>
      </c>
    </row>
    <row r="27" spans="1:8" x14ac:dyDescent="0.25">
      <c r="A27" s="316" t="s">
        <v>230</v>
      </c>
      <c r="B27" s="316" t="s">
        <v>229</v>
      </c>
      <c r="C27" s="316">
        <v>0.80976609577439351</v>
      </c>
      <c r="F27" s="316" t="s">
        <v>230</v>
      </c>
      <c r="G27" s="316" t="s">
        <v>229</v>
      </c>
      <c r="H27" s="316">
        <v>2.2886340694656697E-3</v>
      </c>
    </row>
    <row r="28" spans="1:8" x14ac:dyDescent="0.25">
      <c r="A28" s="316" t="s">
        <v>230</v>
      </c>
      <c r="B28" s="316" t="s">
        <v>229</v>
      </c>
      <c r="C28" s="316">
        <v>0.45967901612578327</v>
      </c>
      <c r="F28" s="316" t="s">
        <v>230</v>
      </c>
      <c r="G28" s="316" t="s">
        <v>229</v>
      </c>
      <c r="H28" s="316">
        <v>0</v>
      </c>
    </row>
    <row r="29" spans="1:8" x14ac:dyDescent="0.25">
      <c r="A29" s="316" t="s">
        <v>230</v>
      </c>
      <c r="B29" s="316" t="s">
        <v>229</v>
      </c>
      <c r="C29" s="316">
        <v>5.5577978265423962</v>
      </c>
      <c r="F29" s="316" t="s">
        <v>230</v>
      </c>
      <c r="G29" s="316" t="s">
        <v>229</v>
      </c>
      <c r="H29" s="316">
        <v>0.18691855481383871</v>
      </c>
    </row>
    <row r="30" spans="1:8" x14ac:dyDescent="0.25">
      <c r="A30" s="316" t="s">
        <v>230</v>
      </c>
      <c r="B30" s="316" t="s">
        <v>229</v>
      </c>
      <c r="C30" s="316">
        <v>1.1285868045241627E-2</v>
      </c>
      <c r="F30" s="316" t="s">
        <v>230</v>
      </c>
      <c r="G30" s="316" t="s">
        <v>229</v>
      </c>
      <c r="H30" s="316">
        <v>0.16255241744751922</v>
      </c>
    </row>
    <row r="31" spans="1:8" x14ac:dyDescent="0.25">
      <c r="A31" s="316" t="s">
        <v>230</v>
      </c>
      <c r="B31" s="316" t="s">
        <v>229</v>
      </c>
      <c r="C31" s="316">
        <v>4.0451285891710716E-2</v>
      </c>
      <c r="F31" s="316" t="s">
        <v>230</v>
      </c>
      <c r="G31" s="316" t="s">
        <v>229</v>
      </c>
      <c r="H31" s="316">
        <v>3.7796264031354145E-2</v>
      </c>
    </row>
    <row r="32" spans="1:8" x14ac:dyDescent="0.25">
      <c r="A32" s="316" t="s">
        <v>230</v>
      </c>
      <c r="B32" s="316" t="s">
        <v>229</v>
      </c>
      <c r="C32" s="316">
        <v>2.2886340694656697E-3</v>
      </c>
      <c r="F32" s="316" t="s">
        <v>230</v>
      </c>
      <c r="G32" s="316" t="s">
        <v>229</v>
      </c>
      <c r="H32" s="316">
        <v>4.6955001534617251</v>
      </c>
    </row>
    <row r="33" spans="1:8" x14ac:dyDescent="0.25">
      <c r="A33" s="316" t="s">
        <v>230</v>
      </c>
      <c r="B33" s="316" t="s">
        <v>229</v>
      </c>
      <c r="C33" s="316">
        <v>0.37850669441373247</v>
      </c>
      <c r="F33" s="316" t="s">
        <v>230</v>
      </c>
      <c r="G33" s="316" t="s">
        <v>229</v>
      </c>
      <c r="H33" s="316">
        <v>2.0957628226350472E-2</v>
      </c>
    </row>
    <row r="34" spans="1:8" x14ac:dyDescent="0.25">
      <c r="A34" s="316" t="s">
        <v>230</v>
      </c>
      <c r="B34" s="316" t="s">
        <v>229</v>
      </c>
      <c r="C34" s="316">
        <v>7.6426891840421118E-2</v>
      </c>
      <c r="F34" s="316" t="s">
        <v>230</v>
      </c>
      <c r="G34" s="316" t="s">
        <v>229</v>
      </c>
      <c r="H34" s="316">
        <v>2.1333906239414249E-2</v>
      </c>
    </row>
    <row r="35" spans="1:8" x14ac:dyDescent="0.25">
      <c r="A35" s="316" t="s">
        <v>230</v>
      </c>
      <c r="B35" s="316" t="s">
        <v>229</v>
      </c>
      <c r="C35" s="316">
        <v>1.2152447803391907E-3</v>
      </c>
      <c r="F35" s="316" t="s">
        <v>230</v>
      </c>
      <c r="G35" s="316" t="s">
        <v>229</v>
      </c>
      <c r="H35" s="316">
        <v>2.7083724402731185E-2</v>
      </c>
    </row>
    <row r="36" spans="1:8" x14ac:dyDescent="0.25">
      <c r="A36" s="316" t="s">
        <v>230</v>
      </c>
      <c r="B36" s="316" t="s">
        <v>229</v>
      </c>
      <c r="C36" s="316">
        <v>0</v>
      </c>
      <c r="F36" s="316" t="s">
        <v>230</v>
      </c>
      <c r="G36" s="316" t="s">
        <v>229</v>
      </c>
      <c r="H36" s="316">
        <v>3.2876130113072147E-3</v>
      </c>
    </row>
    <row r="37" spans="1:8" x14ac:dyDescent="0.25">
      <c r="A37" s="316" t="s">
        <v>230</v>
      </c>
      <c r="B37" s="316" t="s">
        <v>229</v>
      </c>
      <c r="C37" s="316">
        <v>0.28257167011368578</v>
      </c>
      <c r="F37" s="316" t="s">
        <v>230</v>
      </c>
      <c r="G37" s="316" t="s">
        <v>229</v>
      </c>
      <c r="H37" s="316">
        <v>9.9664914114635961E-2</v>
      </c>
    </row>
    <row r="38" spans="1:8" x14ac:dyDescent="0.25">
      <c r="A38" s="316" t="s">
        <v>230</v>
      </c>
      <c r="B38" s="316" t="s">
        <v>229</v>
      </c>
      <c r="C38" s="316">
        <v>0.87274974878267519</v>
      </c>
      <c r="F38" s="316" t="s">
        <v>230</v>
      </c>
      <c r="G38" s="316" t="s">
        <v>229</v>
      </c>
      <c r="H38" s="316">
        <v>6.7332901531758374E-2</v>
      </c>
    </row>
    <row r="39" spans="1:8" x14ac:dyDescent="0.25">
      <c r="A39" s="316" t="s">
        <v>230</v>
      </c>
      <c r="B39" s="316" t="s">
        <v>229</v>
      </c>
      <c r="C39" s="316">
        <v>0.49743470783096477</v>
      </c>
      <c r="F39" s="316" t="s">
        <v>230</v>
      </c>
      <c r="G39" s="316" t="s">
        <v>229</v>
      </c>
      <c r="H39" s="316">
        <v>1.0304594412208042E-2</v>
      </c>
    </row>
    <row r="40" spans="1:8" x14ac:dyDescent="0.25">
      <c r="A40" s="316" t="s">
        <v>230</v>
      </c>
      <c r="B40" s="316" t="s">
        <v>229</v>
      </c>
      <c r="C40" s="316">
        <v>1.6826629264360484E-2</v>
      </c>
      <c r="F40" s="316" t="s">
        <v>230</v>
      </c>
      <c r="G40" s="316" t="s">
        <v>229</v>
      </c>
      <c r="H40" s="316">
        <v>4.6971557283564357E-3</v>
      </c>
    </row>
    <row r="41" spans="1:8" x14ac:dyDescent="0.25">
      <c r="A41" s="316" t="s">
        <v>230</v>
      </c>
      <c r="B41" s="316" t="s">
        <v>229</v>
      </c>
      <c r="C41" s="316">
        <v>6.8439566742909005E-2</v>
      </c>
      <c r="F41" s="316" t="s">
        <v>230</v>
      </c>
      <c r="G41" s="316" t="s">
        <v>229</v>
      </c>
      <c r="H41" s="316">
        <v>1.8548112507038321</v>
      </c>
    </row>
    <row r="42" spans="1:8" x14ac:dyDescent="0.25">
      <c r="A42" s="316" t="s">
        <v>230</v>
      </c>
      <c r="B42" s="316" t="s">
        <v>229</v>
      </c>
      <c r="C42" s="316">
        <v>0.18691855481383871</v>
      </c>
      <c r="F42" s="316" t="s">
        <v>230</v>
      </c>
      <c r="G42" s="316" t="s">
        <v>229</v>
      </c>
      <c r="H42" s="316">
        <v>1.4398632826288091</v>
      </c>
    </row>
    <row r="43" spans="1:8" x14ac:dyDescent="0.25">
      <c r="A43" s="316" t="s">
        <v>230</v>
      </c>
      <c r="B43" s="316" t="s">
        <v>229</v>
      </c>
      <c r="C43" s="316">
        <v>0.13248977728616754</v>
      </c>
      <c r="F43" s="316" t="s">
        <v>230</v>
      </c>
      <c r="G43" s="316" t="s">
        <v>229</v>
      </c>
      <c r="H43" s="316">
        <v>0.20196884545717686</v>
      </c>
    </row>
    <row r="44" spans="1:8" x14ac:dyDescent="0.25">
      <c r="A44" s="316" t="s">
        <v>230</v>
      </c>
      <c r="B44" s="316" t="s">
        <v>229</v>
      </c>
      <c r="C44" s="316">
        <v>0.11955464674303365</v>
      </c>
      <c r="F44" s="316" t="s">
        <v>230</v>
      </c>
      <c r="G44" s="316" t="s">
        <v>229</v>
      </c>
      <c r="H44" s="316">
        <v>0.32373007816254024</v>
      </c>
    </row>
    <row r="45" spans="1:8" x14ac:dyDescent="0.25">
      <c r="A45" s="316" t="s">
        <v>230</v>
      </c>
      <c r="B45" s="316" t="s">
        <v>229</v>
      </c>
      <c r="C45" s="316">
        <v>0.14856720636163132</v>
      </c>
      <c r="F45" s="316" t="s">
        <v>230</v>
      </c>
      <c r="G45" s="316" t="s">
        <v>229</v>
      </c>
      <c r="H45" s="316">
        <v>63.902942277782849</v>
      </c>
    </row>
    <row r="46" spans="1:8" x14ac:dyDescent="0.25">
      <c r="A46" s="316" t="s">
        <v>230</v>
      </c>
      <c r="B46" s="316" t="s">
        <v>229</v>
      </c>
      <c r="C46" s="316">
        <v>0.16255241744751922</v>
      </c>
      <c r="F46" s="316" t="s">
        <v>230</v>
      </c>
      <c r="G46" s="316" t="s">
        <v>229</v>
      </c>
      <c r="H46" s="316">
        <v>7.0205643667966252E-3</v>
      </c>
    </row>
    <row r="47" spans="1:8" x14ac:dyDescent="0.25">
      <c r="A47" s="316" t="s">
        <v>230</v>
      </c>
      <c r="B47" s="316" t="s">
        <v>229</v>
      </c>
      <c r="C47" s="316">
        <v>3.7796264031354145E-2</v>
      </c>
      <c r="F47" s="316" t="s">
        <v>230</v>
      </c>
      <c r="G47" s="316" t="s">
        <v>229</v>
      </c>
      <c r="H47" s="316">
        <v>1.1771827152581047E-2</v>
      </c>
    </row>
    <row r="48" spans="1:8" x14ac:dyDescent="0.25">
      <c r="A48" s="316" t="s">
        <v>230</v>
      </c>
      <c r="B48" s="316" t="s">
        <v>229</v>
      </c>
      <c r="C48" s="316">
        <v>3.0344395994243416E-2</v>
      </c>
      <c r="F48" s="316" t="s">
        <v>230</v>
      </c>
      <c r="G48" s="316" t="s">
        <v>229</v>
      </c>
      <c r="H48" s="316">
        <v>0</v>
      </c>
    </row>
    <row r="49" spans="1:8" x14ac:dyDescent="0.25">
      <c r="A49" s="316" t="s">
        <v>230</v>
      </c>
      <c r="B49" s="316" t="s">
        <v>229</v>
      </c>
      <c r="C49" s="316">
        <v>0.57668917378707585</v>
      </c>
      <c r="F49" s="316" t="s">
        <v>230</v>
      </c>
      <c r="G49" s="316" t="s">
        <v>229</v>
      </c>
      <c r="H49" s="316">
        <v>1.1077823091725114</v>
      </c>
    </row>
    <row r="50" spans="1:8" x14ac:dyDescent="0.25">
      <c r="A50" s="316" t="s">
        <v>230</v>
      </c>
      <c r="B50" s="316" t="s">
        <v>229</v>
      </c>
      <c r="C50" s="316">
        <v>0.50190595395735949</v>
      </c>
      <c r="F50" s="316" t="s">
        <v>230</v>
      </c>
      <c r="G50" s="316" t="s">
        <v>229</v>
      </c>
      <c r="H50" s="316">
        <v>35.999529145819274</v>
      </c>
    </row>
    <row r="51" spans="1:8" x14ac:dyDescent="0.25">
      <c r="A51" s="316" t="s">
        <v>230</v>
      </c>
      <c r="B51" s="316" t="s">
        <v>229</v>
      </c>
      <c r="C51" s="316">
        <v>8.546742132292275</v>
      </c>
      <c r="F51" s="316" t="s">
        <v>230</v>
      </c>
      <c r="G51" s="316" t="s">
        <v>229</v>
      </c>
      <c r="H51" s="316">
        <v>25.209272643851104</v>
      </c>
    </row>
    <row r="52" spans="1:8" x14ac:dyDescent="0.25">
      <c r="A52" s="316" t="s">
        <v>230</v>
      </c>
      <c r="B52" s="316" t="s">
        <v>229</v>
      </c>
      <c r="C52" s="316">
        <v>1.5495543610875862</v>
      </c>
      <c r="F52" s="316" t="s">
        <v>230</v>
      </c>
      <c r="G52" s="316" t="s">
        <v>229</v>
      </c>
      <c r="H52" s="316">
        <v>0.16497564762033468</v>
      </c>
    </row>
    <row r="53" spans="1:8" x14ac:dyDescent="0.25">
      <c r="A53" s="316" t="s">
        <v>230</v>
      </c>
      <c r="B53" s="316" t="s">
        <v>229</v>
      </c>
      <c r="C53" s="316">
        <v>0.11017397480562183</v>
      </c>
      <c r="F53" s="316" t="s">
        <v>230</v>
      </c>
      <c r="G53" s="316" t="s">
        <v>229</v>
      </c>
      <c r="H53" s="316">
        <v>0.21221879705732369</v>
      </c>
    </row>
    <row r="54" spans="1:8" x14ac:dyDescent="0.25">
      <c r="A54" s="316" t="s">
        <v>230</v>
      </c>
      <c r="B54" s="316" t="s">
        <v>229</v>
      </c>
      <c r="C54" s="316">
        <v>1.8756982357290162E-3</v>
      </c>
      <c r="F54" s="316" t="s">
        <v>230</v>
      </c>
      <c r="G54" s="316" t="s">
        <v>229</v>
      </c>
      <c r="H54" s="316">
        <v>1.2190330790515851</v>
      </c>
    </row>
    <row r="55" spans="1:8" x14ac:dyDescent="0.25">
      <c r="A55" s="316" t="s">
        <v>230</v>
      </c>
      <c r="B55" s="316" t="s">
        <v>229</v>
      </c>
      <c r="C55" s="316">
        <v>1.282900836723579E-2</v>
      </c>
      <c r="F55" s="316" t="s">
        <v>230</v>
      </c>
      <c r="G55" s="316" t="s">
        <v>229</v>
      </c>
      <c r="H55" s="316">
        <v>0.45967901612578327</v>
      </c>
    </row>
    <row r="56" spans="1:8" x14ac:dyDescent="0.25">
      <c r="A56" s="316" t="s">
        <v>230</v>
      </c>
      <c r="B56" s="316" t="s">
        <v>229</v>
      </c>
      <c r="C56" s="316">
        <v>2.0316297771243317</v>
      </c>
      <c r="F56" s="316" t="s">
        <v>230</v>
      </c>
      <c r="G56" s="316" t="s">
        <v>229</v>
      </c>
      <c r="H56" s="316">
        <v>4.0451285891710716E-2</v>
      </c>
    </row>
    <row r="57" spans="1:8" x14ac:dyDescent="0.25">
      <c r="A57" s="316" t="s">
        <v>230</v>
      </c>
      <c r="B57" s="316" t="s">
        <v>229</v>
      </c>
      <c r="C57" s="316">
        <v>3.8552200229697936E-2</v>
      </c>
      <c r="F57" s="316" t="s">
        <v>230</v>
      </c>
      <c r="G57" s="316" t="s">
        <v>229</v>
      </c>
      <c r="H57" s="316">
        <v>0.37850669441373247</v>
      </c>
    </row>
    <row r="58" spans="1:8" x14ac:dyDescent="0.25">
      <c r="A58" s="316" t="s">
        <v>230</v>
      </c>
      <c r="B58" s="316" t="s">
        <v>229</v>
      </c>
      <c r="C58" s="316">
        <v>4.6955001534617251</v>
      </c>
      <c r="F58" s="316" t="s">
        <v>230</v>
      </c>
      <c r="G58" s="316" t="s">
        <v>229</v>
      </c>
      <c r="H58" s="316">
        <v>0.87274974878267519</v>
      </c>
    </row>
    <row r="59" spans="1:8" x14ac:dyDescent="0.25">
      <c r="A59" s="316" t="s">
        <v>230</v>
      </c>
      <c r="B59" s="316" t="s">
        <v>229</v>
      </c>
      <c r="C59" s="316">
        <v>2.892258790086942E-2</v>
      </c>
      <c r="F59" s="316" t="s">
        <v>230</v>
      </c>
      <c r="G59" s="316" t="s">
        <v>229</v>
      </c>
      <c r="H59" s="316">
        <v>1.6826629264360484E-2</v>
      </c>
    </row>
    <row r="60" spans="1:8" x14ac:dyDescent="0.25">
      <c r="A60" s="316" t="s">
        <v>230</v>
      </c>
      <c r="B60" s="316" t="s">
        <v>229</v>
      </c>
      <c r="C60" s="316">
        <v>0.10855667029325837</v>
      </c>
      <c r="F60" s="316" t="s">
        <v>230</v>
      </c>
      <c r="G60" s="316" t="s">
        <v>229</v>
      </c>
      <c r="H60" s="316">
        <v>0.11955464674303365</v>
      </c>
    </row>
    <row r="61" spans="1:8" x14ac:dyDescent="0.25">
      <c r="A61" s="316" t="s">
        <v>230</v>
      </c>
      <c r="B61" s="316" t="s">
        <v>229</v>
      </c>
      <c r="C61" s="316">
        <v>8.6130266471948509E-3</v>
      </c>
      <c r="F61" s="316" t="s">
        <v>230</v>
      </c>
      <c r="G61" s="316" t="s">
        <v>229</v>
      </c>
      <c r="H61" s="316">
        <v>3.0344395994243416E-2</v>
      </c>
    </row>
    <row r="62" spans="1:8" x14ac:dyDescent="0.25">
      <c r="A62" s="316" t="s">
        <v>230</v>
      </c>
      <c r="B62" s="316" t="s">
        <v>229</v>
      </c>
      <c r="C62" s="316">
        <v>4.5506555432849602E-3</v>
      </c>
      <c r="F62" s="316" t="s">
        <v>230</v>
      </c>
      <c r="G62" s="316" t="s">
        <v>229</v>
      </c>
      <c r="H62" s="316">
        <v>8.546742132292275</v>
      </c>
    </row>
    <row r="63" spans="1:8" x14ac:dyDescent="0.25">
      <c r="A63" s="316" t="s">
        <v>230</v>
      </c>
      <c r="B63" s="316" t="s">
        <v>229</v>
      </c>
      <c r="C63" s="316">
        <v>7.9806304169783584E-4</v>
      </c>
      <c r="F63" s="316" t="s">
        <v>230</v>
      </c>
      <c r="G63" s="316" t="s">
        <v>229</v>
      </c>
      <c r="H63" s="316">
        <v>0.11017397480562183</v>
      </c>
    </row>
    <row r="64" spans="1:8" x14ac:dyDescent="0.25">
      <c r="A64" s="316" t="s">
        <v>230</v>
      </c>
      <c r="B64" s="316" t="s">
        <v>229</v>
      </c>
      <c r="C64" s="316">
        <v>0</v>
      </c>
      <c r="F64" s="316" t="s">
        <v>230</v>
      </c>
      <c r="G64" s="316" t="s">
        <v>229</v>
      </c>
      <c r="H64" s="316">
        <v>1.8756982357290162E-3</v>
      </c>
    </row>
    <row r="65" spans="1:8" x14ac:dyDescent="0.25">
      <c r="A65" s="316" t="s">
        <v>230</v>
      </c>
      <c r="B65" s="316" t="s">
        <v>229</v>
      </c>
      <c r="C65" s="316">
        <v>9.5892582757138318E-3</v>
      </c>
      <c r="F65" s="316" t="s">
        <v>230</v>
      </c>
      <c r="G65" s="316" t="s">
        <v>229</v>
      </c>
      <c r="H65" s="316">
        <v>0.10855667029325837</v>
      </c>
    </row>
    <row r="66" spans="1:8" x14ac:dyDescent="0.25">
      <c r="A66" s="316" t="s">
        <v>230</v>
      </c>
      <c r="B66" s="316" t="s">
        <v>229</v>
      </c>
      <c r="C66" s="316">
        <v>2.0957628226350472E-2</v>
      </c>
      <c r="F66" s="316" t="s">
        <v>230</v>
      </c>
      <c r="G66" s="316" t="s">
        <v>229</v>
      </c>
      <c r="H66" s="316">
        <v>4.5506555432849602E-3</v>
      </c>
    </row>
    <row r="67" spans="1:8" x14ac:dyDescent="0.25">
      <c r="A67" s="316" t="s">
        <v>230</v>
      </c>
      <c r="B67" s="316" t="s">
        <v>229</v>
      </c>
      <c r="C67" s="316">
        <v>3.110404577232592E-4</v>
      </c>
      <c r="F67" s="316" t="s">
        <v>230</v>
      </c>
      <c r="G67" s="316" t="s">
        <v>229</v>
      </c>
      <c r="H67" s="316">
        <v>7.9806304169783584E-4</v>
      </c>
    </row>
    <row r="68" spans="1:8" x14ac:dyDescent="0.25">
      <c r="A68" s="316" t="s">
        <v>230</v>
      </c>
      <c r="B68" s="316" t="s">
        <v>229</v>
      </c>
      <c r="C68" s="316">
        <v>1.9342599179584481E-2</v>
      </c>
      <c r="F68" s="316" t="s">
        <v>230</v>
      </c>
      <c r="G68" s="316" t="s">
        <v>229</v>
      </c>
      <c r="H68" s="316">
        <v>3.110404577232592E-4</v>
      </c>
    </row>
    <row r="69" spans="1:8" x14ac:dyDescent="0.25">
      <c r="A69" s="316" t="s">
        <v>230</v>
      </c>
      <c r="B69" s="316" t="s">
        <v>229</v>
      </c>
      <c r="C69" s="316">
        <v>0</v>
      </c>
      <c r="F69" s="316" t="s">
        <v>230</v>
      </c>
      <c r="G69" s="316" t="s">
        <v>229</v>
      </c>
      <c r="H69" s="316">
        <v>5.7317013898943739E-2</v>
      </c>
    </row>
    <row r="70" spans="1:8" x14ac:dyDescent="0.25">
      <c r="A70" s="316" t="s">
        <v>230</v>
      </c>
      <c r="B70" s="316" t="s">
        <v>229</v>
      </c>
      <c r="C70" s="316">
        <v>2.1333906239414249E-2</v>
      </c>
      <c r="F70" s="316" t="s">
        <v>230</v>
      </c>
      <c r="G70" s="316" t="s">
        <v>229</v>
      </c>
      <c r="H70" s="316">
        <v>1.6787951357469733E-2</v>
      </c>
    </row>
    <row r="71" spans="1:8" x14ac:dyDescent="0.25">
      <c r="A71" s="316" t="s">
        <v>230</v>
      </c>
      <c r="B71" s="316" t="s">
        <v>229</v>
      </c>
      <c r="C71" s="316">
        <v>5.7317013898943739E-2</v>
      </c>
      <c r="F71" s="316" t="s">
        <v>230</v>
      </c>
      <c r="G71" s="316" t="s">
        <v>229</v>
      </c>
      <c r="H71" s="316">
        <v>8.2543726777369286E-7</v>
      </c>
    </row>
    <row r="72" spans="1:8" x14ac:dyDescent="0.25">
      <c r="A72" s="316" t="s">
        <v>230</v>
      </c>
      <c r="B72" s="316" t="s">
        <v>229</v>
      </c>
      <c r="C72" s="316">
        <v>2.2213520304621724E-2</v>
      </c>
      <c r="F72" s="316" t="s">
        <v>230</v>
      </c>
      <c r="G72" s="316" t="s">
        <v>229</v>
      </c>
      <c r="H72" s="316">
        <v>0.44399540391658798</v>
      </c>
    </row>
    <row r="73" spans="1:8" x14ac:dyDescent="0.25">
      <c r="A73" s="316" t="s">
        <v>230</v>
      </c>
      <c r="B73" s="316" t="s">
        <v>229</v>
      </c>
      <c r="C73" s="316">
        <v>2.7083724402731185E-2</v>
      </c>
      <c r="F73" s="316" t="s">
        <v>230</v>
      </c>
      <c r="G73" s="316" t="s">
        <v>229</v>
      </c>
      <c r="H73" s="316">
        <v>0.42633700797747925</v>
      </c>
    </row>
    <row r="74" spans="1:8" x14ac:dyDescent="0.25">
      <c r="A74" s="316" t="s">
        <v>230</v>
      </c>
      <c r="B74" s="316" t="s">
        <v>229</v>
      </c>
      <c r="C74" s="316">
        <v>1.6787951357469733E-2</v>
      </c>
      <c r="F74" s="316" t="s">
        <v>230</v>
      </c>
      <c r="G74" s="316" t="s">
        <v>229</v>
      </c>
      <c r="H74" s="316">
        <v>4.2223077406379032E-3</v>
      </c>
    </row>
    <row r="75" spans="1:8" x14ac:dyDescent="0.25">
      <c r="A75" s="316" t="s">
        <v>230</v>
      </c>
      <c r="B75" s="316" t="s">
        <v>229</v>
      </c>
      <c r="C75" s="316">
        <v>0.13471406493911789</v>
      </c>
      <c r="F75" s="316" t="s">
        <v>230</v>
      </c>
      <c r="G75" s="316" t="s">
        <v>229</v>
      </c>
      <c r="H75" s="316">
        <v>1.1614867552227424</v>
      </c>
    </row>
    <row r="76" spans="1:8" x14ac:dyDescent="0.25">
      <c r="A76" s="316" t="s">
        <v>230</v>
      </c>
      <c r="B76" s="316" t="s">
        <v>229</v>
      </c>
      <c r="C76" s="316">
        <v>3.2876130113072147E-3</v>
      </c>
      <c r="F76" s="316" t="s">
        <v>230</v>
      </c>
      <c r="G76" s="316" t="s">
        <v>229</v>
      </c>
      <c r="H76" s="316">
        <v>4.7623666418332899E-5</v>
      </c>
    </row>
    <row r="77" spans="1:8" x14ac:dyDescent="0.25">
      <c r="A77" s="316" t="s">
        <v>230</v>
      </c>
      <c r="B77" s="316" t="s">
        <v>229</v>
      </c>
      <c r="C77" s="316">
        <v>8.2543726777369286E-7</v>
      </c>
      <c r="F77" s="316" t="s">
        <v>230</v>
      </c>
      <c r="G77" s="316" t="s">
        <v>229</v>
      </c>
      <c r="H77" s="316">
        <v>1.2741656719276527E-3</v>
      </c>
    </row>
    <row r="78" spans="1:8" x14ac:dyDescent="0.25">
      <c r="A78" s="316" t="s">
        <v>230</v>
      </c>
      <c r="B78" s="316" t="s">
        <v>229</v>
      </c>
      <c r="C78" s="316">
        <v>0.14406716127398622</v>
      </c>
      <c r="F78" s="316" t="s">
        <v>230</v>
      </c>
      <c r="G78" s="316" t="s">
        <v>229</v>
      </c>
      <c r="H78" s="316">
        <v>0.89181616650665951</v>
      </c>
    </row>
    <row r="79" spans="1:8" x14ac:dyDescent="0.25">
      <c r="A79" s="316" t="s">
        <v>230</v>
      </c>
      <c r="B79" s="316" t="s">
        <v>229</v>
      </c>
      <c r="C79" s="316">
        <v>7.0552466268321559E-3</v>
      </c>
      <c r="F79" s="316" t="s">
        <v>230</v>
      </c>
      <c r="G79" s="316" t="s">
        <v>229</v>
      </c>
      <c r="H79" s="316">
        <v>4.2811805865934957E-2</v>
      </c>
    </row>
    <row r="80" spans="1:8" x14ac:dyDescent="0.25">
      <c r="A80" s="316" t="s">
        <v>230</v>
      </c>
      <c r="B80" s="316" t="s">
        <v>229</v>
      </c>
      <c r="C80" s="316">
        <v>0</v>
      </c>
      <c r="F80" s="316" t="s">
        <v>230</v>
      </c>
      <c r="G80" s="316" t="s">
        <v>229</v>
      </c>
      <c r="H80" s="316">
        <v>2.5992674272760428E-3</v>
      </c>
    </row>
    <row r="81" spans="1:8" x14ac:dyDescent="0.25">
      <c r="A81" s="316" t="s">
        <v>230</v>
      </c>
      <c r="B81" s="316" t="s">
        <v>229</v>
      </c>
      <c r="C81" s="316">
        <v>0.44399540391658798</v>
      </c>
      <c r="F81" s="316" t="s">
        <v>230</v>
      </c>
      <c r="G81" s="316" t="s">
        <v>229</v>
      </c>
      <c r="H81" s="316">
        <v>1.7084290624515952</v>
      </c>
    </row>
    <row r="82" spans="1:8" x14ac:dyDescent="0.25">
      <c r="A82" s="316" t="s">
        <v>230</v>
      </c>
      <c r="B82" s="316" t="s">
        <v>229</v>
      </c>
      <c r="C82" s="316">
        <v>3.9921600615134209E-2</v>
      </c>
      <c r="F82" s="316" t="s">
        <v>230</v>
      </c>
      <c r="G82" s="316" t="s">
        <v>229</v>
      </c>
      <c r="H82" s="316">
        <v>1.8622926633588225E-3</v>
      </c>
    </row>
    <row r="83" spans="1:8" x14ac:dyDescent="0.25">
      <c r="A83" s="316" t="s">
        <v>230</v>
      </c>
      <c r="B83" s="316" t="s">
        <v>229</v>
      </c>
      <c r="C83" s="316">
        <v>0.23982479396527351</v>
      </c>
      <c r="F83" s="316" t="s">
        <v>230</v>
      </c>
      <c r="G83" s="316" t="s">
        <v>229</v>
      </c>
      <c r="H83" s="316">
        <v>1.687499034062017E-2</v>
      </c>
    </row>
    <row r="84" spans="1:8" x14ac:dyDescent="0.25">
      <c r="A84" s="316" t="s">
        <v>230</v>
      </c>
      <c r="B84" s="316" t="s">
        <v>229</v>
      </c>
      <c r="C84" s="316">
        <v>2.1669853655971731E-2</v>
      </c>
      <c r="F84" s="316" t="s">
        <v>230</v>
      </c>
      <c r="G84" s="316" t="s">
        <v>229</v>
      </c>
      <c r="H84" s="316">
        <v>0</v>
      </c>
    </row>
    <row r="85" spans="1:8" x14ac:dyDescent="0.25">
      <c r="A85" s="316" t="s">
        <v>230</v>
      </c>
      <c r="B85" s="316" t="s">
        <v>229</v>
      </c>
      <c r="C85" s="316">
        <v>9.9664914114635961E-2</v>
      </c>
      <c r="F85" s="316" t="s">
        <v>230</v>
      </c>
      <c r="G85" s="316" t="s">
        <v>229</v>
      </c>
      <c r="H85" s="316">
        <v>7.1332357924269764E-3</v>
      </c>
    </row>
    <row r="86" spans="1:8" x14ac:dyDescent="0.25">
      <c r="A86" s="316" t="s">
        <v>230</v>
      </c>
      <c r="B86" s="316" t="s">
        <v>229</v>
      </c>
      <c r="C86" s="316">
        <v>0.42633700797747925</v>
      </c>
      <c r="F86" s="316" t="s">
        <v>230</v>
      </c>
      <c r="G86" s="316" t="s">
        <v>229</v>
      </c>
      <c r="H86" s="316">
        <v>2.4425365071600756E-3</v>
      </c>
    </row>
    <row r="87" spans="1:8" x14ac:dyDescent="0.25">
      <c r="A87" s="316" t="s">
        <v>230</v>
      </c>
      <c r="B87" s="316" t="s">
        <v>229</v>
      </c>
      <c r="C87" s="316">
        <v>3.90779020135327E-2</v>
      </c>
      <c r="F87" s="316" t="s">
        <v>230</v>
      </c>
      <c r="G87" s="316" t="s">
        <v>229</v>
      </c>
      <c r="H87" s="316">
        <v>215.05452051638477</v>
      </c>
    </row>
    <row r="88" spans="1:8" x14ac:dyDescent="0.25">
      <c r="A88" s="316" t="s">
        <v>230</v>
      </c>
      <c r="B88" s="316" t="s">
        <v>229</v>
      </c>
      <c r="C88" s="316">
        <v>7.6869091062594479E-3</v>
      </c>
      <c r="F88" s="316" t="s">
        <v>230</v>
      </c>
      <c r="G88" s="316" t="s">
        <v>229</v>
      </c>
      <c r="H88" s="316">
        <v>5.4016866349557917</v>
      </c>
    </row>
    <row r="89" spans="1:8" x14ac:dyDescent="0.25">
      <c r="A89" s="316" t="s">
        <v>230</v>
      </c>
      <c r="B89" s="316" t="s">
        <v>229</v>
      </c>
      <c r="C89" s="316">
        <v>6.7332901531758374E-2</v>
      </c>
      <c r="F89" s="316" t="s">
        <v>230</v>
      </c>
      <c r="G89" s="316" t="s">
        <v>229</v>
      </c>
      <c r="H89" s="316">
        <v>13.739736257244571</v>
      </c>
    </row>
    <row r="90" spans="1:8" x14ac:dyDescent="0.25">
      <c r="A90" s="316" t="s">
        <v>230</v>
      </c>
      <c r="B90" s="316" t="s">
        <v>229</v>
      </c>
      <c r="C90" s="316">
        <v>4.2223077406379032E-3</v>
      </c>
      <c r="F90" s="316" t="s">
        <v>230</v>
      </c>
      <c r="G90" s="316" t="s">
        <v>229</v>
      </c>
      <c r="H90" s="316">
        <v>3.1883578529928326E-2</v>
      </c>
    </row>
    <row r="91" spans="1:8" x14ac:dyDescent="0.25">
      <c r="A91" s="316" t="s">
        <v>230</v>
      </c>
      <c r="B91" s="316" t="s">
        <v>229</v>
      </c>
      <c r="C91" s="316">
        <v>1.1614867552227424</v>
      </c>
      <c r="F91" s="316" t="s">
        <v>230</v>
      </c>
      <c r="G91" s="316" t="s">
        <v>229</v>
      </c>
      <c r="H91" s="316">
        <v>0</v>
      </c>
    </row>
    <row r="92" spans="1:8" x14ac:dyDescent="0.25">
      <c r="A92" s="316" t="s">
        <v>230</v>
      </c>
      <c r="B92" s="316" t="s">
        <v>229</v>
      </c>
      <c r="C92" s="316">
        <v>3.0678188987998665</v>
      </c>
      <c r="F92" s="316" t="s">
        <v>230</v>
      </c>
      <c r="G92" s="316" t="s">
        <v>229</v>
      </c>
      <c r="H92" s="316">
        <v>3.2437366373215093E-4</v>
      </c>
    </row>
    <row r="93" spans="1:8" x14ac:dyDescent="0.25">
      <c r="A93" s="316" t="s">
        <v>230</v>
      </c>
      <c r="B93" s="316" t="s">
        <v>229</v>
      </c>
      <c r="C93" s="316">
        <v>4.7623666418332899E-5</v>
      </c>
      <c r="F93" s="316" t="s">
        <v>230</v>
      </c>
      <c r="G93" s="316" t="s">
        <v>229</v>
      </c>
      <c r="H93" s="316">
        <v>1.338993130276055E-3</v>
      </c>
    </row>
    <row r="94" spans="1:8" x14ac:dyDescent="0.25">
      <c r="A94" s="316" t="s">
        <v>230</v>
      </c>
      <c r="B94" s="316" t="s">
        <v>229</v>
      </c>
      <c r="C94" s="316">
        <v>6.0384769063628896E-4</v>
      </c>
      <c r="F94" s="316" t="s">
        <v>230</v>
      </c>
      <c r="G94" s="316" t="s">
        <v>229</v>
      </c>
      <c r="H94" s="316">
        <v>9.6269381441283688E-3</v>
      </c>
    </row>
    <row r="95" spans="1:8" x14ac:dyDescent="0.25">
      <c r="A95" s="316" t="s">
        <v>230</v>
      </c>
      <c r="B95" s="316" t="s">
        <v>229</v>
      </c>
      <c r="C95" s="316">
        <v>1.0304594412208042E-2</v>
      </c>
      <c r="F95" s="316" t="s">
        <v>230</v>
      </c>
      <c r="G95" s="316" t="s">
        <v>229</v>
      </c>
      <c r="H95" s="316">
        <v>0.74130499754995283</v>
      </c>
    </row>
    <row r="96" spans="1:8" x14ac:dyDescent="0.25">
      <c r="A96" s="316" t="s">
        <v>230</v>
      </c>
      <c r="B96" s="316" t="s">
        <v>229</v>
      </c>
      <c r="C96" s="316">
        <v>0.60466784971483822</v>
      </c>
      <c r="F96" s="316" t="s">
        <v>230</v>
      </c>
      <c r="G96" s="316" t="s">
        <v>229</v>
      </c>
      <c r="H96" s="316">
        <v>1.232204358338777E-4</v>
      </c>
    </row>
    <row r="97" spans="1:8" x14ac:dyDescent="0.25">
      <c r="A97" s="316" t="s">
        <v>230</v>
      </c>
      <c r="B97" s="316" t="s">
        <v>229</v>
      </c>
      <c r="C97" s="316">
        <v>1.2741656719276527E-3</v>
      </c>
      <c r="F97" s="316" t="s">
        <v>230</v>
      </c>
      <c r="G97" s="316" t="s">
        <v>229</v>
      </c>
      <c r="H97" s="316">
        <v>0</v>
      </c>
    </row>
    <row r="98" spans="1:8" x14ac:dyDescent="0.25">
      <c r="A98" s="316" t="s">
        <v>230</v>
      </c>
      <c r="B98" s="316" t="s">
        <v>229</v>
      </c>
      <c r="C98" s="316">
        <v>4.0291484219048346E-3</v>
      </c>
      <c r="F98" s="316" t="s">
        <v>230</v>
      </c>
      <c r="G98" s="316" t="s">
        <v>229</v>
      </c>
      <c r="H98" s="316">
        <v>2.4121405435126624</v>
      </c>
    </row>
    <row r="99" spans="1:8" x14ac:dyDescent="0.25">
      <c r="A99" s="316" t="s">
        <v>230</v>
      </c>
      <c r="B99" s="316" t="s">
        <v>229</v>
      </c>
      <c r="C99" s="316">
        <v>4.6971557283564357E-3</v>
      </c>
      <c r="F99" s="316" t="s">
        <v>230</v>
      </c>
      <c r="G99" s="316" t="s">
        <v>229</v>
      </c>
      <c r="H99" s="316">
        <v>8.7706249213764949E-4</v>
      </c>
    </row>
    <row r="100" spans="1:8" x14ac:dyDescent="0.25">
      <c r="A100" s="316" t="s">
        <v>230</v>
      </c>
      <c r="B100" s="316" t="s">
        <v>229</v>
      </c>
      <c r="C100" s="316">
        <v>0.38211584503703461</v>
      </c>
      <c r="F100" s="316" t="s">
        <v>230</v>
      </c>
      <c r="G100" s="316" t="s">
        <v>229</v>
      </c>
      <c r="H100" s="316">
        <v>1.2152447803391907E-3</v>
      </c>
    </row>
    <row r="101" spans="1:8" x14ac:dyDescent="0.25">
      <c r="A101" s="316" t="s">
        <v>230</v>
      </c>
      <c r="B101" s="316" t="s">
        <v>229</v>
      </c>
      <c r="C101" s="316">
        <v>0.89181616650665951</v>
      </c>
      <c r="F101" s="316" t="s">
        <v>230</v>
      </c>
      <c r="G101" s="316" t="s">
        <v>229</v>
      </c>
      <c r="H101" s="316">
        <v>3.8552200229697936E-2</v>
      </c>
    </row>
    <row r="102" spans="1:8" x14ac:dyDescent="0.25">
      <c r="A102" s="316" t="s">
        <v>230</v>
      </c>
      <c r="B102" s="316" t="s">
        <v>229</v>
      </c>
      <c r="C102" s="316">
        <v>0.60521425774278348</v>
      </c>
      <c r="F102" s="316" t="s">
        <v>230</v>
      </c>
      <c r="G102" s="316" t="s">
        <v>229</v>
      </c>
      <c r="H102" s="316">
        <v>9.5892582757138318E-3</v>
      </c>
    </row>
    <row r="103" spans="1:8" x14ac:dyDescent="0.25">
      <c r="A103" s="316" t="s">
        <v>230</v>
      </c>
      <c r="B103" s="316" t="s">
        <v>229</v>
      </c>
      <c r="C103" s="316">
        <v>4.6549299987287923E-4</v>
      </c>
      <c r="F103" s="316" t="s">
        <v>230</v>
      </c>
      <c r="G103" s="316" t="s">
        <v>229</v>
      </c>
      <c r="H103" s="316">
        <v>2.1669853655971731E-2</v>
      </c>
    </row>
    <row r="104" spans="1:8" x14ac:dyDescent="0.25">
      <c r="A104" s="316" t="s">
        <v>230</v>
      </c>
      <c r="B104" s="316" t="s">
        <v>229</v>
      </c>
      <c r="C104" s="316">
        <v>4.2811805865934957E-2</v>
      </c>
      <c r="F104" s="316" t="s">
        <v>230</v>
      </c>
      <c r="G104" s="316" t="s">
        <v>229</v>
      </c>
      <c r="H104" s="316">
        <v>7.6869091062594479E-3</v>
      </c>
    </row>
    <row r="105" spans="1:8" x14ac:dyDescent="0.25">
      <c r="A105" s="316" t="s">
        <v>230</v>
      </c>
      <c r="B105" s="316" t="s">
        <v>229</v>
      </c>
      <c r="C105" s="316">
        <v>0.15523351921603573</v>
      </c>
      <c r="F105" s="316" t="s">
        <v>230</v>
      </c>
      <c r="G105" s="316" t="s">
        <v>229</v>
      </c>
      <c r="H105" s="316">
        <v>6.0384769063628896E-4</v>
      </c>
    </row>
    <row r="106" spans="1:8" x14ac:dyDescent="0.25">
      <c r="A106" s="316" t="s">
        <v>230</v>
      </c>
      <c r="B106" s="316" t="s">
        <v>229</v>
      </c>
      <c r="C106" s="316">
        <v>7.1009673003283827E-2</v>
      </c>
      <c r="F106" s="316" t="s">
        <v>230</v>
      </c>
      <c r="G106" s="316" t="s">
        <v>229</v>
      </c>
      <c r="H106" s="316">
        <v>7.1009673003283827E-2</v>
      </c>
    </row>
    <row r="107" spans="1:8" x14ac:dyDescent="0.25">
      <c r="A107" s="316" t="s">
        <v>230</v>
      </c>
      <c r="B107" s="316" t="s">
        <v>229</v>
      </c>
      <c r="C107" s="316">
        <v>1.8548112507038321</v>
      </c>
      <c r="F107" s="316" t="s">
        <v>230</v>
      </c>
      <c r="G107" s="316" t="s">
        <v>229</v>
      </c>
      <c r="H107" s="316">
        <v>2.4869913195754941E-3</v>
      </c>
    </row>
    <row r="108" spans="1:8" x14ac:dyDescent="0.25">
      <c r="A108" s="316" t="s">
        <v>230</v>
      </c>
      <c r="B108" s="316" t="s">
        <v>229</v>
      </c>
      <c r="C108" s="316">
        <v>2.5992674272760428E-3</v>
      </c>
      <c r="F108" s="316" t="s">
        <v>230</v>
      </c>
      <c r="G108" s="316" t="s">
        <v>229</v>
      </c>
      <c r="H108" s="316">
        <v>9.3520514346645722</v>
      </c>
    </row>
    <row r="109" spans="1:8" x14ac:dyDescent="0.25">
      <c r="A109" s="316" t="s">
        <v>230</v>
      </c>
      <c r="B109" s="316" t="s">
        <v>229</v>
      </c>
      <c r="C109" s="316">
        <v>4.7301176916981442E-2</v>
      </c>
      <c r="F109" s="316" t="s">
        <v>230</v>
      </c>
      <c r="G109" s="316" t="s">
        <v>229</v>
      </c>
      <c r="H109" s="316">
        <v>12.590309689150196</v>
      </c>
    </row>
    <row r="110" spans="1:8" x14ac:dyDescent="0.25">
      <c r="A110" s="316" t="s">
        <v>230</v>
      </c>
      <c r="B110" s="316" t="s">
        <v>229</v>
      </c>
      <c r="C110" s="316">
        <v>1.7084290624515952</v>
      </c>
      <c r="F110" s="316" t="s">
        <v>230</v>
      </c>
      <c r="G110" s="316" t="s">
        <v>229</v>
      </c>
      <c r="H110" s="316">
        <v>7.7406175845146468</v>
      </c>
    </row>
    <row r="111" spans="1:8" x14ac:dyDescent="0.25">
      <c r="A111" s="316" t="s">
        <v>230</v>
      </c>
      <c r="B111" s="316" t="s">
        <v>229</v>
      </c>
      <c r="C111" s="316">
        <v>1.4370767396551848E-2</v>
      </c>
      <c r="F111" s="316" t="s">
        <v>230</v>
      </c>
      <c r="G111" s="316" t="s">
        <v>229</v>
      </c>
      <c r="H111" s="316">
        <v>8.4674227378472872E-3</v>
      </c>
    </row>
    <row r="112" spans="1:8" x14ac:dyDescent="0.25">
      <c r="A112" s="316" t="s">
        <v>230</v>
      </c>
      <c r="B112" s="316" t="s">
        <v>229</v>
      </c>
      <c r="C112" s="316">
        <v>1.8622926633588225E-3</v>
      </c>
      <c r="F112" s="316" t="s">
        <v>230</v>
      </c>
      <c r="G112" s="316" t="s">
        <v>229</v>
      </c>
      <c r="H112" s="316">
        <v>8.0343176540421197</v>
      </c>
    </row>
    <row r="113" spans="1:8" x14ac:dyDescent="0.25">
      <c r="A113" s="316" t="s">
        <v>230</v>
      </c>
      <c r="B113" s="316" t="s">
        <v>229</v>
      </c>
      <c r="C113" s="316">
        <v>1.4398632826288091</v>
      </c>
      <c r="F113" s="316" t="s">
        <v>230</v>
      </c>
      <c r="G113" s="316" t="s">
        <v>229</v>
      </c>
      <c r="H113" s="316">
        <v>59.36255298258645</v>
      </c>
    </row>
    <row r="114" spans="1:8" x14ac:dyDescent="0.25">
      <c r="A114" s="316" t="s">
        <v>230</v>
      </c>
      <c r="B114" s="316" t="s">
        <v>229</v>
      </c>
      <c r="C114" s="316">
        <v>1.687499034062017E-2</v>
      </c>
      <c r="F114" s="316" t="s">
        <v>230</v>
      </c>
      <c r="G114" s="316" t="s">
        <v>229</v>
      </c>
      <c r="H114" s="316">
        <v>1.7897013673086805E-2</v>
      </c>
    </row>
    <row r="115" spans="1:8" x14ac:dyDescent="0.25">
      <c r="A115" s="316" t="s">
        <v>230</v>
      </c>
      <c r="B115" s="316" t="s">
        <v>229</v>
      </c>
      <c r="C115" s="316">
        <v>0</v>
      </c>
      <c r="F115" s="316" t="s">
        <v>230</v>
      </c>
      <c r="G115" s="316" t="s">
        <v>229</v>
      </c>
      <c r="H115" s="316">
        <v>37.497211010096763</v>
      </c>
    </row>
    <row r="116" spans="1:8" x14ac:dyDescent="0.25">
      <c r="A116" s="316" t="s">
        <v>230</v>
      </c>
      <c r="B116" s="316" t="s">
        <v>229</v>
      </c>
      <c r="C116" s="316">
        <v>1.0880387408398673E-3</v>
      </c>
      <c r="F116" s="316" t="s">
        <v>230</v>
      </c>
      <c r="G116" s="316" t="s">
        <v>229</v>
      </c>
      <c r="H116" s="316">
        <v>0.39797005461357182</v>
      </c>
    </row>
    <row r="117" spans="1:8" x14ac:dyDescent="0.25">
      <c r="A117" s="316" t="s">
        <v>230</v>
      </c>
      <c r="B117" s="316" t="s">
        <v>229</v>
      </c>
      <c r="C117" s="316">
        <v>0.32860815040490049</v>
      </c>
      <c r="F117" s="316" t="s">
        <v>230</v>
      </c>
      <c r="G117" s="316" t="s">
        <v>229</v>
      </c>
      <c r="H117" s="316">
        <v>7.6426891840421118E-2</v>
      </c>
    </row>
    <row r="118" spans="1:8" x14ac:dyDescent="0.25">
      <c r="A118" s="316" t="s">
        <v>230</v>
      </c>
      <c r="B118" s="316" t="s">
        <v>229</v>
      </c>
      <c r="C118" s="316">
        <v>0.13652638273167561</v>
      </c>
      <c r="F118" s="316" t="s">
        <v>230</v>
      </c>
      <c r="G118" s="316" t="s">
        <v>229</v>
      </c>
      <c r="H118" s="316">
        <v>0.49743470783096477</v>
      </c>
    </row>
    <row r="119" spans="1:8" x14ac:dyDescent="0.25">
      <c r="A119" s="316" t="s">
        <v>230</v>
      </c>
      <c r="B119" s="316" t="s">
        <v>229</v>
      </c>
      <c r="C119" s="316">
        <v>0</v>
      </c>
      <c r="F119" s="316" t="s">
        <v>230</v>
      </c>
      <c r="G119" s="316" t="s">
        <v>229</v>
      </c>
      <c r="H119" s="316">
        <v>0.14856720636163132</v>
      </c>
    </row>
    <row r="120" spans="1:8" x14ac:dyDescent="0.25">
      <c r="A120" s="316" t="s">
        <v>230</v>
      </c>
      <c r="B120" s="316" t="s">
        <v>229</v>
      </c>
      <c r="C120" s="316">
        <v>7.1332357924269764E-3</v>
      </c>
      <c r="F120" s="316" t="s">
        <v>230</v>
      </c>
      <c r="G120" s="316" t="s">
        <v>229</v>
      </c>
      <c r="H120" s="316">
        <v>0.57668917378707585</v>
      </c>
    </row>
    <row r="121" spans="1:8" x14ac:dyDescent="0.25">
      <c r="A121" s="316" t="s">
        <v>230</v>
      </c>
      <c r="B121" s="316" t="s">
        <v>229</v>
      </c>
      <c r="C121" s="316">
        <v>0.17645652222744374</v>
      </c>
      <c r="F121" s="316" t="s">
        <v>230</v>
      </c>
      <c r="G121" s="316" t="s">
        <v>229</v>
      </c>
      <c r="H121" s="316">
        <v>1.5495543610875862</v>
      </c>
    </row>
    <row r="122" spans="1:8" x14ac:dyDescent="0.25">
      <c r="A122" s="316" t="s">
        <v>230</v>
      </c>
      <c r="B122" s="316" t="s">
        <v>229</v>
      </c>
      <c r="C122" s="316">
        <v>2.4869913195754941E-3</v>
      </c>
      <c r="F122" s="316" t="s">
        <v>230</v>
      </c>
      <c r="G122" s="316" t="s">
        <v>229</v>
      </c>
      <c r="H122" s="316">
        <v>1.282900836723579E-2</v>
      </c>
    </row>
    <row r="123" spans="1:8" x14ac:dyDescent="0.25">
      <c r="A123" s="316" t="s">
        <v>230</v>
      </c>
      <c r="B123" s="316" t="s">
        <v>229</v>
      </c>
      <c r="C123" s="316">
        <v>0.20196884545717686</v>
      </c>
      <c r="F123" s="316" t="s">
        <v>230</v>
      </c>
      <c r="G123" s="316" t="s">
        <v>229</v>
      </c>
      <c r="H123" s="316">
        <v>8.6130266471948509E-3</v>
      </c>
    </row>
    <row r="124" spans="1:8" x14ac:dyDescent="0.25">
      <c r="A124" s="316" t="s">
        <v>230</v>
      </c>
      <c r="B124" s="316" t="s">
        <v>229</v>
      </c>
      <c r="C124" s="316">
        <v>0.32373007816254024</v>
      </c>
      <c r="F124" s="316" t="s">
        <v>230</v>
      </c>
      <c r="G124" s="316" t="s">
        <v>229</v>
      </c>
      <c r="H124" s="316">
        <v>1.9342599179584481E-2</v>
      </c>
    </row>
    <row r="125" spans="1:8" x14ac:dyDescent="0.25">
      <c r="A125" s="316" t="s">
        <v>230</v>
      </c>
      <c r="B125" s="316" t="s">
        <v>229</v>
      </c>
      <c r="C125" s="316">
        <v>2.4425365071600756E-3</v>
      </c>
      <c r="F125" s="316" t="s">
        <v>230</v>
      </c>
      <c r="G125" s="316" t="s">
        <v>229</v>
      </c>
      <c r="H125" s="316">
        <v>0</v>
      </c>
    </row>
    <row r="126" spans="1:8" x14ac:dyDescent="0.25">
      <c r="A126" s="316" t="s">
        <v>230</v>
      </c>
      <c r="B126" s="316" t="s">
        <v>229</v>
      </c>
      <c r="C126" s="316">
        <v>77.938293611536807</v>
      </c>
      <c r="F126" s="316" t="s">
        <v>230</v>
      </c>
      <c r="G126" s="316" t="s">
        <v>229</v>
      </c>
      <c r="H126" s="316">
        <v>2.2213520304621724E-2</v>
      </c>
    </row>
    <row r="127" spans="1:8" x14ac:dyDescent="0.25">
      <c r="A127" s="316" t="s">
        <v>230</v>
      </c>
      <c r="B127" s="316" t="s">
        <v>229</v>
      </c>
      <c r="C127" s="316">
        <v>215.05452051638477</v>
      </c>
      <c r="F127" s="316" t="s">
        <v>230</v>
      </c>
      <c r="G127" s="316" t="s">
        <v>229</v>
      </c>
      <c r="H127" s="316">
        <v>0.13471406493911789</v>
      </c>
    </row>
    <row r="128" spans="1:8" x14ac:dyDescent="0.25">
      <c r="A128" s="316" t="s">
        <v>230</v>
      </c>
      <c r="B128" s="316" t="s">
        <v>229</v>
      </c>
      <c r="C128" s="316">
        <v>275.95729588003877</v>
      </c>
      <c r="F128" s="316" t="s">
        <v>230</v>
      </c>
      <c r="G128" s="316" t="s">
        <v>229</v>
      </c>
      <c r="H128" s="316">
        <v>0.14406716127398622</v>
      </c>
    </row>
    <row r="129" spans="1:8" x14ac:dyDescent="0.25">
      <c r="A129" s="316" t="s">
        <v>230</v>
      </c>
      <c r="B129" s="316" t="s">
        <v>229</v>
      </c>
      <c r="C129" s="316">
        <v>9.9552331589111184E-2</v>
      </c>
      <c r="F129" s="316" t="s">
        <v>230</v>
      </c>
      <c r="G129" s="316" t="s">
        <v>229</v>
      </c>
      <c r="H129" s="316">
        <v>7.0552466268321559E-3</v>
      </c>
    </row>
    <row r="130" spans="1:8" x14ac:dyDescent="0.25">
      <c r="A130" s="316" t="s">
        <v>230</v>
      </c>
      <c r="B130" s="316" t="s">
        <v>229</v>
      </c>
      <c r="C130" s="316">
        <v>5.4016866349557917</v>
      </c>
      <c r="F130" s="316" t="s">
        <v>230</v>
      </c>
      <c r="G130" s="316" t="s">
        <v>229</v>
      </c>
      <c r="H130" s="316">
        <v>3.9921600615134209E-2</v>
      </c>
    </row>
    <row r="131" spans="1:8" x14ac:dyDescent="0.25">
      <c r="A131" s="316" t="s">
        <v>230</v>
      </c>
      <c r="B131" s="316" t="s">
        <v>229</v>
      </c>
      <c r="C131" s="316">
        <v>13.739736257244571</v>
      </c>
      <c r="F131" s="316" t="s">
        <v>230</v>
      </c>
      <c r="G131" s="316" t="s">
        <v>229</v>
      </c>
      <c r="H131" s="316">
        <v>3.90779020135327E-2</v>
      </c>
    </row>
    <row r="132" spans="1:8" x14ac:dyDescent="0.25">
      <c r="A132" s="316" t="s">
        <v>230</v>
      </c>
      <c r="B132" s="316" t="s">
        <v>229</v>
      </c>
      <c r="C132" s="316">
        <v>8.5822535476091026</v>
      </c>
      <c r="F132" s="316" t="s">
        <v>230</v>
      </c>
      <c r="G132" s="316" t="s">
        <v>229</v>
      </c>
      <c r="H132" s="316">
        <v>3.0678188987998665</v>
      </c>
    </row>
    <row r="133" spans="1:8" x14ac:dyDescent="0.25">
      <c r="A133" s="316" t="s">
        <v>230</v>
      </c>
      <c r="B133" s="316" t="s">
        <v>229</v>
      </c>
      <c r="C133" s="316">
        <v>1.1955474428567748E-2</v>
      </c>
      <c r="F133" s="316" t="s">
        <v>230</v>
      </c>
      <c r="G133" s="316" t="s">
        <v>229</v>
      </c>
      <c r="H133" s="316">
        <v>4.0291484219048346E-3</v>
      </c>
    </row>
    <row r="134" spans="1:8" x14ac:dyDescent="0.25">
      <c r="A134" s="316" t="s">
        <v>230</v>
      </c>
      <c r="B134" s="316" t="s">
        <v>229</v>
      </c>
      <c r="C134" s="316">
        <v>9.3520514346645722</v>
      </c>
      <c r="F134" s="316" t="s">
        <v>230</v>
      </c>
      <c r="G134" s="316" t="s">
        <v>229</v>
      </c>
      <c r="H134" s="316">
        <v>0.60521425774278348</v>
      </c>
    </row>
    <row r="135" spans="1:8" x14ac:dyDescent="0.25">
      <c r="A135" s="316" t="s">
        <v>230</v>
      </c>
      <c r="B135" s="316" t="s">
        <v>229</v>
      </c>
      <c r="C135" s="316">
        <v>63.902942277782849</v>
      </c>
      <c r="F135" s="316" t="s">
        <v>230</v>
      </c>
      <c r="G135" s="316" t="s">
        <v>229</v>
      </c>
      <c r="H135" s="316">
        <v>0.15523351921603573</v>
      </c>
    </row>
    <row r="136" spans="1:8" x14ac:dyDescent="0.25">
      <c r="A136" s="316" t="s">
        <v>230</v>
      </c>
      <c r="B136" s="316" t="s">
        <v>229</v>
      </c>
      <c r="C136" s="316">
        <v>3.1883578529928326E-2</v>
      </c>
      <c r="F136" s="316" t="s">
        <v>230</v>
      </c>
      <c r="G136" s="316" t="s">
        <v>229</v>
      </c>
      <c r="H136" s="316">
        <v>1.4370767396551848E-2</v>
      </c>
    </row>
    <row r="137" spans="1:8" x14ac:dyDescent="0.25">
      <c r="A137" s="316" t="s">
        <v>230</v>
      </c>
      <c r="B137" s="316" t="s">
        <v>229</v>
      </c>
      <c r="C137" s="316">
        <v>2.0452458851615719E-3</v>
      </c>
      <c r="F137" s="316" t="s">
        <v>230</v>
      </c>
      <c r="G137" s="316" t="s">
        <v>229</v>
      </c>
      <c r="H137" s="316">
        <v>1.0880387408398673E-3</v>
      </c>
    </row>
    <row r="138" spans="1:8" x14ac:dyDescent="0.25">
      <c r="A138" s="316" t="s">
        <v>230</v>
      </c>
      <c r="B138" s="316" t="s">
        <v>229</v>
      </c>
      <c r="C138" s="316">
        <v>0</v>
      </c>
      <c r="F138" s="316" t="s">
        <v>230</v>
      </c>
      <c r="G138" s="316" t="s">
        <v>229</v>
      </c>
      <c r="H138" s="316">
        <v>0.32860815040490049</v>
      </c>
    </row>
    <row r="139" spans="1:8" x14ac:dyDescent="0.25">
      <c r="A139" s="316" t="s">
        <v>230</v>
      </c>
      <c r="B139" s="316" t="s">
        <v>229</v>
      </c>
      <c r="C139" s="316">
        <v>3.2437366373215093E-4</v>
      </c>
      <c r="F139" s="316" t="s">
        <v>230</v>
      </c>
      <c r="G139" s="316" t="s">
        <v>229</v>
      </c>
      <c r="H139" s="316">
        <v>0.13652638273167561</v>
      </c>
    </row>
    <row r="140" spans="1:8" x14ac:dyDescent="0.25">
      <c r="A140" s="316" t="s">
        <v>230</v>
      </c>
      <c r="B140" s="316" t="s">
        <v>229</v>
      </c>
      <c r="C140" s="316">
        <v>3.2075211906812534E-2</v>
      </c>
      <c r="F140" s="316" t="s">
        <v>230</v>
      </c>
      <c r="G140" s="316" t="s">
        <v>229</v>
      </c>
      <c r="H140" s="316">
        <v>0.17645652222744374</v>
      </c>
    </row>
    <row r="141" spans="1:8" x14ac:dyDescent="0.25">
      <c r="A141" s="316" t="s">
        <v>230</v>
      </c>
      <c r="B141" s="316" t="s">
        <v>229</v>
      </c>
      <c r="C141" s="316">
        <v>7.0205643667966252E-3</v>
      </c>
      <c r="F141" s="316" t="s">
        <v>230</v>
      </c>
      <c r="G141" s="316" t="s">
        <v>229</v>
      </c>
      <c r="H141" s="316">
        <v>275.95729588003877</v>
      </c>
    </row>
    <row r="142" spans="1:8" x14ac:dyDescent="0.25">
      <c r="A142" s="316" t="s">
        <v>230</v>
      </c>
      <c r="B142" s="316" t="s">
        <v>229</v>
      </c>
      <c r="C142" s="316">
        <v>1.338993130276055E-3</v>
      </c>
      <c r="F142" s="316" t="s">
        <v>230</v>
      </c>
      <c r="G142" s="316" t="s">
        <v>229</v>
      </c>
      <c r="H142" s="316">
        <v>8.5822535476091026</v>
      </c>
    </row>
    <row r="143" spans="1:8" x14ac:dyDescent="0.25">
      <c r="A143" s="316" t="s">
        <v>230</v>
      </c>
      <c r="B143" s="316" t="s">
        <v>229</v>
      </c>
      <c r="C143" s="316">
        <v>1.9323399045704789E-2</v>
      </c>
      <c r="F143" s="316" t="s">
        <v>230</v>
      </c>
      <c r="G143" s="316" t="s">
        <v>229</v>
      </c>
      <c r="H143" s="316">
        <v>2.0452458851615719E-3</v>
      </c>
    </row>
    <row r="144" spans="1:8" x14ac:dyDescent="0.25">
      <c r="A144" s="316" t="s">
        <v>230</v>
      </c>
      <c r="B144" s="316" t="s">
        <v>229</v>
      </c>
      <c r="C144" s="316">
        <v>3.1130381988157006E-2</v>
      </c>
      <c r="F144" s="316" t="s">
        <v>230</v>
      </c>
      <c r="G144" s="316" t="s">
        <v>229</v>
      </c>
      <c r="H144" s="316">
        <v>3.2075211906812534E-2</v>
      </c>
    </row>
    <row r="145" spans="1:8" x14ac:dyDescent="0.25">
      <c r="A145" s="316" t="s">
        <v>230</v>
      </c>
      <c r="B145" s="316" t="s">
        <v>229</v>
      </c>
      <c r="C145" s="316">
        <v>1.1771827152581047E-2</v>
      </c>
      <c r="F145" s="316" t="s">
        <v>230</v>
      </c>
      <c r="G145" s="316" t="s">
        <v>229</v>
      </c>
      <c r="H145" s="316">
        <v>1.9323399045704789E-2</v>
      </c>
    </row>
    <row r="146" spans="1:8" x14ac:dyDescent="0.25">
      <c r="A146" s="316" t="s">
        <v>230</v>
      </c>
      <c r="B146" s="316" t="s">
        <v>229</v>
      </c>
      <c r="C146" s="316">
        <v>6.0385508525834061E-2</v>
      </c>
      <c r="F146" s="316" t="s">
        <v>230</v>
      </c>
      <c r="G146" s="316" t="s">
        <v>229</v>
      </c>
      <c r="H146" s="316">
        <v>3.1130381988157006E-2</v>
      </c>
    </row>
    <row r="147" spans="1:8" x14ac:dyDescent="0.25">
      <c r="A147" s="316" t="s">
        <v>230</v>
      </c>
      <c r="B147" s="316" t="s">
        <v>229</v>
      </c>
      <c r="C147" s="316">
        <v>9.6269381441283688E-3</v>
      </c>
      <c r="F147" s="316" t="s">
        <v>230</v>
      </c>
      <c r="G147" s="316" t="s">
        <v>229</v>
      </c>
      <c r="H147" s="316">
        <v>0</v>
      </c>
    </row>
    <row r="148" spans="1:8" x14ac:dyDescent="0.25">
      <c r="A148" s="316" t="s">
        <v>230</v>
      </c>
      <c r="B148" s="316" t="s">
        <v>229</v>
      </c>
      <c r="C148" s="316">
        <v>0.74130499754995283</v>
      </c>
      <c r="F148" s="316" t="s">
        <v>230</v>
      </c>
      <c r="G148" s="316" t="s">
        <v>229</v>
      </c>
      <c r="H148" s="316">
        <v>4.6549299987287923E-4</v>
      </c>
    </row>
    <row r="149" spans="1:8" x14ac:dyDescent="0.25">
      <c r="A149" s="316" t="s">
        <v>230</v>
      </c>
      <c r="B149" s="316" t="s">
        <v>229</v>
      </c>
      <c r="C149" s="316">
        <v>9.8525793632822614E-2</v>
      </c>
      <c r="F149" s="316" t="s">
        <v>230</v>
      </c>
      <c r="G149" s="316" t="s">
        <v>229</v>
      </c>
      <c r="H149" s="316">
        <v>0</v>
      </c>
    </row>
    <row r="150" spans="1:8" x14ac:dyDescent="0.25">
      <c r="A150" s="316" t="s">
        <v>230</v>
      </c>
      <c r="B150" s="316" t="s">
        <v>229</v>
      </c>
      <c r="C150" s="316">
        <v>1.232204358338777E-4</v>
      </c>
      <c r="F150" s="316" t="s">
        <v>230</v>
      </c>
      <c r="G150" s="316" t="s">
        <v>229</v>
      </c>
      <c r="H150" s="316">
        <v>9.9552331589111184E-2</v>
      </c>
    </row>
    <row r="151" spans="1:8" x14ac:dyDescent="0.25">
      <c r="A151" s="316" t="s">
        <v>230</v>
      </c>
      <c r="B151" s="316" t="s">
        <v>229</v>
      </c>
      <c r="C151" s="316">
        <v>1.8859065755860903E-2</v>
      </c>
      <c r="F151" s="316" t="s">
        <v>230</v>
      </c>
      <c r="G151" s="316" t="s">
        <v>229</v>
      </c>
      <c r="H151" s="316">
        <v>0.12602979812584428</v>
      </c>
    </row>
    <row r="152" spans="1:8" x14ac:dyDescent="0.25">
      <c r="A152" s="316" t="s">
        <v>230</v>
      </c>
      <c r="B152" s="316" t="s">
        <v>229</v>
      </c>
      <c r="C152" s="316">
        <v>0.136792366085349</v>
      </c>
      <c r="F152" s="316" t="s">
        <v>230</v>
      </c>
      <c r="G152" s="316" t="s">
        <v>229</v>
      </c>
      <c r="H152" s="316">
        <v>0.74592616668981526</v>
      </c>
    </row>
    <row r="153" spans="1:8" x14ac:dyDescent="0.25">
      <c r="A153" s="316" t="s">
        <v>230</v>
      </c>
      <c r="B153" s="316" t="s">
        <v>229</v>
      </c>
      <c r="C153" s="316">
        <v>1.1309760778604652</v>
      </c>
      <c r="F153" s="316" t="s">
        <v>230</v>
      </c>
      <c r="G153" s="316" t="s">
        <v>229</v>
      </c>
      <c r="H153" s="316">
        <v>13.386864769218684</v>
      </c>
    </row>
    <row r="154" spans="1:8" x14ac:dyDescent="0.25">
      <c r="A154" s="316" t="s">
        <v>230</v>
      </c>
      <c r="B154" s="316" t="s">
        <v>229</v>
      </c>
      <c r="C154" s="316">
        <v>2.7291334606194841E-2</v>
      </c>
      <c r="F154" s="316" t="s">
        <v>230</v>
      </c>
      <c r="G154" s="316" t="s">
        <v>229</v>
      </c>
      <c r="H154" s="316">
        <v>6.7617545083096614E-2</v>
      </c>
    </row>
    <row r="155" spans="1:8" x14ac:dyDescent="0.25">
      <c r="A155" s="316" t="s">
        <v>230</v>
      </c>
      <c r="B155" s="316" t="s">
        <v>229</v>
      </c>
      <c r="C155" s="316">
        <v>4.7908113980332635E-5</v>
      </c>
      <c r="F155" s="316" t="s">
        <v>230</v>
      </c>
      <c r="G155" s="316" t="s">
        <v>229</v>
      </c>
      <c r="H155" s="316">
        <v>3.0452899716969836E-4</v>
      </c>
    </row>
    <row r="156" spans="1:8" x14ac:dyDescent="0.25">
      <c r="A156" s="316" t="s">
        <v>230</v>
      </c>
      <c r="B156" s="316" t="s">
        <v>229</v>
      </c>
      <c r="C156" s="316">
        <v>0.36073648254069973</v>
      </c>
      <c r="F156" s="316" t="s">
        <v>230</v>
      </c>
      <c r="G156" s="316" t="s">
        <v>229</v>
      </c>
      <c r="H156" s="316">
        <v>7.8422822953367604</v>
      </c>
    </row>
    <row r="157" spans="1:8" x14ac:dyDescent="0.25">
      <c r="A157" s="316" t="s">
        <v>230</v>
      </c>
      <c r="B157" s="316" t="s">
        <v>229</v>
      </c>
      <c r="C157" s="316">
        <v>1.0944637953447545E-2</v>
      </c>
      <c r="F157" s="316" t="s">
        <v>230</v>
      </c>
      <c r="G157" s="316" t="s">
        <v>229</v>
      </c>
      <c r="H157" s="316">
        <v>7.4014612307390343E-2</v>
      </c>
    </row>
    <row r="158" spans="1:8" x14ac:dyDescent="0.25">
      <c r="A158" s="316" t="s">
        <v>230</v>
      </c>
      <c r="B158" s="316" t="s">
        <v>229</v>
      </c>
      <c r="C158" s="316">
        <v>1.3169425085031599</v>
      </c>
      <c r="F158" s="316" t="s">
        <v>230</v>
      </c>
      <c r="G158" s="316" t="s">
        <v>229</v>
      </c>
      <c r="H158" s="316">
        <v>14.503836969113792</v>
      </c>
    </row>
    <row r="159" spans="1:8" x14ac:dyDescent="0.25">
      <c r="A159" s="316" t="s">
        <v>230</v>
      </c>
      <c r="B159" s="316" t="s">
        <v>229</v>
      </c>
      <c r="C159" s="316">
        <v>6.241481244311127E-3</v>
      </c>
      <c r="F159" s="316" t="s">
        <v>230</v>
      </c>
      <c r="G159" s="316" t="s">
        <v>229</v>
      </c>
      <c r="H159" s="316">
        <v>4.5886195654469657E-2</v>
      </c>
    </row>
    <row r="160" spans="1:8" x14ac:dyDescent="0.25">
      <c r="A160" s="316" t="s">
        <v>230</v>
      </c>
      <c r="B160" s="316" t="s">
        <v>229</v>
      </c>
      <c r="C160" s="316">
        <v>4.2489332394258242E-2</v>
      </c>
      <c r="F160" s="316" t="s">
        <v>230</v>
      </c>
      <c r="G160" s="316" t="s">
        <v>229</v>
      </c>
      <c r="H160" s="316">
        <v>0.36957629927986513</v>
      </c>
    </row>
    <row r="161" spans="1:8" x14ac:dyDescent="0.25">
      <c r="A161" s="316" t="s">
        <v>230</v>
      </c>
      <c r="B161" s="316" t="s">
        <v>229</v>
      </c>
      <c r="C161" s="316">
        <v>1.1883988867500668</v>
      </c>
      <c r="F161" s="316" t="s">
        <v>230</v>
      </c>
      <c r="G161" s="316" t="s">
        <v>229</v>
      </c>
      <c r="H161" s="316">
        <v>16.435690765367369</v>
      </c>
    </row>
    <row r="162" spans="1:8" x14ac:dyDescent="0.25">
      <c r="A162" s="316" t="s">
        <v>230</v>
      </c>
      <c r="B162" s="316" t="s">
        <v>229</v>
      </c>
      <c r="C162" s="316">
        <v>0.3457340284404089</v>
      </c>
      <c r="F162" s="316" t="s">
        <v>230</v>
      </c>
      <c r="G162" s="316" t="s">
        <v>229</v>
      </c>
      <c r="H162" s="316">
        <v>3.4755438902721587</v>
      </c>
    </row>
    <row r="163" spans="1:8" x14ac:dyDescent="0.25">
      <c r="A163" s="316" t="s">
        <v>230</v>
      </c>
      <c r="B163" s="316" t="s">
        <v>229</v>
      </c>
      <c r="C163" s="316">
        <v>1.010121063451236E-2</v>
      </c>
      <c r="F163" s="316" t="s">
        <v>230</v>
      </c>
      <c r="G163" s="316" t="s">
        <v>229</v>
      </c>
      <c r="H163" s="316">
        <v>8.7093407337501538E-2</v>
      </c>
    </row>
    <row r="164" spans="1:8" x14ac:dyDescent="0.25">
      <c r="A164" s="316" t="s">
        <v>230</v>
      </c>
      <c r="B164" s="316" t="s">
        <v>229</v>
      </c>
      <c r="C164" s="316">
        <v>3.7399438402361724</v>
      </c>
      <c r="F164" s="316" t="s">
        <v>230</v>
      </c>
      <c r="G164" s="316" t="s">
        <v>229</v>
      </c>
      <c r="H164" s="316">
        <v>34.738273524314927</v>
      </c>
    </row>
    <row r="165" spans="1:8" x14ac:dyDescent="0.25">
      <c r="A165" s="316" t="s">
        <v>230</v>
      </c>
      <c r="B165" s="316" t="s">
        <v>229</v>
      </c>
      <c r="C165" s="316">
        <v>2.667216812772315</v>
      </c>
      <c r="F165" s="316" t="s">
        <v>230</v>
      </c>
      <c r="G165" s="316" t="s">
        <v>229</v>
      </c>
      <c r="H165" s="316">
        <v>49.0331986847767</v>
      </c>
    </row>
    <row r="166" spans="1:8" x14ac:dyDescent="0.25">
      <c r="A166" s="316" t="s">
        <v>230</v>
      </c>
      <c r="B166" s="316" t="s">
        <v>229</v>
      </c>
      <c r="C166" s="316">
        <v>7.294900623703103E-2</v>
      </c>
      <c r="F166" s="316" t="s">
        <v>230</v>
      </c>
      <c r="G166" s="316" t="s">
        <v>229</v>
      </c>
      <c r="H166" s="316">
        <v>0.4386889167773767</v>
      </c>
    </row>
    <row r="167" spans="1:8" x14ac:dyDescent="0.25">
      <c r="A167" s="316" t="s">
        <v>230</v>
      </c>
      <c r="B167" s="316" t="s">
        <v>229</v>
      </c>
      <c r="C167" s="316">
        <v>1.2651415470578567E-2</v>
      </c>
      <c r="F167" s="316" t="s">
        <v>230</v>
      </c>
      <c r="G167" s="316" t="s">
        <v>229</v>
      </c>
      <c r="H167" s="316">
        <v>0.54394593457598084</v>
      </c>
    </row>
    <row r="168" spans="1:8" x14ac:dyDescent="0.25">
      <c r="A168" s="316" t="s">
        <v>230</v>
      </c>
      <c r="B168" s="316" t="s">
        <v>229</v>
      </c>
      <c r="C168" s="316">
        <v>1.0294331494870284</v>
      </c>
      <c r="F168" s="316" t="s">
        <v>230</v>
      </c>
      <c r="G168" s="316" t="s">
        <v>229</v>
      </c>
      <c r="H168" s="316">
        <v>5.6225263409474726</v>
      </c>
    </row>
    <row r="169" spans="1:8" x14ac:dyDescent="0.25">
      <c r="A169" s="316" t="s">
        <v>230</v>
      </c>
      <c r="B169" s="316" t="s">
        <v>229</v>
      </c>
      <c r="C169" s="316">
        <v>2.4454615102874389</v>
      </c>
      <c r="F169" s="316" t="s">
        <v>230</v>
      </c>
      <c r="G169" s="316" t="s">
        <v>229</v>
      </c>
      <c r="H169" s="316">
        <v>15.65435004300231</v>
      </c>
    </row>
    <row r="170" spans="1:8" x14ac:dyDescent="0.25">
      <c r="A170" s="316" t="s">
        <v>230</v>
      </c>
      <c r="B170" s="316" t="s">
        <v>229</v>
      </c>
      <c r="C170" s="316">
        <v>4.872545895497222E-4</v>
      </c>
      <c r="F170" s="316" t="s">
        <v>230</v>
      </c>
      <c r="G170" s="316" t="s">
        <v>229</v>
      </c>
      <c r="H170" s="316">
        <v>4.8525332786874308E-3</v>
      </c>
    </row>
    <row r="171" spans="1:8" x14ac:dyDescent="0.25">
      <c r="A171" s="316" t="s">
        <v>230</v>
      </c>
      <c r="B171" s="316" t="s">
        <v>229</v>
      </c>
      <c r="C171" s="316">
        <v>7.5702530832003475E-3</v>
      </c>
      <c r="F171" s="316" t="s">
        <v>230</v>
      </c>
      <c r="G171" s="316" t="s">
        <v>229</v>
      </c>
      <c r="H171" s="316">
        <v>5.9180713594710763E-2</v>
      </c>
    </row>
    <row r="172" spans="1:8" x14ac:dyDescent="0.25">
      <c r="A172" s="316" t="s">
        <v>230</v>
      </c>
      <c r="B172" s="316" t="s">
        <v>229</v>
      </c>
      <c r="C172" s="316">
        <v>0.22710009550981966</v>
      </c>
      <c r="F172" s="316" t="s">
        <v>230</v>
      </c>
      <c r="G172" s="316" t="s">
        <v>229</v>
      </c>
      <c r="H172" s="316">
        <v>3.0317195347760015</v>
      </c>
    </row>
    <row r="173" spans="1:8" x14ac:dyDescent="0.25">
      <c r="A173" s="316" t="s">
        <v>230</v>
      </c>
      <c r="B173" s="316" t="s">
        <v>229</v>
      </c>
      <c r="C173" s="316">
        <v>0.28716297183154155</v>
      </c>
      <c r="F173" s="316" t="s">
        <v>230</v>
      </c>
      <c r="G173" s="316" t="s">
        <v>229</v>
      </c>
      <c r="H173" s="316">
        <v>1.414919094239363</v>
      </c>
    </row>
    <row r="174" spans="1:8" x14ac:dyDescent="0.25">
      <c r="A174" s="316" t="s">
        <v>230</v>
      </c>
      <c r="B174" s="316" t="s">
        <v>229</v>
      </c>
      <c r="C174" s="316">
        <v>0.10327275424639408</v>
      </c>
      <c r="F174" s="316" t="s">
        <v>230</v>
      </c>
      <c r="G174" s="316" t="s">
        <v>229</v>
      </c>
      <c r="H174" s="316">
        <v>0.51705698239214604</v>
      </c>
    </row>
    <row r="175" spans="1:8" x14ac:dyDescent="0.25">
      <c r="A175" s="316" t="s">
        <v>230</v>
      </c>
      <c r="B175" s="316" t="s">
        <v>229</v>
      </c>
      <c r="C175" s="316">
        <v>3.1355042475122502E-3</v>
      </c>
      <c r="F175" s="316" t="s">
        <v>230</v>
      </c>
      <c r="G175" s="316" t="s">
        <v>229</v>
      </c>
      <c r="H175" s="316">
        <v>6.4621557276671572E-3</v>
      </c>
    </row>
    <row r="176" spans="1:8" x14ac:dyDescent="0.25">
      <c r="A176" s="316" t="s">
        <v>230</v>
      </c>
      <c r="B176" s="316" t="s">
        <v>229</v>
      </c>
      <c r="C176" s="316">
        <v>1.8042859420043234E-2</v>
      </c>
      <c r="F176" s="316" t="s">
        <v>230</v>
      </c>
      <c r="G176" s="316" t="s">
        <v>229</v>
      </c>
      <c r="H176" s="316">
        <v>0.14864815998668857</v>
      </c>
    </row>
    <row r="177" spans="1:8" x14ac:dyDescent="0.25">
      <c r="A177" s="316" t="s">
        <v>230</v>
      </c>
      <c r="B177" s="316" t="s">
        <v>229</v>
      </c>
      <c r="C177" s="316">
        <v>7.2269852811441908E-4</v>
      </c>
      <c r="F177" s="316" t="s">
        <v>230</v>
      </c>
      <c r="G177" s="316" t="s">
        <v>229</v>
      </c>
      <c r="H177" s="316">
        <v>5.9405328831670656E-3</v>
      </c>
    </row>
    <row r="178" spans="1:8" x14ac:dyDescent="0.25">
      <c r="A178" s="316" t="s">
        <v>230</v>
      </c>
      <c r="B178" s="316" t="s">
        <v>229</v>
      </c>
      <c r="C178" s="316">
        <v>0.16489404536966742</v>
      </c>
      <c r="F178" s="316" t="s">
        <v>230</v>
      </c>
      <c r="G178" s="316" t="s">
        <v>229</v>
      </c>
      <c r="H178" s="316">
        <v>1.8125138748049834</v>
      </c>
    </row>
    <row r="179" spans="1:8" x14ac:dyDescent="0.25">
      <c r="A179" s="316" t="s">
        <v>230</v>
      </c>
      <c r="B179" s="316" t="s">
        <v>229</v>
      </c>
      <c r="C179" s="316">
        <v>1.4703057905159115E-3</v>
      </c>
      <c r="F179" s="316" t="s">
        <v>230</v>
      </c>
      <c r="G179" s="316" t="s">
        <v>229</v>
      </c>
      <c r="H179" s="316">
        <v>1.4676348541911296E-2</v>
      </c>
    </row>
    <row r="180" spans="1:8" x14ac:dyDescent="0.25">
      <c r="A180" s="316" t="s">
        <v>230</v>
      </c>
      <c r="B180" s="316" t="s">
        <v>229</v>
      </c>
      <c r="C180" s="316">
        <v>0.15239859202974651</v>
      </c>
      <c r="F180" s="316" t="s">
        <v>230</v>
      </c>
      <c r="G180" s="316" t="s">
        <v>229</v>
      </c>
      <c r="H180" s="316">
        <v>0.98626664852699664</v>
      </c>
    </row>
    <row r="181" spans="1:8" x14ac:dyDescent="0.25">
      <c r="A181" s="316" t="s">
        <v>230</v>
      </c>
      <c r="B181" s="316" t="s">
        <v>229</v>
      </c>
      <c r="C181" s="316">
        <v>2.142484572477241E-3</v>
      </c>
      <c r="F181" s="316" t="s">
        <v>230</v>
      </c>
      <c r="G181" s="316" t="s">
        <v>229</v>
      </c>
      <c r="H181" s="316">
        <v>7.6748763357212249E-3</v>
      </c>
    </row>
    <row r="182" spans="1:8" x14ac:dyDescent="0.25">
      <c r="A182" s="316" t="s">
        <v>230</v>
      </c>
      <c r="B182" s="316" t="s">
        <v>229</v>
      </c>
      <c r="C182" s="316">
        <v>1.8749330534133839E-2</v>
      </c>
      <c r="F182" s="316" t="s">
        <v>230</v>
      </c>
      <c r="G182" s="316" t="s">
        <v>229</v>
      </c>
      <c r="H182" s="316">
        <v>0.22142607317684199</v>
      </c>
    </row>
    <row r="183" spans="1:8" x14ac:dyDescent="0.25">
      <c r="A183" s="316" t="s">
        <v>230</v>
      </c>
      <c r="B183" s="316" t="s">
        <v>229</v>
      </c>
      <c r="C183" s="316">
        <v>0.70058418683736834</v>
      </c>
      <c r="F183" s="316" t="s">
        <v>230</v>
      </c>
      <c r="G183" s="316" t="s">
        <v>229</v>
      </c>
      <c r="H183" s="316">
        <v>4.7670249174149006</v>
      </c>
    </row>
    <row r="184" spans="1:8" x14ac:dyDescent="0.25">
      <c r="A184" s="316" t="s">
        <v>230</v>
      </c>
      <c r="B184" s="316" t="s">
        <v>229</v>
      </c>
      <c r="C184" s="316">
        <v>8.7959902684509594E-3</v>
      </c>
      <c r="F184" s="316" t="s">
        <v>230</v>
      </c>
      <c r="G184" s="316" t="s">
        <v>229</v>
      </c>
      <c r="H184" s="316">
        <v>6.2156479964911381E-2</v>
      </c>
    </row>
    <row r="185" spans="1:8" x14ac:dyDescent="0.25">
      <c r="A185" s="316" t="s">
        <v>230</v>
      </c>
      <c r="B185" s="316" t="s">
        <v>229</v>
      </c>
      <c r="C185" s="316">
        <v>0.1945905523641529</v>
      </c>
      <c r="F185" s="316" t="s">
        <v>230</v>
      </c>
      <c r="G185" s="316" t="s">
        <v>229</v>
      </c>
      <c r="H185" s="316">
        <v>0.34512312548843488</v>
      </c>
    </row>
    <row r="186" spans="1:8" x14ac:dyDescent="0.25">
      <c r="A186" s="316" t="s">
        <v>230</v>
      </c>
      <c r="B186" s="316" t="s">
        <v>229</v>
      </c>
      <c r="C186" s="316">
        <v>1.5741572582269246E-2</v>
      </c>
      <c r="F186" s="316" t="s">
        <v>230</v>
      </c>
      <c r="G186" s="316" t="s">
        <v>229</v>
      </c>
      <c r="H186" s="316">
        <v>0.14660008163172455</v>
      </c>
    </row>
    <row r="187" spans="1:8" x14ac:dyDescent="0.25">
      <c r="A187" s="316" t="s">
        <v>230</v>
      </c>
      <c r="B187" s="316" t="s">
        <v>229</v>
      </c>
      <c r="C187" s="316">
        <v>1.1388052674004885</v>
      </c>
      <c r="F187" s="316" t="s">
        <v>230</v>
      </c>
      <c r="G187" s="316" t="s">
        <v>229</v>
      </c>
      <c r="H187" s="316">
        <v>7.6313478427327723</v>
      </c>
    </row>
    <row r="188" spans="1:8" x14ac:dyDescent="0.25">
      <c r="A188" s="316" t="s">
        <v>230</v>
      </c>
      <c r="B188" s="316" t="s">
        <v>229</v>
      </c>
      <c r="C188" s="316">
        <v>1.4780228679353282</v>
      </c>
      <c r="F188" s="316" t="s">
        <v>230</v>
      </c>
      <c r="G188" s="316" t="s">
        <v>229</v>
      </c>
      <c r="H188" s="316">
        <v>13.809736027787952</v>
      </c>
    </row>
    <row r="189" spans="1:8" x14ac:dyDescent="0.25">
      <c r="A189" s="316" t="s">
        <v>230</v>
      </c>
      <c r="B189" s="316" t="s">
        <v>229</v>
      </c>
      <c r="C189" s="316">
        <v>8.9163800704100918E-2</v>
      </c>
      <c r="F189" s="316" t="s">
        <v>230</v>
      </c>
      <c r="G189" s="316" t="s">
        <v>229</v>
      </c>
      <c r="H189" s="316">
        <v>0.56222070481312847</v>
      </c>
    </row>
    <row r="190" spans="1:8" x14ac:dyDescent="0.25">
      <c r="A190" s="316" t="s">
        <v>230</v>
      </c>
      <c r="B190" s="316" t="s">
        <v>229</v>
      </c>
      <c r="C190" s="316">
        <v>6.4598456392766471E-2</v>
      </c>
      <c r="F190" s="316" t="s">
        <v>230</v>
      </c>
      <c r="G190" s="316" t="s">
        <v>229</v>
      </c>
      <c r="H190" s="316">
        <v>0.20039516823074383</v>
      </c>
    </row>
    <row r="191" spans="1:8" x14ac:dyDescent="0.25">
      <c r="A191" s="316" t="s">
        <v>230</v>
      </c>
      <c r="B191" s="316" t="s">
        <v>229</v>
      </c>
      <c r="C191" s="316">
        <v>0.56507943815184491</v>
      </c>
      <c r="F191" s="316" t="s">
        <v>230</v>
      </c>
      <c r="G191" s="316" t="s">
        <v>229</v>
      </c>
      <c r="H191" s="316">
        <v>3.1503129969022834</v>
      </c>
    </row>
    <row r="192" spans="1:8" x14ac:dyDescent="0.25">
      <c r="A192" s="316" t="s">
        <v>230</v>
      </c>
      <c r="B192" s="316" t="s">
        <v>229</v>
      </c>
      <c r="C192" s="316">
        <v>7.6992258144781252E-3</v>
      </c>
      <c r="F192" s="316" t="s">
        <v>230</v>
      </c>
      <c r="G192" s="316" t="s">
        <v>229</v>
      </c>
      <c r="H192" s="316">
        <v>7.1589382186101141E-2</v>
      </c>
    </row>
    <row r="193" spans="1:8" x14ac:dyDescent="0.25">
      <c r="A193" s="316" t="s">
        <v>230</v>
      </c>
      <c r="B193" s="316" t="s">
        <v>229</v>
      </c>
      <c r="C193" s="316">
        <v>0.55751607211212706</v>
      </c>
      <c r="F193" s="316" t="s">
        <v>230</v>
      </c>
      <c r="G193" s="316" t="s">
        <v>229</v>
      </c>
      <c r="H193" s="316">
        <v>3.756742739550861</v>
      </c>
    </row>
    <row r="194" spans="1:8" x14ac:dyDescent="0.25">
      <c r="A194" s="316" t="s">
        <v>230</v>
      </c>
      <c r="B194" s="316" t="s">
        <v>229</v>
      </c>
      <c r="C194" s="316">
        <v>5.5841448144790584E-2</v>
      </c>
      <c r="F194" s="316" t="s">
        <v>230</v>
      </c>
      <c r="G194" s="316" t="s">
        <v>229</v>
      </c>
      <c r="H194" s="316">
        <v>0.34277308456083971</v>
      </c>
    </row>
    <row r="195" spans="1:8" x14ac:dyDescent="0.25">
      <c r="A195" s="316" t="s">
        <v>230</v>
      </c>
      <c r="B195" s="316" t="s">
        <v>229</v>
      </c>
      <c r="C195" s="316">
        <v>0.81418308533826222</v>
      </c>
      <c r="F195" s="316" t="s">
        <v>230</v>
      </c>
      <c r="G195" s="316" t="s">
        <v>229</v>
      </c>
      <c r="H195" s="316">
        <v>3.7173251338128814</v>
      </c>
    </row>
    <row r="196" spans="1:8" x14ac:dyDescent="0.25">
      <c r="A196" s="316" t="s">
        <v>230</v>
      </c>
      <c r="B196" s="316" t="s">
        <v>229</v>
      </c>
      <c r="C196" s="316">
        <v>8.9033704820798837E-2</v>
      </c>
      <c r="F196" s="316" t="s">
        <v>230</v>
      </c>
      <c r="G196" s="316" t="s">
        <v>229</v>
      </c>
      <c r="H196" s="316">
        <v>1.308115601636392</v>
      </c>
    </row>
    <row r="197" spans="1:8" x14ac:dyDescent="0.25">
      <c r="A197" s="316" t="s">
        <v>230</v>
      </c>
      <c r="B197" s="316" t="s">
        <v>229</v>
      </c>
      <c r="C197" s="316">
        <v>0.13370590973790819</v>
      </c>
      <c r="F197" s="316" t="s">
        <v>230</v>
      </c>
      <c r="G197" s="316" t="s">
        <v>229</v>
      </c>
      <c r="H197" s="316">
        <v>0.51860417558769245</v>
      </c>
    </row>
    <row r="198" spans="1:8" x14ac:dyDescent="0.25">
      <c r="A198" s="316" t="s">
        <v>230</v>
      </c>
      <c r="B198" s="316" t="s">
        <v>229</v>
      </c>
      <c r="C198" s="316">
        <v>0.13964363535313226</v>
      </c>
      <c r="F198" s="316" t="s">
        <v>230</v>
      </c>
      <c r="G198" s="316" t="s">
        <v>229</v>
      </c>
      <c r="H198" s="316">
        <v>0.97194111315398257</v>
      </c>
    </row>
    <row r="199" spans="1:8" x14ac:dyDescent="0.25">
      <c r="A199" s="316" t="s">
        <v>230</v>
      </c>
      <c r="B199" s="316" t="s">
        <v>229</v>
      </c>
      <c r="C199" s="316">
        <v>0.15503458646081927</v>
      </c>
      <c r="F199" s="316" t="s">
        <v>230</v>
      </c>
      <c r="G199" s="316" t="s">
        <v>229</v>
      </c>
      <c r="H199" s="316">
        <v>1.6284144674987728</v>
      </c>
    </row>
    <row r="200" spans="1:8" x14ac:dyDescent="0.25">
      <c r="A200" s="316" t="s">
        <v>230</v>
      </c>
      <c r="B200" s="316" t="s">
        <v>229</v>
      </c>
      <c r="C200" s="316">
        <v>12.126460015988894</v>
      </c>
      <c r="F200" s="316" t="s">
        <v>230</v>
      </c>
      <c r="G200" s="316" t="s">
        <v>229</v>
      </c>
      <c r="H200" s="316">
        <v>73.267984908810305</v>
      </c>
    </row>
    <row r="201" spans="1:8" x14ac:dyDescent="0.25">
      <c r="A201" s="316" t="s">
        <v>230</v>
      </c>
      <c r="B201" s="316" t="s">
        <v>229</v>
      </c>
      <c r="C201" s="316">
        <v>10.858751128271688</v>
      </c>
      <c r="F201" s="316" t="s">
        <v>230</v>
      </c>
      <c r="G201" s="316" t="s">
        <v>229</v>
      </c>
      <c r="H201" s="316">
        <v>61.242630553716928</v>
      </c>
    </row>
    <row r="202" spans="1:8" x14ac:dyDescent="0.25">
      <c r="A202" s="316" t="s">
        <v>230</v>
      </c>
      <c r="B202" s="316" t="s">
        <v>229</v>
      </c>
      <c r="C202" s="316">
        <v>0.70347857869641517</v>
      </c>
      <c r="F202" s="316" t="s">
        <v>230</v>
      </c>
      <c r="G202" s="316" t="s">
        <v>229</v>
      </c>
      <c r="H202" s="316">
        <v>2.6227372246903569</v>
      </c>
    </row>
    <row r="203" spans="1:8" x14ac:dyDescent="0.25">
      <c r="A203" s="316" t="s">
        <v>230</v>
      </c>
      <c r="B203" s="316" t="s">
        <v>229</v>
      </c>
      <c r="C203" s="316">
        <v>1.6365328050670504E-2</v>
      </c>
      <c r="F203" s="316" t="s">
        <v>230</v>
      </c>
      <c r="G203" s="316" t="s">
        <v>229</v>
      </c>
      <c r="H203" s="316">
        <v>4.0979430570208281E-2</v>
      </c>
    </row>
    <row r="204" spans="1:8" x14ac:dyDescent="0.25">
      <c r="A204" s="316" t="s">
        <v>230</v>
      </c>
      <c r="B204" s="316" t="s">
        <v>229</v>
      </c>
      <c r="C204" s="316">
        <v>0.13140739413408584</v>
      </c>
      <c r="F204" s="316" t="s">
        <v>230</v>
      </c>
      <c r="G204" s="316" t="s">
        <v>229</v>
      </c>
      <c r="H204" s="316">
        <v>1.1753624652269121</v>
      </c>
    </row>
    <row r="205" spans="1:8" x14ac:dyDescent="0.25">
      <c r="A205" s="316" t="s">
        <v>230</v>
      </c>
      <c r="B205" s="316" t="s">
        <v>229</v>
      </c>
      <c r="C205" s="316">
        <v>2.5116951862308508</v>
      </c>
      <c r="F205" s="316" t="s">
        <v>230</v>
      </c>
      <c r="G205" s="316" t="s">
        <v>229</v>
      </c>
      <c r="H205" s="316">
        <v>8.0077835986211596</v>
      </c>
    </row>
    <row r="206" spans="1:8" x14ac:dyDescent="0.25">
      <c r="A206" s="316" t="s">
        <v>230</v>
      </c>
      <c r="B206" s="316" t="s">
        <v>229</v>
      </c>
      <c r="C206" s="316">
        <v>1.2631686987118211</v>
      </c>
      <c r="F206" s="316" t="s">
        <v>230</v>
      </c>
      <c r="G206" s="316" t="s">
        <v>229</v>
      </c>
      <c r="H206" s="316">
        <v>9.565868189257495</v>
      </c>
    </row>
    <row r="207" spans="1:8" x14ac:dyDescent="0.25">
      <c r="A207" s="316" t="s">
        <v>230</v>
      </c>
      <c r="B207" s="316" t="s">
        <v>229</v>
      </c>
      <c r="C207" s="316">
        <v>10.219978005690685</v>
      </c>
      <c r="F207" s="316" t="s">
        <v>230</v>
      </c>
      <c r="G207" s="316" t="s">
        <v>229</v>
      </c>
      <c r="H207" s="316">
        <v>49.292306800487317</v>
      </c>
    </row>
    <row r="208" spans="1:8" x14ac:dyDescent="0.25">
      <c r="A208" s="316" t="s">
        <v>230</v>
      </c>
      <c r="B208" s="316" t="s">
        <v>229</v>
      </c>
      <c r="C208" s="316">
        <v>2.297144674542036E-2</v>
      </c>
      <c r="F208" s="316" t="s">
        <v>230</v>
      </c>
      <c r="G208" s="316" t="s">
        <v>229</v>
      </c>
      <c r="H208" s="316">
        <v>0.19627422028143171</v>
      </c>
    </row>
    <row r="209" spans="1:8" x14ac:dyDescent="0.25">
      <c r="A209" s="316" t="s">
        <v>230</v>
      </c>
      <c r="B209" s="316" t="s">
        <v>229</v>
      </c>
      <c r="C209" s="316">
        <v>0.73311123709061699</v>
      </c>
      <c r="F209" s="316" t="s">
        <v>230</v>
      </c>
      <c r="G209" s="316" t="s">
        <v>229</v>
      </c>
      <c r="H209" s="316">
        <v>2.5475584255332739</v>
      </c>
    </row>
    <row r="210" spans="1:8" x14ac:dyDescent="0.25">
      <c r="A210" s="316" t="s">
        <v>230</v>
      </c>
      <c r="B210" s="316" t="s">
        <v>229</v>
      </c>
      <c r="C210" s="316">
        <v>0.14171213571820113</v>
      </c>
      <c r="F210" s="316" t="s">
        <v>230</v>
      </c>
      <c r="G210" s="316" t="s">
        <v>229</v>
      </c>
      <c r="H210" s="316">
        <v>0.71745819804390365</v>
      </c>
    </row>
    <row r="211" spans="1:8" x14ac:dyDescent="0.25">
      <c r="A211" s="316" t="s">
        <v>230</v>
      </c>
      <c r="B211" s="316" t="s">
        <v>229</v>
      </c>
      <c r="C211" s="316">
        <v>2.6496415285493104E-2</v>
      </c>
      <c r="F211" s="316" t="s">
        <v>230</v>
      </c>
      <c r="G211" s="316" t="s">
        <v>229</v>
      </c>
      <c r="H211" s="316">
        <v>4.1517294974914166E-2</v>
      </c>
    </row>
    <row r="212" spans="1:8" x14ac:dyDescent="0.25">
      <c r="A212" s="316" t="s">
        <v>230</v>
      </c>
      <c r="B212" s="316" t="s">
        <v>229</v>
      </c>
      <c r="C212" s="316">
        <v>2.5808337020736486E-3</v>
      </c>
      <c r="F212" s="316" t="s">
        <v>230</v>
      </c>
      <c r="G212" s="316" t="s">
        <v>229</v>
      </c>
      <c r="H212" s="316">
        <v>1.7179676403214061E-2</v>
      </c>
    </row>
    <row r="213" spans="1:8" x14ac:dyDescent="0.25">
      <c r="A213" s="316" t="s">
        <v>230</v>
      </c>
      <c r="B213" s="316" t="s">
        <v>229</v>
      </c>
      <c r="C213" s="316">
        <v>0.11874519907161582</v>
      </c>
      <c r="F213" s="316" t="s">
        <v>230</v>
      </c>
      <c r="G213" s="316" t="s">
        <v>229</v>
      </c>
      <c r="H213" s="316">
        <v>0.20713107572794431</v>
      </c>
    </row>
    <row r="214" spans="1:8" x14ac:dyDescent="0.25">
      <c r="A214" s="316" t="s">
        <v>230</v>
      </c>
      <c r="B214" s="316" t="s">
        <v>229</v>
      </c>
      <c r="C214" s="316">
        <v>0.15108419562812381</v>
      </c>
      <c r="F214" s="316" t="s">
        <v>230</v>
      </c>
      <c r="G214" s="316" t="s">
        <v>229</v>
      </c>
      <c r="H214" s="316">
        <v>0.9478757442831145</v>
      </c>
    </row>
    <row r="215" spans="1:8" x14ac:dyDescent="0.25">
      <c r="A215" s="316" t="s">
        <v>230</v>
      </c>
      <c r="B215" s="316" t="s">
        <v>229</v>
      </c>
      <c r="C215" s="316">
        <v>0.29417034540311388</v>
      </c>
      <c r="F215" s="316" t="s">
        <v>230</v>
      </c>
      <c r="G215" s="316" t="s">
        <v>229</v>
      </c>
      <c r="H215" s="316">
        <v>1.5978372467882258</v>
      </c>
    </row>
    <row r="216" spans="1:8" x14ac:dyDescent="0.25">
      <c r="A216" s="316" t="s">
        <v>230</v>
      </c>
      <c r="B216" s="316" t="s">
        <v>229</v>
      </c>
      <c r="C216" s="316">
        <v>3.4127815024849809E-3</v>
      </c>
      <c r="F216" s="316" t="s">
        <v>230</v>
      </c>
      <c r="G216" s="316" t="s">
        <v>229</v>
      </c>
      <c r="H216" s="316">
        <v>3.2179468009648091E-2</v>
      </c>
    </row>
    <row r="217" spans="1:8" x14ac:dyDescent="0.25">
      <c r="A217" s="316" t="s">
        <v>230</v>
      </c>
      <c r="B217" s="316" t="s">
        <v>229</v>
      </c>
      <c r="C217" s="316">
        <v>0.24123801419437021</v>
      </c>
      <c r="F217" s="316" t="s">
        <v>230</v>
      </c>
      <c r="G217" s="316" t="s">
        <v>229</v>
      </c>
      <c r="H217" s="316">
        <v>1.9078295206698017</v>
      </c>
    </row>
    <row r="218" spans="1:8" x14ac:dyDescent="0.25">
      <c r="A218" s="316" t="s">
        <v>230</v>
      </c>
      <c r="B218" s="316" t="s">
        <v>229</v>
      </c>
      <c r="C218" s="316">
        <v>3.7688166680949369E-3</v>
      </c>
      <c r="F218" s="316" t="s">
        <v>230</v>
      </c>
      <c r="G218" s="316" t="s">
        <v>229</v>
      </c>
      <c r="H218" s="316">
        <v>6.0255911714244444E-3</v>
      </c>
    </row>
    <row r="219" spans="1:8" x14ac:dyDescent="0.25">
      <c r="A219" s="316" t="s">
        <v>230</v>
      </c>
      <c r="B219" s="316" t="s">
        <v>229</v>
      </c>
      <c r="C219" s="316">
        <v>6.4054964966365193E-3</v>
      </c>
      <c r="F219" s="316" t="s">
        <v>230</v>
      </c>
      <c r="G219" s="316" t="s">
        <v>229</v>
      </c>
      <c r="H219" s="316">
        <v>6.3863491992760521E-2</v>
      </c>
    </row>
    <row r="220" spans="1:8" x14ac:dyDescent="0.25">
      <c r="A220" s="316" t="s">
        <v>230</v>
      </c>
      <c r="B220" s="316" t="s">
        <v>229</v>
      </c>
      <c r="C220" s="316">
        <v>0.66459946602273212</v>
      </c>
      <c r="F220" s="316" t="s">
        <v>230</v>
      </c>
      <c r="G220" s="316" t="s">
        <v>229</v>
      </c>
      <c r="H220" s="316">
        <v>3.6154423372107032</v>
      </c>
    </row>
    <row r="221" spans="1:8" x14ac:dyDescent="0.25">
      <c r="A221" s="316" t="s">
        <v>230</v>
      </c>
      <c r="B221" s="316" t="s">
        <v>229</v>
      </c>
      <c r="C221" s="316">
        <v>0.26861468706347552</v>
      </c>
      <c r="F221" s="316" t="s">
        <v>230</v>
      </c>
      <c r="G221" s="316" t="s">
        <v>229</v>
      </c>
      <c r="H221" s="316">
        <v>1.9345391282247675</v>
      </c>
    </row>
    <row r="222" spans="1:8" x14ac:dyDescent="0.25">
      <c r="A222" s="316" t="s">
        <v>230</v>
      </c>
      <c r="B222" s="316" t="s">
        <v>229</v>
      </c>
      <c r="C222" s="316">
        <v>0.13614651483346132</v>
      </c>
      <c r="F222" s="316" t="s">
        <v>230</v>
      </c>
      <c r="G222" s="316" t="s">
        <v>229</v>
      </c>
      <c r="H222" s="316">
        <v>0.68267687688940293</v>
      </c>
    </row>
    <row r="223" spans="1:8" x14ac:dyDescent="0.25">
      <c r="A223" s="316" t="s">
        <v>230</v>
      </c>
      <c r="B223" s="316" t="s">
        <v>229</v>
      </c>
      <c r="C223" s="316">
        <v>0.11760322224467262</v>
      </c>
      <c r="F223" s="316" t="s">
        <v>230</v>
      </c>
      <c r="G223" s="316" t="s">
        <v>229</v>
      </c>
      <c r="H223" s="316">
        <v>0.89932554375874252</v>
      </c>
    </row>
    <row r="224" spans="1:8" x14ac:dyDescent="0.25">
      <c r="A224" s="316" t="s">
        <v>230</v>
      </c>
      <c r="B224" s="316" t="s">
        <v>229</v>
      </c>
      <c r="C224" s="316">
        <v>0.71455250436654683</v>
      </c>
      <c r="F224" s="316" t="s">
        <v>230</v>
      </c>
      <c r="G224" s="316" t="s">
        <v>229</v>
      </c>
      <c r="H224" s="316">
        <v>3.9547663688781842</v>
      </c>
    </row>
    <row r="225" spans="1:8" x14ac:dyDescent="0.25">
      <c r="A225" s="316" t="s">
        <v>230</v>
      </c>
      <c r="B225" s="316" t="s">
        <v>229</v>
      </c>
      <c r="C225" s="316">
        <v>1.4743237449972222E-2</v>
      </c>
      <c r="F225" s="316" t="s">
        <v>230</v>
      </c>
      <c r="G225" s="316" t="s">
        <v>229</v>
      </c>
      <c r="H225" s="316">
        <v>0.12549478274070641</v>
      </c>
    </row>
    <row r="226" spans="1:8" x14ac:dyDescent="0.25">
      <c r="A226" s="316" t="s">
        <v>230</v>
      </c>
      <c r="B226" s="316" t="s">
        <v>229</v>
      </c>
      <c r="C226" s="316">
        <v>9.0766224501229771E-7</v>
      </c>
      <c r="F226" s="316" t="s">
        <v>230</v>
      </c>
      <c r="G226" s="316" t="s">
        <v>229</v>
      </c>
      <c r="H226" s="316">
        <v>3.0892206114462996E-5</v>
      </c>
    </row>
    <row r="227" spans="1:8" x14ac:dyDescent="0.25">
      <c r="A227" s="316" t="s">
        <v>230</v>
      </c>
      <c r="B227" s="316" t="s">
        <v>229</v>
      </c>
      <c r="C227" s="316">
        <v>4.4253382685717518E-2</v>
      </c>
      <c r="F227" s="316" t="s">
        <v>230</v>
      </c>
      <c r="G227" s="316" t="s">
        <v>229</v>
      </c>
      <c r="H227" s="316">
        <v>0.43091811071427427</v>
      </c>
    </row>
    <row r="228" spans="1:8" x14ac:dyDescent="0.25">
      <c r="A228" s="316" t="s">
        <v>230</v>
      </c>
      <c r="B228" s="316" t="s">
        <v>229</v>
      </c>
      <c r="C228" s="316">
        <v>2.1852811563331548E-2</v>
      </c>
      <c r="F228" s="316" t="s">
        <v>230</v>
      </c>
      <c r="G228" s="316" t="s">
        <v>229</v>
      </c>
      <c r="H228" s="316">
        <v>0.13617884680910666</v>
      </c>
    </row>
    <row r="229" spans="1:8" x14ac:dyDescent="0.25">
      <c r="A229" s="316" t="s">
        <v>230</v>
      </c>
      <c r="B229" s="316" t="s">
        <v>229</v>
      </c>
      <c r="C229" s="316">
        <v>5.727166108226474E-6</v>
      </c>
      <c r="F229" s="316" t="s">
        <v>230</v>
      </c>
      <c r="G229" s="316" t="s">
        <v>229</v>
      </c>
      <c r="H229" s="316">
        <v>5.2029144829808221E-5</v>
      </c>
    </row>
    <row r="230" spans="1:8" x14ac:dyDescent="0.25">
      <c r="A230" s="316" t="s">
        <v>230</v>
      </c>
      <c r="B230" s="316" t="s">
        <v>229</v>
      </c>
      <c r="C230" s="316">
        <v>0.32991105895559825</v>
      </c>
      <c r="F230" s="316" t="s">
        <v>230</v>
      </c>
      <c r="G230" s="316" t="s">
        <v>229</v>
      </c>
      <c r="H230" s="316">
        <v>2.0765163855637039</v>
      </c>
    </row>
    <row r="231" spans="1:8" x14ac:dyDescent="0.25">
      <c r="A231" s="316" t="s">
        <v>230</v>
      </c>
      <c r="B231" s="316" t="s">
        <v>229</v>
      </c>
      <c r="C231" s="316">
        <v>0.45564397000020057</v>
      </c>
      <c r="F231" s="316" t="s">
        <v>230</v>
      </c>
      <c r="G231" s="316" t="s">
        <v>229</v>
      </c>
      <c r="H231" s="316">
        <v>3.12848476248229</v>
      </c>
    </row>
    <row r="232" spans="1:8" x14ac:dyDescent="0.25">
      <c r="A232" s="316" t="s">
        <v>230</v>
      </c>
      <c r="B232" s="316" t="s">
        <v>229</v>
      </c>
      <c r="C232" s="316">
        <v>0.18819686734484509</v>
      </c>
      <c r="F232" s="316" t="s">
        <v>230</v>
      </c>
      <c r="G232" s="316" t="s">
        <v>229</v>
      </c>
      <c r="H232" s="316">
        <v>0.60215712948528199</v>
      </c>
    </row>
    <row r="233" spans="1:8" x14ac:dyDescent="0.25">
      <c r="A233" s="316" t="s">
        <v>230</v>
      </c>
      <c r="B233" s="316" t="s">
        <v>229</v>
      </c>
      <c r="C233" s="316">
        <v>0.20643570196638028</v>
      </c>
      <c r="F233" s="316" t="s">
        <v>230</v>
      </c>
      <c r="G233" s="316" t="s">
        <v>229</v>
      </c>
      <c r="H233" s="316">
        <v>1.5013972958986943</v>
      </c>
    </row>
    <row r="234" spans="1:8" x14ac:dyDescent="0.25">
      <c r="A234" s="316" t="s">
        <v>230</v>
      </c>
      <c r="B234" s="316" t="s">
        <v>229</v>
      </c>
      <c r="C234" s="316">
        <v>0.24342460861518259</v>
      </c>
      <c r="F234" s="316" t="s">
        <v>230</v>
      </c>
      <c r="G234" s="316" t="s">
        <v>229</v>
      </c>
      <c r="H234" s="316">
        <v>1.8963466821416208</v>
      </c>
    </row>
    <row r="235" spans="1:8" x14ac:dyDescent="0.25">
      <c r="A235" s="316" t="s">
        <v>230</v>
      </c>
      <c r="B235" s="316" t="s">
        <v>229</v>
      </c>
      <c r="C235" s="316">
        <v>0.52601210348660965</v>
      </c>
      <c r="F235" s="316" t="s">
        <v>230</v>
      </c>
      <c r="G235" s="316" t="s">
        <v>229</v>
      </c>
      <c r="H235" s="316">
        <v>3.0167428075468967</v>
      </c>
    </row>
    <row r="236" spans="1:8" x14ac:dyDescent="0.25">
      <c r="A236" s="316" t="s">
        <v>230</v>
      </c>
      <c r="B236" s="316" t="s">
        <v>229</v>
      </c>
      <c r="C236" s="316">
        <v>0.41321901460794747</v>
      </c>
      <c r="F236" s="316" t="s">
        <v>230</v>
      </c>
      <c r="G236" s="316" t="s">
        <v>229</v>
      </c>
      <c r="H236" s="316">
        <v>3.6424286249300013</v>
      </c>
    </row>
    <row r="237" spans="1:8" x14ac:dyDescent="0.25">
      <c r="A237" s="316" t="s">
        <v>230</v>
      </c>
      <c r="B237" s="316" t="s">
        <v>229</v>
      </c>
      <c r="C237" s="316">
        <v>2.2242620246120958E-2</v>
      </c>
      <c r="F237" s="316" t="s">
        <v>230</v>
      </c>
      <c r="G237" s="316" t="s">
        <v>229</v>
      </c>
      <c r="H237" s="316">
        <v>0.24192847226627642</v>
      </c>
    </row>
    <row r="238" spans="1:8" x14ac:dyDescent="0.25">
      <c r="A238" s="316" t="s">
        <v>230</v>
      </c>
      <c r="B238" s="316" t="s">
        <v>229</v>
      </c>
      <c r="C238" s="316">
        <v>0.18036194671517211</v>
      </c>
      <c r="F238" s="316" t="s">
        <v>230</v>
      </c>
      <c r="G238" s="316" t="s">
        <v>229</v>
      </c>
      <c r="H238" s="316">
        <v>1.7320392539068572</v>
      </c>
    </row>
    <row r="239" spans="1:8" x14ac:dyDescent="0.25">
      <c r="A239" s="316" t="s">
        <v>230</v>
      </c>
      <c r="B239" s="316" t="s">
        <v>229</v>
      </c>
      <c r="C239" s="316">
        <v>2.3536738255235615E-2</v>
      </c>
      <c r="F239" s="316" t="s">
        <v>230</v>
      </c>
      <c r="G239" s="316" t="s">
        <v>229</v>
      </c>
      <c r="H239" s="316">
        <v>0.22197226884129614</v>
      </c>
    </row>
    <row r="240" spans="1:8" x14ac:dyDescent="0.25">
      <c r="A240" s="316" t="s">
        <v>230</v>
      </c>
      <c r="B240" s="316" t="s">
        <v>229</v>
      </c>
      <c r="C240" s="316">
        <v>0.86849928762656914</v>
      </c>
      <c r="F240" s="316" t="s">
        <v>230</v>
      </c>
      <c r="G240" s="316" t="s">
        <v>229</v>
      </c>
      <c r="H240" s="316">
        <v>8.4652965830910514</v>
      </c>
    </row>
    <row r="241" spans="1:8" x14ac:dyDescent="0.25">
      <c r="A241" s="316" t="s">
        <v>230</v>
      </c>
      <c r="B241" s="316" t="s">
        <v>229</v>
      </c>
      <c r="C241" s="316">
        <v>0.17867748251617482</v>
      </c>
      <c r="F241" s="316" t="s">
        <v>230</v>
      </c>
      <c r="G241" s="316" t="s">
        <v>229</v>
      </c>
      <c r="H241" s="316">
        <v>3.5882229867083586</v>
      </c>
    </row>
    <row r="242" spans="1:8" x14ac:dyDescent="0.25">
      <c r="A242" s="316" t="s">
        <v>230</v>
      </c>
      <c r="B242" s="316" t="s">
        <v>229</v>
      </c>
      <c r="C242" s="316">
        <v>1.9549310009920701E-4</v>
      </c>
      <c r="F242" s="316" t="s">
        <v>230</v>
      </c>
      <c r="G242" s="316" t="s">
        <v>229</v>
      </c>
      <c r="H242" s="316">
        <v>5.5656955898107988E-4</v>
      </c>
    </row>
    <row r="243" spans="1:8" x14ac:dyDescent="0.25">
      <c r="A243" s="316" t="s">
        <v>230</v>
      </c>
      <c r="B243" s="316" t="s">
        <v>229</v>
      </c>
      <c r="C243" s="316">
        <v>1.344179231467519E-2</v>
      </c>
      <c r="F243" s="316" t="s">
        <v>230</v>
      </c>
      <c r="G243" s="316" t="s">
        <v>229</v>
      </c>
      <c r="H243" s="316">
        <v>4.4693285887286681E-2</v>
      </c>
    </row>
    <row r="244" spans="1:8" x14ac:dyDescent="0.25">
      <c r="A244" s="316" t="s">
        <v>230</v>
      </c>
      <c r="B244" s="316" t="s">
        <v>229</v>
      </c>
      <c r="C244" s="316">
        <v>1.196869316601876E-2</v>
      </c>
      <c r="F244" s="316" t="s">
        <v>230</v>
      </c>
      <c r="G244" s="316" t="s">
        <v>229</v>
      </c>
      <c r="H244" s="316">
        <v>1.9589301477260072E-2</v>
      </c>
    </row>
    <row r="245" spans="1:8" x14ac:dyDescent="0.25">
      <c r="A245" s="316" t="s">
        <v>230</v>
      </c>
      <c r="B245" s="316" t="s">
        <v>229</v>
      </c>
      <c r="C245" s="316">
        <v>1.209069238966669E-2</v>
      </c>
      <c r="F245" s="316" t="s">
        <v>230</v>
      </c>
      <c r="G245" s="316" t="s">
        <v>229</v>
      </c>
      <c r="H245" s="316">
        <v>0.11131208309262955</v>
      </c>
    </row>
    <row r="246" spans="1:8" x14ac:dyDescent="0.25">
      <c r="A246" s="316" t="s">
        <v>230</v>
      </c>
      <c r="B246" s="316" t="s">
        <v>229</v>
      </c>
      <c r="C246" s="316">
        <v>1.021789706509915E-3</v>
      </c>
      <c r="F246" s="316" t="s">
        <v>230</v>
      </c>
      <c r="G246" s="316" t="s">
        <v>229</v>
      </c>
      <c r="H246" s="316">
        <v>1.4252244259864164E-2</v>
      </c>
    </row>
    <row r="247" spans="1:8" x14ac:dyDescent="0.25">
      <c r="A247" s="316" t="s">
        <v>230</v>
      </c>
      <c r="B247" s="316" t="s">
        <v>229</v>
      </c>
      <c r="C247" s="316">
        <v>0.20484099526997376</v>
      </c>
      <c r="F247" s="316" t="s">
        <v>230</v>
      </c>
      <c r="G247" s="316" t="s">
        <v>229</v>
      </c>
      <c r="H247" s="316">
        <v>1.8577589158808581</v>
      </c>
    </row>
    <row r="248" spans="1:8" x14ac:dyDescent="0.25">
      <c r="A248" s="316" t="s">
        <v>230</v>
      </c>
      <c r="B248" s="316" t="s">
        <v>229</v>
      </c>
      <c r="C248" s="316">
        <v>0.11530185252006142</v>
      </c>
      <c r="F248" s="316" t="s">
        <v>230</v>
      </c>
      <c r="G248" s="316" t="s">
        <v>229</v>
      </c>
      <c r="H248" s="316">
        <v>0.89465840966394561</v>
      </c>
    </row>
    <row r="249" spans="1:8" x14ac:dyDescent="0.25">
      <c r="A249" s="316" t="s">
        <v>230</v>
      </c>
      <c r="B249" s="316" t="s">
        <v>229</v>
      </c>
      <c r="C249" s="316">
        <v>2.6264771885132845E-2</v>
      </c>
      <c r="F249" s="316" t="s">
        <v>230</v>
      </c>
      <c r="G249" s="316" t="s">
        <v>229</v>
      </c>
      <c r="H249" s="316">
        <v>0.2362394888689128</v>
      </c>
    </row>
    <row r="250" spans="1:8" x14ac:dyDescent="0.25">
      <c r="A250" s="316" t="s">
        <v>230</v>
      </c>
      <c r="B250" s="316" t="s">
        <v>229</v>
      </c>
      <c r="C250" s="316">
        <v>1.9301599459237946</v>
      </c>
      <c r="F250" s="316" t="s">
        <v>230</v>
      </c>
      <c r="G250" s="316" t="s">
        <v>229</v>
      </c>
      <c r="H250" s="316">
        <v>14.132728102901943</v>
      </c>
    </row>
    <row r="251" spans="1:8" x14ac:dyDescent="0.25">
      <c r="A251" s="316" t="s">
        <v>230</v>
      </c>
      <c r="B251" s="316" t="s">
        <v>229</v>
      </c>
      <c r="C251" s="316">
        <v>1.6691141688681983</v>
      </c>
      <c r="F251" s="316" t="s">
        <v>230</v>
      </c>
      <c r="G251" s="316" t="s">
        <v>229</v>
      </c>
      <c r="H251" s="316">
        <v>9.3326614363497153</v>
      </c>
    </row>
    <row r="252" spans="1:8" x14ac:dyDescent="0.25">
      <c r="A252" s="316" t="s">
        <v>230</v>
      </c>
      <c r="B252" s="316" t="s">
        <v>229</v>
      </c>
      <c r="C252" s="316">
        <v>5.0243706954505765E-4</v>
      </c>
      <c r="F252" s="316" t="s">
        <v>230</v>
      </c>
      <c r="G252" s="316" t="s">
        <v>229</v>
      </c>
      <c r="H252" s="316">
        <v>3.8122049780407062E-3</v>
      </c>
    </row>
    <row r="253" spans="1:8" x14ac:dyDescent="0.25">
      <c r="A253" s="316" t="s">
        <v>230</v>
      </c>
      <c r="B253" s="316" t="s">
        <v>229</v>
      </c>
      <c r="C253" s="316">
        <v>0.30603941605453738</v>
      </c>
      <c r="F253" s="316" t="s">
        <v>230</v>
      </c>
      <c r="G253" s="316" t="s">
        <v>229</v>
      </c>
      <c r="H253" s="316">
        <v>0.49379798367967936</v>
      </c>
    </row>
    <row r="254" spans="1:8" x14ac:dyDescent="0.25">
      <c r="A254" s="316" t="s">
        <v>230</v>
      </c>
      <c r="B254" s="316" t="s">
        <v>229</v>
      </c>
      <c r="C254" s="316">
        <v>0.35531230207454556</v>
      </c>
      <c r="F254" s="316" t="s">
        <v>230</v>
      </c>
      <c r="G254" s="316" t="s">
        <v>229</v>
      </c>
      <c r="H254" s="316">
        <v>3.1218805943392294</v>
      </c>
    </row>
    <row r="255" spans="1:8" x14ac:dyDescent="0.25">
      <c r="A255" s="316" t="s">
        <v>230</v>
      </c>
      <c r="B255" s="316" t="s">
        <v>229</v>
      </c>
      <c r="C255" s="316">
        <v>0.50203336723026315</v>
      </c>
      <c r="F255" s="316" t="s">
        <v>230</v>
      </c>
      <c r="G255" s="316" t="s">
        <v>229</v>
      </c>
      <c r="H255" s="316">
        <v>4.0321136522895884</v>
      </c>
    </row>
    <row r="256" spans="1:8" x14ac:dyDescent="0.25">
      <c r="A256" s="316" t="s">
        <v>230</v>
      </c>
      <c r="B256" s="316" t="s">
        <v>229</v>
      </c>
      <c r="C256" s="316">
        <v>1.1613043869371511</v>
      </c>
      <c r="F256" s="316" t="s">
        <v>230</v>
      </c>
      <c r="G256" s="316" t="s">
        <v>229</v>
      </c>
      <c r="H256" s="316">
        <v>5.0310711780168651</v>
      </c>
    </row>
    <row r="257" spans="1:8" x14ac:dyDescent="0.25">
      <c r="A257" s="316" t="s">
        <v>230</v>
      </c>
      <c r="B257" s="316" t="s">
        <v>229</v>
      </c>
      <c r="C257" s="316">
        <v>1.3763517502024982E-2</v>
      </c>
      <c r="F257" s="316" t="s">
        <v>230</v>
      </c>
      <c r="G257" s="316" t="s">
        <v>229</v>
      </c>
      <c r="H257" s="316">
        <v>2.6426336992450269E-2</v>
      </c>
    </row>
    <row r="258" spans="1:8" x14ac:dyDescent="0.25">
      <c r="A258" s="316" t="s">
        <v>230</v>
      </c>
      <c r="B258" s="316" t="s">
        <v>229</v>
      </c>
      <c r="C258" s="316">
        <v>9.2066265450327488E-3</v>
      </c>
      <c r="F258" s="316" t="s">
        <v>230</v>
      </c>
      <c r="G258" s="316" t="s">
        <v>229</v>
      </c>
      <c r="H258" s="316">
        <v>9.1608899057983528E-2</v>
      </c>
    </row>
    <row r="259" spans="1:8" x14ac:dyDescent="0.25">
      <c r="A259" s="316" t="s">
        <v>230</v>
      </c>
      <c r="B259" s="316" t="s">
        <v>229</v>
      </c>
      <c r="C259" s="316">
        <v>1.2586498512682895</v>
      </c>
      <c r="F259" s="316" t="s">
        <v>230</v>
      </c>
      <c r="G259" s="316" t="s">
        <v>229</v>
      </c>
      <c r="H259" s="316">
        <v>9.0315248574519202</v>
      </c>
    </row>
    <row r="260" spans="1:8" x14ac:dyDescent="0.25">
      <c r="A260" s="316" t="s">
        <v>230</v>
      </c>
      <c r="B260" s="316" t="s">
        <v>229</v>
      </c>
      <c r="C260" s="316">
        <v>0.1276563896596847</v>
      </c>
      <c r="F260" s="316" t="s">
        <v>230</v>
      </c>
      <c r="G260" s="316" t="s">
        <v>229</v>
      </c>
      <c r="H260" s="316">
        <v>0.49427929474768906</v>
      </c>
    </row>
    <row r="261" spans="1:8" x14ac:dyDescent="0.25">
      <c r="A261" s="316" t="s">
        <v>230</v>
      </c>
      <c r="B261" s="316" t="s">
        <v>229</v>
      </c>
      <c r="C261" s="316">
        <v>2.4978138002826598E-3</v>
      </c>
      <c r="F261" s="316" t="s">
        <v>230</v>
      </c>
      <c r="G261" s="316" t="s">
        <v>229</v>
      </c>
      <c r="H261" s="316">
        <v>7.9572036259457184E-3</v>
      </c>
    </row>
    <row r="262" spans="1:8" x14ac:dyDescent="0.25">
      <c r="A262" s="316" t="s">
        <v>230</v>
      </c>
      <c r="B262" s="316" t="s">
        <v>229</v>
      </c>
      <c r="C262" s="316">
        <v>0.32012002555722974</v>
      </c>
      <c r="F262" s="316" t="s">
        <v>230</v>
      </c>
      <c r="G262" s="316" t="s">
        <v>229</v>
      </c>
      <c r="H262" s="316">
        <v>1.4344147164291337</v>
      </c>
    </row>
    <row r="263" spans="1:8" x14ac:dyDescent="0.25">
      <c r="A263" s="316" t="s">
        <v>230</v>
      </c>
      <c r="B263" s="316" t="s">
        <v>229</v>
      </c>
      <c r="C263" s="316">
        <v>5.3925820030671888E-3</v>
      </c>
      <c r="F263" s="316" t="s">
        <v>230</v>
      </c>
      <c r="G263" s="316" t="s">
        <v>229</v>
      </c>
      <c r="H263" s="316">
        <v>2.4564182214140046E-2</v>
      </c>
    </row>
    <row r="264" spans="1:8" x14ac:dyDescent="0.25">
      <c r="A264" s="316" t="s">
        <v>230</v>
      </c>
      <c r="B264" s="316" t="s">
        <v>229</v>
      </c>
      <c r="C264" s="316">
        <v>1.3580231538451752E-5</v>
      </c>
      <c r="F264" s="316" t="s">
        <v>230</v>
      </c>
      <c r="G264" s="316" t="s">
        <v>229</v>
      </c>
      <c r="H264" s="316">
        <v>2.9629234850722833E-5</v>
      </c>
    </row>
    <row r="265" spans="1:8" x14ac:dyDescent="0.25">
      <c r="A265" s="316" t="s">
        <v>230</v>
      </c>
      <c r="B265" s="316" t="s">
        <v>229</v>
      </c>
      <c r="C265" s="316">
        <v>5.2283655899739373E-3</v>
      </c>
      <c r="F265" s="316" t="s">
        <v>230</v>
      </c>
      <c r="G265" s="316" t="s">
        <v>229</v>
      </c>
      <c r="H265" s="316">
        <v>1.3223776439545422E-2</v>
      </c>
    </row>
    <row r="266" spans="1:8" x14ac:dyDescent="0.25">
      <c r="A266" s="316" t="s">
        <v>230</v>
      </c>
      <c r="B266" s="316" t="s">
        <v>229</v>
      </c>
      <c r="C266" s="316">
        <v>0.28312271770947006</v>
      </c>
      <c r="F266" s="316" t="s">
        <v>230</v>
      </c>
      <c r="G266" s="316" t="s">
        <v>229</v>
      </c>
      <c r="H266" s="316">
        <v>1.2571211295867688</v>
      </c>
    </row>
    <row r="267" spans="1:8" x14ac:dyDescent="0.25">
      <c r="A267" s="316" t="s">
        <v>230</v>
      </c>
      <c r="B267" s="316" t="s">
        <v>229</v>
      </c>
      <c r="C267" s="316">
        <v>1.0089866725821417</v>
      </c>
      <c r="F267" s="316" t="s">
        <v>230</v>
      </c>
      <c r="G267" s="316" t="s">
        <v>229</v>
      </c>
      <c r="H267" s="316">
        <v>2.6065842913493769</v>
      </c>
    </row>
    <row r="268" spans="1:8" x14ac:dyDescent="0.25">
      <c r="A268" s="316" t="s">
        <v>230</v>
      </c>
      <c r="B268" s="316" t="s">
        <v>229</v>
      </c>
      <c r="C268" s="316">
        <v>1.8035227693370413E-4</v>
      </c>
      <c r="F268" s="316" t="s">
        <v>230</v>
      </c>
      <c r="G268" s="316" t="s">
        <v>229</v>
      </c>
      <c r="H268" s="316">
        <v>7.7144815087016021E-4</v>
      </c>
    </row>
    <row r="269" spans="1:8" x14ac:dyDescent="0.25">
      <c r="A269" s="316" t="s">
        <v>230</v>
      </c>
      <c r="B269" s="316" t="s">
        <v>229</v>
      </c>
      <c r="C269" s="316">
        <v>1.4376831865144719E-2</v>
      </c>
      <c r="F269" s="316" t="s">
        <v>230</v>
      </c>
      <c r="G269" s="316" t="s">
        <v>229</v>
      </c>
      <c r="H269" s="316">
        <v>6.5971397563907713E-2</v>
      </c>
    </row>
    <row r="270" spans="1:8" x14ac:dyDescent="0.25">
      <c r="A270" s="316" t="s">
        <v>230</v>
      </c>
      <c r="B270" s="316" t="s">
        <v>229</v>
      </c>
      <c r="C270" s="316">
        <v>4.5503197204998597E-2</v>
      </c>
      <c r="F270" s="316" t="s">
        <v>230</v>
      </c>
      <c r="G270" s="316" t="s">
        <v>229</v>
      </c>
      <c r="H270" s="316">
        <v>0.47386163882719495</v>
      </c>
    </row>
    <row r="271" spans="1:8" x14ac:dyDescent="0.25">
      <c r="A271" s="316" t="s">
        <v>230</v>
      </c>
      <c r="B271" s="316" t="s">
        <v>229</v>
      </c>
      <c r="C271" s="316">
        <v>8.6038569974878007E-3</v>
      </c>
      <c r="F271" s="316" t="s">
        <v>230</v>
      </c>
      <c r="G271" s="316" t="s">
        <v>229</v>
      </c>
      <c r="H271" s="316">
        <v>3.4346468140873297E-2</v>
      </c>
    </row>
    <row r="272" spans="1:8" x14ac:dyDescent="0.25">
      <c r="A272" s="316" t="s">
        <v>230</v>
      </c>
      <c r="B272" s="316" t="s">
        <v>229</v>
      </c>
      <c r="C272" s="316">
        <v>0.14019179177457544</v>
      </c>
      <c r="F272" s="316" t="s">
        <v>230</v>
      </c>
      <c r="G272" s="316" t="s">
        <v>229</v>
      </c>
      <c r="H272" s="316">
        <v>1.5898469580357486</v>
      </c>
    </row>
    <row r="273" spans="1:8" x14ac:dyDescent="0.25">
      <c r="A273" s="316" t="s">
        <v>230</v>
      </c>
      <c r="B273" s="316" t="s">
        <v>229</v>
      </c>
      <c r="C273" s="316">
        <v>0.95634401810708014</v>
      </c>
      <c r="F273" s="316" t="s">
        <v>230</v>
      </c>
      <c r="G273" s="316" t="s">
        <v>229</v>
      </c>
      <c r="H273" s="316">
        <v>4.3752562012436496</v>
      </c>
    </row>
    <row r="274" spans="1:8" x14ac:dyDescent="0.25">
      <c r="A274" s="316" t="s">
        <v>230</v>
      </c>
      <c r="B274" s="316" t="s">
        <v>229</v>
      </c>
      <c r="C274" s="316">
        <v>4.8314294917527955E-3</v>
      </c>
      <c r="F274" s="316" t="s">
        <v>230</v>
      </c>
      <c r="G274" s="316" t="s">
        <v>229</v>
      </c>
      <c r="H274" s="316">
        <v>3.9704708083160414E-2</v>
      </c>
    </row>
    <row r="275" spans="1:8" x14ac:dyDescent="0.25">
      <c r="A275" s="316" t="s">
        <v>230</v>
      </c>
      <c r="B275" s="316" t="s">
        <v>229</v>
      </c>
      <c r="C275" s="316">
        <v>1.7476557152106924</v>
      </c>
      <c r="F275" s="316" t="s">
        <v>230</v>
      </c>
      <c r="G275" s="316" t="s">
        <v>229</v>
      </c>
      <c r="H275" s="316">
        <v>17.013724686198664</v>
      </c>
    </row>
    <row r="276" spans="1:8" x14ac:dyDescent="0.25">
      <c r="A276" s="316" t="s">
        <v>230</v>
      </c>
      <c r="B276" s="316" t="s">
        <v>229</v>
      </c>
      <c r="C276" s="316">
        <v>247.24112253619808</v>
      </c>
      <c r="F276" s="316" t="s">
        <v>230</v>
      </c>
      <c r="G276" s="316" t="s">
        <v>229</v>
      </c>
      <c r="H276" s="316">
        <v>1404.0347812635976</v>
      </c>
    </row>
    <row r="277" spans="1:8" x14ac:dyDescent="0.25">
      <c r="A277" s="316" t="s">
        <v>230</v>
      </c>
      <c r="B277" s="316" t="s">
        <v>229</v>
      </c>
      <c r="C277" s="316">
        <v>291.90239040365054</v>
      </c>
      <c r="F277" s="316" t="s">
        <v>230</v>
      </c>
      <c r="G277" s="316" t="s">
        <v>229</v>
      </c>
      <c r="H277" s="316">
        <v>2191.9751052161564</v>
      </c>
    </row>
    <row r="278" spans="1:8" x14ac:dyDescent="0.25">
      <c r="A278" s="316" t="s">
        <v>230</v>
      </c>
      <c r="B278" s="316" t="s">
        <v>229</v>
      </c>
      <c r="C278" s="316">
        <v>3.3455254527093484E-2</v>
      </c>
      <c r="F278" s="316" t="s">
        <v>230</v>
      </c>
      <c r="G278" s="316" t="s">
        <v>229</v>
      </c>
      <c r="H278" s="316">
        <v>0.29039151800699736</v>
      </c>
    </row>
    <row r="279" spans="1:8" x14ac:dyDescent="0.25">
      <c r="A279" s="316" t="s">
        <v>230</v>
      </c>
      <c r="B279" s="316" t="s">
        <v>229</v>
      </c>
      <c r="C279" s="316">
        <v>9.59269566659205</v>
      </c>
      <c r="F279" s="316" t="s">
        <v>230</v>
      </c>
      <c r="G279" s="316" t="s">
        <v>229</v>
      </c>
      <c r="H279" s="316">
        <v>38.183814896408478</v>
      </c>
    </row>
    <row r="280" spans="1:8" x14ac:dyDescent="0.25">
      <c r="A280" s="316" t="s">
        <v>230</v>
      </c>
      <c r="B280" s="316" t="s">
        <v>229</v>
      </c>
      <c r="C280" s="316">
        <v>8.2319909315325237</v>
      </c>
      <c r="F280" s="316" t="s">
        <v>230</v>
      </c>
      <c r="G280" s="316" t="s">
        <v>229</v>
      </c>
      <c r="H280" s="316">
        <v>33.481642745251492</v>
      </c>
    </row>
    <row r="281" spans="1:8" x14ac:dyDescent="0.25">
      <c r="A281" s="316" t="s">
        <v>230</v>
      </c>
      <c r="B281" s="316" t="s">
        <v>229</v>
      </c>
      <c r="C281" s="316">
        <v>31.243981580591033</v>
      </c>
      <c r="F281" s="316" t="s">
        <v>230</v>
      </c>
      <c r="G281" s="316" t="s">
        <v>229</v>
      </c>
      <c r="H281" s="316">
        <v>243.3449656043139</v>
      </c>
    </row>
    <row r="282" spans="1:8" x14ac:dyDescent="0.25">
      <c r="A282" s="316" t="s">
        <v>230</v>
      </c>
      <c r="B282" s="316" t="s">
        <v>229</v>
      </c>
      <c r="C282" s="316">
        <v>2.8618550376597912E-2</v>
      </c>
      <c r="F282" s="316" t="s">
        <v>230</v>
      </c>
      <c r="G282" s="316" t="s">
        <v>229</v>
      </c>
      <c r="H282" s="316">
        <v>0.24067231102463657</v>
      </c>
    </row>
    <row r="283" spans="1:8" x14ac:dyDescent="0.25">
      <c r="A283" s="316" t="s">
        <v>230</v>
      </c>
      <c r="B283" s="316" t="s">
        <v>229</v>
      </c>
      <c r="C283" s="316">
        <v>28.146504848556592</v>
      </c>
      <c r="F283" s="316" t="s">
        <v>230</v>
      </c>
      <c r="G283" s="316" t="s">
        <v>229</v>
      </c>
      <c r="H283" s="316">
        <v>158.50150120378387</v>
      </c>
    </row>
    <row r="284" spans="1:8" x14ac:dyDescent="0.25">
      <c r="A284" s="316" t="s">
        <v>230</v>
      </c>
      <c r="B284" s="316" t="s">
        <v>229</v>
      </c>
      <c r="C284" s="316">
        <v>109.44744112489401</v>
      </c>
      <c r="F284" s="316" t="s">
        <v>230</v>
      </c>
      <c r="G284" s="316" t="s">
        <v>229</v>
      </c>
      <c r="H284" s="316">
        <v>558.16497261708616</v>
      </c>
    </row>
    <row r="285" spans="1:8" x14ac:dyDescent="0.25">
      <c r="A285" s="316" t="s">
        <v>230</v>
      </c>
      <c r="B285" s="316" t="s">
        <v>229</v>
      </c>
      <c r="C285" s="316">
        <v>1.4526442209782728</v>
      </c>
      <c r="F285" s="316" t="s">
        <v>230</v>
      </c>
      <c r="G285" s="316" t="s">
        <v>229</v>
      </c>
      <c r="H285" s="316">
        <v>10.253868911331223</v>
      </c>
    </row>
    <row r="286" spans="1:8" x14ac:dyDescent="0.25">
      <c r="A286" s="316" t="s">
        <v>230</v>
      </c>
      <c r="B286" s="316" t="s">
        <v>229</v>
      </c>
      <c r="C286" s="316">
        <v>3.4660400663947336E-2</v>
      </c>
      <c r="F286" s="316" t="s">
        <v>230</v>
      </c>
      <c r="G286" s="316" t="s">
        <v>229</v>
      </c>
      <c r="H286" s="316">
        <v>0.39594644112479049</v>
      </c>
    </row>
    <row r="287" spans="1:8" x14ac:dyDescent="0.25">
      <c r="A287" s="316" t="s">
        <v>230</v>
      </c>
      <c r="B287" s="316" t="s">
        <v>229</v>
      </c>
      <c r="C287" s="316">
        <v>8.656929770673838E-3</v>
      </c>
      <c r="F287" s="316" t="s">
        <v>230</v>
      </c>
      <c r="G287" s="316" t="s">
        <v>229</v>
      </c>
      <c r="H287" s="316">
        <v>0.23086199691389539</v>
      </c>
    </row>
    <row r="288" spans="1:8" x14ac:dyDescent="0.25">
      <c r="A288" s="316" t="s">
        <v>230</v>
      </c>
      <c r="B288" s="316" t="s">
        <v>229</v>
      </c>
      <c r="C288" s="316">
        <v>1.6143346290773749E-3</v>
      </c>
      <c r="F288" s="316" t="s">
        <v>230</v>
      </c>
      <c r="G288" s="316" t="s">
        <v>229</v>
      </c>
      <c r="H288" s="316">
        <v>1.4145412237007446E-2</v>
      </c>
    </row>
    <row r="289" spans="1:8" x14ac:dyDescent="0.25">
      <c r="A289" s="316" t="s">
        <v>230</v>
      </c>
      <c r="B289" s="316" t="s">
        <v>229</v>
      </c>
      <c r="C289" s="316">
        <v>0.18200177743514032</v>
      </c>
      <c r="F289" s="316" t="s">
        <v>230</v>
      </c>
      <c r="G289" s="316" t="s">
        <v>229</v>
      </c>
      <c r="H289" s="316">
        <v>0.65967782006462794</v>
      </c>
    </row>
    <row r="290" spans="1:8" x14ac:dyDescent="0.25">
      <c r="A290" s="316" t="s">
        <v>230</v>
      </c>
      <c r="B290" s="316" t="s">
        <v>229</v>
      </c>
      <c r="C290" s="316">
        <v>0.35943062348269395</v>
      </c>
      <c r="F290" s="316" t="s">
        <v>230</v>
      </c>
      <c r="G290" s="316" t="s">
        <v>229</v>
      </c>
      <c r="H290" s="316">
        <v>1.997035881384732</v>
      </c>
    </row>
    <row r="291" spans="1:8" x14ac:dyDescent="0.25">
      <c r="A291" s="316" t="s">
        <v>230</v>
      </c>
      <c r="B291" s="316" t="s">
        <v>229</v>
      </c>
      <c r="C291" s="316">
        <v>6.3226916374617692E-3</v>
      </c>
      <c r="F291" s="316" t="s">
        <v>230</v>
      </c>
      <c r="G291" s="316" t="s">
        <v>229</v>
      </c>
      <c r="H291" s="316">
        <v>5.6725239508362633E-2</v>
      </c>
    </row>
    <row r="292" spans="1:8" x14ac:dyDescent="0.25">
      <c r="A292" s="316" t="s">
        <v>230</v>
      </c>
      <c r="B292" s="316" t="s">
        <v>229</v>
      </c>
      <c r="C292" s="316">
        <v>0.16894350561928076</v>
      </c>
      <c r="F292" s="316" t="s">
        <v>230</v>
      </c>
      <c r="G292" s="316" t="s">
        <v>229</v>
      </c>
      <c r="H292" s="316">
        <v>1.338185583899804</v>
      </c>
    </row>
    <row r="293" spans="1:8" x14ac:dyDescent="0.25">
      <c r="A293" s="316" t="s">
        <v>230</v>
      </c>
      <c r="B293" s="316" t="s">
        <v>229</v>
      </c>
      <c r="C293" s="316">
        <v>8.8551771251050446E-2</v>
      </c>
      <c r="F293" s="316" t="s">
        <v>230</v>
      </c>
      <c r="G293" s="316" t="s">
        <v>229</v>
      </c>
      <c r="H293" s="316">
        <v>0.77872070038120622</v>
      </c>
    </row>
    <row r="294" spans="1:8" x14ac:dyDescent="0.25">
      <c r="A294" s="316" t="s">
        <v>230</v>
      </c>
      <c r="B294" s="316" t="s">
        <v>229</v>
      </c>
      <c r="C294" s="316">
        <v>0.1394853128550379</v>
      </c>
      <c r="F294" s="316" t="s">
        <v>230</v>
      </c>
      <c r="G294" s="316" t="s">
        <v>229</v>
      </c>
      <c r="H294" s="316">
        <v>0.85933450768511743</v>
      </c>
    </row>
    <row r="295" spans="1:8" x14ac:dyDescent="0.25">
      <c r="A295" s="316" t="s">
        <v>230</v>
      </c>
      <c r="B295" s="316" t="s">
        <v>229</v>
      </c>
      <c r="C295" s="316">
        <v>8.0114737040622493E-3</v>
      </c>
      <c r="F295" s="316" t="s">
        <v>230</v>
      </c>
      <c r="G295" s="316" t="s">
        <v>229</v>
      </c>
      <c r="H295" s="316">
        <v>6.7669280898026221E-2</v>
      </c>
    </row>
    <row r="296" spans="1:8" x14ac:dyDescent="0.25">
      <c r="A296" s="316" t="s">
        <v>230</v>
      </c>
      <c r="B296" s="316" t="s">
        <v>229</v>
      </c>
      <c r="C296" s="316">
        <v>6.8874038386861278E-2</v>
      </c>
      <c r="F296" s="316" t="s">
        <v>230</v>
      </c>
      <c r="G296" s="316" t="s">
        <v>229</v>
      </c>
      <c r="H296" s="316">
        <v>0.4178290797725332</v>
      </c>
    </row>
    <row r="297" spans="1:8" x14ac:dyDescent="0.25">
      <c r="A297" s="316" t="s">
        <v>230</v>
      </c>
      <c r="B297" s="316" t="s">
        <v>229</v>
      </c>
      <c r="C297" s="316">
        <v>9.3954875455002385E-5</v>
      </c>
      <c r="F297" s="316" t="s">
        <v>230</v>
      </c>
      <c r="G297" s="316" t="s">
        <v>229</v>
      </c>
      <c r="H297" s="316">
        <v>4.9219490706017213E-5</v>
      </c>
    </row>
    <row r="298" spans="1:8" x14ac:dyDescent="0.25">
      <c r="A298" s="316" t="s">
        <v>230</v>
      </c>
      <c r="B298" s="316" t="s">
        <v>229</v>
      </c>
      <c r="C298" s="316">
        <v>9.4324457797818097E-3</v>
      </c>
      <c r="F298" s="316" t="s">
        <v>230</v>
      </c>
      <c r="G298" s="316" t="s">
        <v>229</v>
      </c>
      <c r="H298" s="316">
        <v>7.7430834041945937E-2</v>
      </c>
    </row>
    <row r="299" spans="1:8" x14ac:dyDescent="0.25">
      <c r="A299" s="316" t="s">
        <v>230</v>
      </c>
      <c r="B299" s="316" t="s">
        <v>229</v>
      </c>
      <c r="C299" s="316">
        <v>6.2929233256576273E-4</v>
      </c>
      <c r="F299" s="316" t="s">
        <v>230</v>
      </c>
      <c r="G299" s="316" t="s">
        <v>229</v>
      </c>
      <c r="H299" s="316">
        <v>6.8777971855777083E-3</v>
      </c>
    </row>
    <row r="300" spans="1:8" x14ac:dyDescent="0.25">
      <c r="C300">
        <f>SUM(C2:C299)</f>
        <v>1769.3488214072927</v>
      </c>
      <c r="H300">
        <f>SUM(H2:H299)</f>
        <v>6154.8207170861288</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BDF3C-8D14-40A6-8F1E-94D0006DF30E}">
  <dimension ref="A1:H4"/>
  <sheetViews>
    <sheetView workbookViewId="0">
      <selection activeCell="H2" sqref="H2:H4"/>
    </sheetView>
  </sheetViews>
  <sheetFormatPr defaultRowHeight="13.2" x14ac:dyDescent="0.25"/>
  <sheetData>
    <row r="1" spans="1:8" x14ac:dyDescent="0.25">
      <c r="A1" s="275" t="s">
        <v>222</v>
      </c>
      <c r="B1" s="275" t="s">
        <v>223</v>
      </c>
      <c r="C1" s="275" t="s">
        <v>224</v>
      </c>
      <c r="F1" s="295" t="s">
        <v>222</v>
      </c>
      <c r="G1" s="295" t="s">
        <v>223</v>
      </c>
      <c r="H1" s="295" t="s">
        <v>224</v>
      </c>
    </row>
    <row r="2" spans="1:8" x14ac:dyDescent="0.25">
      <c r="A2" s="276">
        <v>1</v>
      </c>
      <c r="B2" s="276">
        <v>27</v>
      </c>
      <c r="C2" s="277">
        <v>0</v>
      </c>
      <c r="F2" s="296">
        <v>1</v>
      </c>
      <c r="G2" s="296">
        <v>27</v>
      </c>
      <c r="H2" s="297">
        <v>0.47032221264039642</v>
      </c>
    </row>
    <row r="3" spans="1:8" x14ac:dyDescent="0.25">
      <c r="A3" s="287">
        <v>1</v>
      </c>
      <c r="B3" s="287">
        <v>27</v>
      </c>
      <c r="C3" s="288">
        <v>3.1606791239073746</v>
      </c>
      <c r="F3" s="307">
        <v>1</v>
      </c>
      <c r="G3" s="307">
        <v>27</v>
      </c>
      <c r="H3" s="308">
        <v>25.215425378317281</v>
      </c>
    </row>
    <row r="4" spans="1:8" x14ac:dyDescent="0.25">
      <c r="C4">
        <f>SUM(C2:C3)</f>
        <v>3.1606791239073746</v>
      </c>
      <c r="H4">
        <f>SUM(H2:H3)</f>
        <v>25.685747590957678</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EEE7-7A3C-4B2C-95D0-6D08F371E6E3}">
  <dimension ref="A1:H4"/>
  <sheetViews>
    <sheetView workbookViewId="0">
      <selection activeCell="H2" sqref="H2:H4"/>
    </sheetView>
  </sheetViews>
  <sheetFormatPr defaultRowHeight="13.2" x14ac:dyDescent="0.25"/>
  <sheetData>
    <row r="1" spans="1:8" x14ac:dyDescent="0.25">
      <c r="A1" s="278" t="s">
        <v>222</v>
      </c>
      <c r="B1" s="278" t="s">
        <v>223</v>
      </c>
      <c r="C1" s="278" t="s">
        <v>224</v>
      </c>
      <c r="F1" s="298" t="s">
        <v>222</v>
      </c>
      <c r="G1" s="298" t="s">
        <v>223</v>
      </c>
      <c r="H1" s="298" t="s">
        <v>224</v>
      </c>
    </row>
    <row r="2" spans="1:8" x14ac:dyDescent="0.25">
      <c r="A2" s="279">
        <v>1</v>
      </c>
      <c r="B2" s="279">
        <v>16</v>
      </c>
      <c r="C2" s="280">
        <v>0</v>
      </c>
      <c r="F2" s="299">
        <v>1</v>
      </c>
      <c r="G2" s="299">
        <v>16</v>
      </c>
      <c r="H2" s="300">
        <v>0.40589098959477787</v>
      </c>
    </row>
    <row r="3" spans="1:8" x14ac:dyDescent="0.25">
      <c r="A3" s="289">
        <v>1</v>
      </c>
      <c r="B3" s="289">
        <v>16</v>
      </c>
      <c r="C3" s="290">
        <v>2.0792032824684652</v>
      </c>
      <c r="F3" s="309">
        <v>1</v>
      </c>
      <c r="G3" s="309">
        <v>16</v>
      </c>
      <c r="H3" s="310">
        <v>11.839508670822035</v>
      </c>
    </row>
    <row r="4" spans="1:8" x14ac:dyDescent="0.25">
      <c r="C4">
        <f>SUM(C2:C3)</f>
        <v>2.0792032824684652</v>
      </c>
      <c r="H4">
        <f>SUM(H2:H3)</f>
        <v>12.245399660416812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4"/>
  <sheetViews>
    <sheetView workbookViewId="0">
      <selection activeCell="B34" sqref="B34"/>
    </sheetView>
  </sheetViews>
  <sheetFormatPr defaultRowHeight="13.2" x14ac:dyDescent="0.25"/>
  <sheetData>
    <row r="1" spans="1:7" ht="14.4" x14ac:dyDescent="0.3">
      <c r="A1" s="11" t="s">
        <v>54</v>
      </c>
    </row>
    <row r="2" spans="1:7" x14ac:dyDescent="0.25">
      <c r="B2" t="s">
        <v>35</v>
      </c>
      <c r="D2" t="s">
        <v>36</v>
      </c>
      <c r="F2" t="s">
        <v>37</v>
      </c>
    </row>
    <row r="3" spans="1:7" x14ac:dyDescent="0.25">
      <c r="A3" t="s">
        <v>86</v>
      </c>
      <c r="B3">
        <v>3.6</v>
      </c>
      <c r="C3" t="s">
        <v>87</v>
      </c>
      <c r="D3">
        <v>1</v>
      </c>
      <c r="E3" t="s">
        <v>87</v>
      </c>
      <c r="F3">
        <f>B3-D3</f>
        <v>2.6</v>
      </c>
      <c r="G3" t="s">
        <v>87</v>
      </c>
    </row>
    <row r="4" spans="1:7" x14ac:dyDescent="0.25">
      <c r="A4" t="s">
        <v>88</v>
      </c>
      <c r="B4" s="9">
        <v>1</v>
      </c>
      <c r="D4" s="9">
        <f>0.3178*LN(D3)+0.7405</f>
        <v>0.74050000000000005</v>
      </c>
      <c r="F4" s="9">
        <f>B4-D4</f>
        <v>0.25949999999999995</v>
      </c>
    </row>
    <row r="6" spans="1:7" x14ac:dyDescent="0.25">
      <c r="A6" s="8" t="s">
        <v>70</v>
      </c>
    </row>
    <row r="7" spans="1:7" x14ac:dyDescent="0.25">
      <c r="B7" t="s">
        <v>35</v>
      </c>
      <c r="D7" t="s">
        <v>36</v>
      </c>
      <c r="F7" t="s">
        <v>37</v>
      </c>
    </row>
    <row r="8" spans="1:7" x14ac:dyDescent="0.25">
      <c r="A8" t="s">
        <v>86</v>
      </c>
      <c r="B8">
        <v>1.27</v>
      </c>
      <c r="C8" t="s">
        <v>87</v>
      </c>
      <c r="D8">
        <v>0.76</v>
      </c>
      <c r="E8" t="s">
        <v>87</v>
      </c>
      <c r="F8">
        <f>B8-D8</f>
        <v>0.51</v>
      </c>
      <c r="G8" t="s">
        <v>87</v>
      </c>
    </row>
    <row r="9" spans="1:7" x14ac:dyDescent="0.25">
      <c r="A9" t="s">
        <v>88</v>
      </c>
      <c r="B9" s="9">
        <f>0.3178*LN(B8)+0.7405</f>
        <v>0.81645957096952493</v>
      </c>
      <c r="D9" s="9">
        <f>0.3178*LN(D8)+0.7405</f>
        <v>0.65328397043598063</v>
      </c>
      <c r="F9" s="9">
        <f>B9-D9</f>
        <v>0.1631756005335443</v>
      </c>
    </row>
    <row r="11" spans="1:7" x14ac:dyDescent="0.25">
      <c r="A11" s="8" t="s">
        <v>73</v>
      </c>
    </row>
    <row r="12" spans="1:7" x14ac:dyDescent="0.25">
      <c r="B12" t="s">
        <v>35</v>
      </c>
      <c r="D12" t="s">
        <v>36</v>
      </c>
      <c r="F12" t="s">
        <v>37</v>
      </c>
    </row>
    <row r="13" spans="1:7" x14ac:dyDescent="0.25">
      <c r="A13" t="s">
        <v>86</v>
      </c>
      <c r="B13">
        <v>7.3</v>
      </c>
      <c r="C13" t="s">
        <v>87</v>
      </c>
      <c r="D13">
        <v>1.4</v>
      </c>
      <c r="E13" t="s">
        <v>87</v>
      </c>
      <c r="F13">
        <f>B13-D13</f>
        <v>5.9</v>
      </c>
      <c r="G13" t="s">
        <v>87</v>
      </c>
    </row>
    <row r="14" spans="1:7" x14ac:dyDescent="0.25">
      <c r="A14" t="s">
        <v>88</v>
      </c>
      <c r="B14" s="9">
        <v>1</v>
      </c>
      <c r="D14" s="9">
        <f>0.3178*LN(D13)+0.7405</f>
        <v>0.84743087679822149</v>
      </c>
      <c r="F14" s="9">
        <f>B14-D14</f>
        <v>0.15256912320177851</v>
      </c>
    </row>
    <row r="15" spans="1:7" x14ac:dyDescent="0.25">
      <c r="B15" s="9"/>
      <c r="D15" s="9"/>
      <c r="F15" s="9"/>
    </row>
    <row r="16" spans="1:7" x14ac:dyDescent="0.25">
      <c r="A16" s="8" t="s">
        <v>74</v>
      </c>
    </row>
    <row r="17" spans="1:7" x14ac:dyDescent="0.25">
      <c r="B17" t="s">
        <v>35</v>
      </c>
      <c r="D17" t="s">
        <v>36</v>
      </c>
      <c r="F17" t="s">
        <v>37</v>
      </c>
    </row>
    <row r="18" spans="1:7" x14ac:dyDescent="0.25">
      <c r="A18" t="s">
        <v>86</v>
      </c>
      <c r="B18">
        <v>1.4</v>
      </c>
      <c r="C18" t="s">
        <v>87</v>
      </c>
      <c r="D18">
        <v>0.5</v>
      </c>
      <c r="E18" t="s">
        <v>87</v>
      </c>
      <c r="F18">
        <f>B18-D18</f>
        <v>0.89999999999999991</v>
      </c>
      <c r="G18" t="s">
        <v>87</v>
      </c>
    </row>
    <row r="19" spans="1:7" x14ac:dyDescent="0.25">
      <c r="A19" t="s">
        <v>88</v>
      </c>
      <c r="B19" s="9">
        <f>0.3178*LN(B18)+0.7405</f>
        <v>0.84743087679822149</v>
      </c>
      <c r="D19" s="9">
        <f>0.3178*LN(D18)+0.7405</f>
        <v>0.52021782601804945</v>
      </c>
      <c r="F19" s="9">
        <f>B19-D19</f>
        <v>0.32721305078017204</v>
      </c>
    </row>
    <row r="21" spans="1:7" x14ac:dyDescent="0.25">
      <c r="A21" s="8" t="s">
        <v>69</v>
      </c>
    </row>
    <row r="22" spans="1:7" x14ac:dyDescent="0.25">
      <c r="B22" t="s">
        <v>35</v>
      </c>
      <c r="D22" t="s">
        <v>36</v>
      </c>
      <c r="F22" t="s">
        <v>37</v>
      </c>
    </row>
    <row r="23" spans="1:7" x14ac:dyDescent="0.25">
      <c r="A23" t="s">
        <v>86</v>
      </c>
      <c r="B23">
        <v>4.7</v>
      </c>
      <c r="C23" t="s">
        <v>87</v>
      </c>
      <c r="D23">
        <v>1</v>
      </c>
      <c r="E23" t="s">
        <v>87</v>
      </c>
      <c r="F23">
        <f>B23-D23</f>
        <v>3.7</v>
      </c>
      <c r="G23" t="s">
        <v>87</v>
      </c>
    </row>
    <row r="24" spans="1:7" x14ac:dyDescent="0.25">
      <c r="A24" t="s">
        <v>88</v>
      </c>
      <c r="B24" s="9">
        <v>1</v>
      </c>
      <c r="D24" s="9">
        <f>0.3178*LN(D23)+0.7405</f>
        <v>0.74050000000000005</v>
      </c>
      <c r="F24" s="9">
        <f>B24-D24</f>
        <v>0.25949999999999995</v>
      </c>
    </row>
    <row r="26" spans="1:7" x14ac:dyDescent="0.25">
      <c r="A26" s="8" t="s">
        <v>95</v>
      </c>
    </row>
    <row r="27" spans="1:7" x14ac:dyDescent="0.25">
      <c r="B27" t="s">
        <v>35</v>
      </c>
      <c r="D27" t="s">
        <v>36</v>
      </c>
      <c r="F27" t="s">
        <v>37</v>
      </c>
    </row>
    <row r="28" spans="1:7" x14ac:dyDescent="0.25">
      <c r="A28" t="s">
        <v>86</v>
      </c>
      <c r="B28">
        <v>1.4</v>
      </c>
      <c r="C28" t="s">
        <v>87</v>
      </c>
      <c r="D28">
        <v>0.5</v>
      </c>
      <c r="E28" t="s">
        <v>87</v>
      </c>
      <c r="F28">
        <f>B28-D28</f>
        <v>0.89999999999999991</v>
      </c>
      <c r="G28" t="s">
        <v>87</v>
      </c>
    </row>
    <row r="29" spans="1:7" x14ac:dyDescent="0.25">
      <c r="A29" t="s">
        <v>88</v>
      </c>
      <c r="B29" s="9">
        <f>0.3178*LN(B28)+0.7405</f>
        <v>0.84743087679822149</v>
      </c>
      <c r="D29" s="9">
        <f>0.3178*LN(D28)+0.7405</f>
        <v>0.52021782601804945</v>
      </c>
      <c r="F29" s="9">
        <f>B29-D29</f>
        <v>0.32721305078017204</v>
      </c>
    </row>
    <row r="31" spans="1:7" x14ac:dyDescent="0.25">
      <c r="A31" s="8" t="s">
        <v>57</v>
      </c>
    </row>
    <row r="32" spans="1:7" x14ac:dyDescent="0.25">
      <c r="B32" t="s">
        <v>35</v>
      </c>
      <c r="D32" t="s">
        <v>36</v>
      </c>
      <c r="F32" t="s">
        <v>37</v>
      </c>
    </row>
    <row r="33" spans="1:7" x14ac:dyDescent="0.25">
      <c r="A33" t="s">
        <v>86</v>
      </c>
      <c r="B33">
        <v>1.35</v>
      </c>
      <c r="C33" t="s">
        <v>87</v>
      </c>
      <c r="D33">
        <v>0.87</v>
      </c>
      <c r="E33" t="s">
        <v>87</v>
      </c>
      <c r="F33">
        <f>B33-D33</f>
        <v>0.48000000000000009</v>
      </c>
      <c r="G33" t="s">
        <v>87</v>
      </c>
    </row>
    <row r="34" spans="1:7" x14ac:dyDescent="0.25">
      <c r="A34" t="s">
        <v>88</v>
      </c>
      <c r="B34" s="9">
        <f>0.3178*LN(B33)+0.7405</f>
        <v>0.83587323948071757</v>
      </c>
      <c r="D34" s="9">
        <f>0.3178*LN(D33)+0.7405</f>
        <v>0.69624251500141132</v>
      </c>
      <c r="F34" s="9">
        <f>B34-D34</f>
        <v>0.13963072447930625</v>
      </c>
    </row>
  </sheetData>
  <pageMargins left="0.7" right="0.7" top="0.75" bottom="0.75" header="0.3" footer="0.3"/>
  <pageSetup orientation="portrait" horizontalDpi="0"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A0026-C3BB-4AFD-9DDF-78D40A1AE6BA}">
  <dimension ref="A1:H4"/>
  <sheetViews>
    <sheetView workbookViewId="0">
      <selection activeCell="H2" sqref="H2:H4"/>
    </sheetView>
  </sheetViews>
  <sheetFormatPr defaultRowHeight="13.2" x14ac:dyDescent="0.25"/>
  <sheetData>
    <row r="1" spans="1:8" x14ac:dyDescent="0.25">
      <c r="A1" s="281" t="s">
        <v>222</v>
      </c>
      <c r="B1" s="281" t="s">
        <v>223</v>
      </c>
      <c r="C1" s="281" t="s">
        <v>224</v>
      </c>
      <c r="F1" s="301" t="s">
        <v>222</v>
      </c>
      <c r="G1" s="301" t="s">
        <v>223</v>
      </c>
      <c r="H1" s="301" t="s">
        <v>224</v>
      </c>
    </row>
    <row r="2" spans="1:8" x14ac:dyDescent="0.25">
      <c r="A2" s="282">
        <v>1</v>
      </c>
      <c r="B2" s="282">
        <v>19</v>
      </c>
      <c r="C2" s="283">
        <v>0</v>
      </c>
      <c r="F2" s="302">
        <v>1</v>
      </c>
      <c r="G2" s="302">
        <v>19</v>
      </c>
      <c r="H2" s="303">
        <v>0.54238423056285123</v>
      </c>
    </row>
    <row r="3" spans="1:8" x14ac:dyDescent="0.25">
      <c r="A3" s="291">
        <v>1</v>
      </c>
      <c r="B3" s="291">
        <v>19</v>
      </c>
      <c r="C3" s="292">
        <v>5.954755641659994</v>
      </c>
      <c r="F3" s="311">
        <v>1</v>
      </c>
      <c r="G3" s="311">
        <v>19</v>
      </c>
      <c r="H3" s="312">
        <v>27.805235301327144</v>
      </c>
    </row>
    <row r="4" spans="1:8" x14ac:dyDescent="0.25">
      <c r="C4">
        <f>SUM(C2:C3)</f>
        <v>5.954755641659994</v>
      </c>
      <c r="H4">
        <f>SUM(H2:H3)</f>
        <v>28.347619531889997</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1B0D0-42E7-4019-AA62-0F3E2BC3F613}">
  <dimension ref="A1:H4"/>
  <sheetViews>
    <sheetView workbookViewId="0">
      <selection activeCell="H2" sqref="H2:H4"/>
    </sheetView>
  </sheetViews>
  <sheetFormatPr defaultRowHeight="13.2" x14ac:dyDescent="0.25"/>
  <sheetData>
    <row r="1" spans="1:8" x14ac:dyDescent="0.25">
      <c r="A1" s="284" t="s">
        <v>222</v>
      </c>
      <c r="B1" s="284" t="s">
        <v>223</v>
      </c>
      <c r="C1" s="284" t="s">
        <v>224</v>
      </c>
      <c r="F1" s="304" t="s">
        <v>222</v>
      </c>
      <c r="G1" s="304" t="s">
        <v>223</v>
      </c>
      <c r="H1" s="304" t="s">
        <v>224</v>
      </c>
    </row>
    <row r="2" spans="1:8" x14ac:dyDescent="0.25">
      <c r="A2" s="285">
        <v>1</v>
      </c>
      <c r="B2" s="285">
        <v>28</v>
      </c>
      <c r="C2" s="286">
        <v>0</v>
      </c>
      <c r="F2" s="305">
        <v>1</v>
      </c>
      <c r="G2" s="305">
        <v>28</v>
      </c>
      <c r="H2" s="306">
        <v>0.43466576119314598</v>
      </c>
    </row>
    <row r="3" spans="1:8" x14ac:dyDescent="0.25">
      <c r="A3" s="293">
        <v>1</v>
      </c>
      <c r="B3" s="293">
        <v>28</v>
      </c>
      <c r="C3" s="294">
        <v>2.11282254158571</v>
      </c>
      <c r="F3" s="313">
        <v>1</v>
      </c>
      <c r="G3" s="313">
        <v>28</v>
      </c>
      <c r="H3" s="314">
        <v>6.3377246456325436</v>
      </c>
    </row>
    <row r="4" spans="1:8" x14ac:dyDescent="0.25">
      <c r="C4">
        <f>SUM(C2:C3)</f>
        <v>2.11282254158571</v>
      </c>
      <c r="H4">
        <f>SUM(H2:H3)</f>
        <v>6.7723904068256893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6F34E-38DB-48D0-B2C5-D2CCE5FC26EE}">
  <dimension ref="A1:H4"/>
  <sheetViews>
    <sheetView workbookViewId="0">
      <selection activeCell="H2" sqref="H2:H4"/>
    </sheetView>
  </sheetViews>
  <sheetFormatPr defaultRowHeight="13.2" x14ac:dyDescent="0.25"/>
  <cols>
    <col min="1" max="1" width="10.21875" bestFit="1" customWidth="1"/>
    <col min="2" max="2" width="12.44140625" bestFit="1" customWidth="1"/>
    <col min="3" max="3" width="13.33203125" bestFit="1" customWidth="1"/>
    <col min="6" max="6" width="10.21875" bestFit="1" customWidth="1"/>
    <col min="7" max="7" width="12.44140625" bestFit="1" customWidth="1"/>
    <col min="8" max="8" width="13.44140625" bestFit="1" customWidth="1"/>
  </cols>
  <sheetData>
    <row r="1" spans="1:8" x14ac:dyDescent="0.25">
      <c r="A1" s="48" t="s">
        <v>222</v>
      </c>
      <c r="B1" s="48" t="s">
        <v>223</v>
      </c>
      <c r="C1" s="48" t="s">
        <v>226</v>
      </c>
      <c r="F1" s="45" t="s">
        <v>222</v>
      </c>
      <c r="G1" s="45" t="s">
        <v>223</v>
      </c>
      <c r="H1" s="45" t="s">
        <v>225</v>
      </c>
    </row>
    <row r="2" spans="1:8" x14ac:dyDescent="0.25">
      <c r="A2" s="49">
        <v>1</v>
      </c>
      <c r="B2" s="49">
        <v>9</v>
      </c>
      <c r="C2" s="50">
        <v>0</v>
      </c>
      <c r="F2" s="46">
        <v>1</v>
      </c>
      <c r="G2" s="46">
        <v>9</v>
      </c>
      <c r="H2" s="47">
        <v>8.0840861453549698E-6</v>
      </c>
    </row>
    <row r="3" spans="1:8" x14ac:dyDescent="0.25">
      <c r="A3" s="117">
        <v>1</v>
      </c>
      <c r="B3" s="117">
        <v>9</v>
      </c>
      <c r="C3" s="118">
        <v>0.15127322019355091</v>
      </c>
      <c r="F3" s="229">
        <v>1</v>
      </c>
      <c r="G3" s="229">
        <v>9</v>
      </c>
      <c r="H3" s="230">
        <v>1.1625129864149464</v>
      </c>
    </row>
    <row r="4" spans="1:8" x14ac:dyDescent="0.25">
      <c r="C4">
        <f>SUM(C2:C3)</f>
        <v>0.15127322019355091</v>
      </c>
      <c r="H4">
        <f>SUM(H2:H3)</f>
        <v>1.1625210705010918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0B2D4-6CF1-498A-A898-1B2979DFD522}">
  <dimension ref="A1:H4"/>
  <sheetViews>
    <sheetView workbookViewId="0">
      <selection activeCell="H2" sqref="H2:H4"/>
    </sheetView>
  </sheetViews>
  <sheetFormatPr defaultRowHeight="13.2" x14ac:dyDescent="0.25"/>
  <cols>
    <col min="1" max="1" width="10.21875" bestFit="1" customWidth="1"/>
    <col min="2" max="2" width="12.44140625" bestFit="1" customWidth="1"/>
    <col min="3" max="3" width="12" bestFit="1" customWidth="1"/>
  </cols>
  <sheetData>
    <row r="1" spans="1:8" x14ac:dyDescent="0.25">
      <c r="A1" s="51" t="s">
        <v>222</v>
      </c>
      <c r="B1" s="51" t="s">
        <v>223</v>
      </c>
      <c r="C1" s="51" t="s">
        <v>224</v>
      </c>
      <c r="F1" s="163" t="s">
        <v>222</v>
      </c>
      <c r="G1" s="163" t="s">
        <v>223</v>
      </c>
      <c r="H1" s="163" t="s">
        <v>224</v>
      </c>
    </row>
    <row r="2" spans="1:8" x14ac:dyDescent="0.25">
      <c r="A2" s="52">
        <v>1</v>
      </c>
      <c r="B2" s="52">
        <v>9</v>
      </c>
      <c r="C2" s="53">
        <v>2.087277593833297E-2</v>
      </c>
      <c r="F2" s="164">
        <v>1</v>
      </c>
      <c r="G2" s="164">
        <v>9</v>
      </c>
      <c r="H2" s="165">
        <v>1.5937914422103694</v>
      </c>
    </row>
    <row r="3" spans="1:8" x14ac:dyDescent="0.25">
      <c r="A3" s="119">
        <v>1</v>
      </c>
      <c r="B3" s="119">
        <v>9</v>
      </c>
      <c r="C3" s="120">
        <v>3.1861024435330204E-2</v>
      </c>
      <c r="F3" s="231">
        <v>1</v>
      </c>
      <c r="G3" s="231">
        <v>9</v>
      </c>
      <c r="H3" s="232">
        <v>0.2123938066246481</v>
      </c>
    </row>
    <row r="4" spans="1:8" x14ac:dyDescent="0.25">
      <c r="C4">
        <f>SUM(C2:C3)</f>
        <v>5.2733800373663174E-2</v>
      </c>
      <c r="H4">
        <f>SUM(H2:H3)</f>
        <v>1.8061852488350174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EB0C9-5447-4F00-8347-8411B25F06A2}">
  <dimension ref="A1:H4"/>
  <sheetViews>
    <sheetView workbookViewId="0">
      <selection activeCell="H2" sqref="H2:H4"/>
    </sheetView>
  </sheetViews>
  <sheetFormatPr defaultRowHeight="13.2" x14ac:dyDescent="0.25"/>
  <sheetData>
    <row r="1" spans="1:8" x14ac:dyDescent="0.25">
      <c r="A1" s="54" t="s">
        <v>222</v>
      </c>
      <c r="B1" s="54" t="s">
        <v>223</v>
      </c>
      <c r="C1" s="54" t="s">
        <v>224</v>
      </c>
      <c r="F1" s="166" t="s">
        <v>222</v>
      </c>
      <c r="G1" s="166" t="s">
        <v>223</v>
      </c>
      <c r="H1" s="166" t="s">
        <v>224</v>
      </c>
    </row>
    <row r="2" spans="1:8" x14ac:dyDescent="0.25">
      <c r="A2" s="55">
        <v>1</v>
      </c>
      <c r="B2" s="55">
        <v>25</v>
      </c>
      <c r="C2" s="56">
        <v>7.2111038523075682E-2</v>
      </c>
      <c r="F2" s="167">
        <v>1</v>
      </c>
      <c r="G2" s="167">
        <v>25</v>
      </c>
      <c r="H2" s="168">
        <v>8.3847680091626788</v>
      </c>
    </row>
    <row r="3" spans="1:8" x14ac:dyDescent="0.25">
      <c r="A3" s="121">
        <v>1</v>
      </c>
      <c r="B3" s="121">
        <v>25</v>
      </c>
      <c r="C3" s="122">
        <v>0.7874651184780268</v>
      </c>
      <c r="F3" s="233">
        <v>1</v>
      </c>
      <c r="G3" s="233">
        <v>25</v>
      </c>
      <c r="H3" s="234">
        <v>3.1020113200863073</v>
      </c>
    </row>
    <row r="4" spans="1:8" x14ac:dyDescent="0.25">
      <c r="C4">
        <f>SUM(C2:C3)</f>
        <v>0.85957615700110246</v>
      </c>
      <c r="H4">
        <f>SUM(H2:H3)</f>
        <v>11.486779329248986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C92D5-43EB-4D02-BB30-51A3DF220325}">
  <dimension ref="A1:H4"/>
  <sheetViews>
    <sheetView workbookViewId="0">
      <selection activeCell="H2" sqref="H2:H4"/>
    </sheetView>
  </sheetViews>
  <sheetFormatPr defaultRowHeight="13.2" x14ac:dyDescent="0.25"/>
  <sheetData>
    <row r="1" spans="1:8" x14ac:dyDescent="0.25">
      <c r="A1" s="57" t="s">
        <v>222</v>
      </c>
      <c r="B1" s="57" t="s">
        <v>223</v>
      </c>
      <c r="C1" s="57" t="s">
        <v>224</v>
      </c>
      <c r="F1" s="169" t="s">
        <v>222</v>
      </c>
      <c r="G1" s="169" t="s">
        <v>223</v>
      </c>
      <c r="H1" s="169" t="s">
        <v>224</v>
      </c>
    </row>
    <row r="2" spans="1:8" x14ac:dyDescent="0.25">
      <c r="A2" s="58">
        <v>1</v>
      </c>
      <c r="B2" s="58">
        <v>32</v>
      </c>
      <c r="C2" s="59">
        <v>0.19551042432908672</v>
      </c>
      <c r="F2" s="170">
        <v>1</v>
      </c>
      <c r="G2" s="170">
        <v>32</v>
      </c>
      <c r="H2" s="171">
        <v>9.2786300171132829</v>
      </c>
    </row>
    <row r="3" spans="1:8" x14ac:dyDescent="0.25">
      <c r="A3" s="123">
        <v>1</v>
      </c>
      <c r="B3" s="123">
        <v>32</v>
      </c>
      <c r="C3" s="124">
        <v>1.2942507185455503</v>
      </c>
      <c r="F3" s="235">
        <v>1</v>
      </c>
      <c r="G3" s="235">
        <v>32</v>
      </c>
      <c r="H3" s="236">
        <v>12.99345779760589</v>
      </c>
    </row>
    <row r="4" spans="1:8" x14ac:dyDescent="0.25">
      <c r="C4">
        <f>SUM(C2:C3)</f>
        <v>1.4897611428746371</v>
      </c>
      <c r="H4">
        <f>SUM(H2:H3)</f>
        <v>22.272087814719171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62DD0-10D8-42CD-906D-009BFD60ACC7}">
  <dimension ref="A1:H4"/>
  <sheetViews>
    <sheetView workbookViewId="0">
      <selection activeCell="J31" sqref="J31"/>
    </sheetView>
  </sheetViews>
  <sheetFormatPr defaultRowHeight="13.2" x14ac:dyDescent="0.25"/>
  <sheetData>
    <row r="1" spans="1:8" x14ac:dyDescent="0.25">
      <c r="A1" s="60" t="s">
        <v>222</v>
      </c>
      <c r="B1" s="60" t="s">
        <v>223</v>
      </c>
      <c r="C1" s="60" t="s">
        <v>224</v>
      </c>
      <c r="F1" s="172" t="s">
        <v>222</v>
      </c>
      <c r="G1" s="172" t="s">
        <v>223</v>
      </c>
      <c r="H1" s="172" t="s">
        <v>224</v>
      </c>
    </row>
    <row r="2" spans="1:8" x14ac:dyDescent="0.25">
      <c r="A2" s="61">
        <v>1</v>
      </c>
      <c r="B2" s="61">
        <v>206</v>
      </c>
      <c r="C2" s="62">
        <v>1.5302929594625685E-2</v>
      </c>
      <c r="F2" s="173">
        <v>1</v>
      </c>
      <c r="G2" s="173">
        <v>206</v>
      </c>
      <c r="H2" s="174">
        <v>4.6421895387677754</v>
      </c>
    </row>
    <row r="3" spans="1:8" x14ac:dyDescent="0.25">
      <c r="A3" s="125">
        <v>1</v>
      </c>
      <c r="B3" s="125">
        <v>206</v>
      </c>
      <c r="C3" s="126">
        <v>11.13664558458278</v>
      </c>
      <c r="F3" s="237">
        <v>1</v>
      </c>
      <c r="G3" s="237">
        <v>206</v>
      </c>
      <c r="H3" s="238">
        <v>57.269511428078999</v>
      </c>
    </row>
    <row r="4" spans="1:8" x14ac:dyDescent="0.25">
      <c r="C4">
        <f>SUM(C2:C3)</f>
        <v>11.151948514177406</v>
      </c>
      <c r="H4">
        <f>SUM(H2:H3)</f>
        <v>61.911700966846773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8607E-2F09-4773-BE14-061128EF9590}">
  <dimension ref="A1:H4"/>
  <sheetViews>
    <sheetView workbookViewId="0">
      <selection activeCell="H2" sqref="H2:H4"/>
    </sheetView>
  </sheetViews>
  <sheetFormatPr defaultRowHeight="13.2" x14ac:dyDescent="0.25"/>
  <sheetData>
    <row r="1" spans="1:8" x14ac:dyDescent="0.25">
      <c r="A1" s="63" t="s">
        <v>222</v>
      </c>
      <c r="B1" s="63" t="s">
        <v>223</v>
      </c>
      <c r="C1" s="63" t="s">
        <v>224</v>
      </c>
      <c r="F1" s="175" t="s">
        <v>222</v>
      </c>
      <c r="G1" s="175" t="s">
        <v>223</v>
      </c>
      <c r="H1" s="175" t="s">
        <v>224</v>
      </c>
    </row>
    <row r="2" spans="1:8" x14ac:dyDescent="0.25">
      <c r="A2" s="64">
        <v>1</v>
      </c>
      <c r="B2" s="64">
        <v>22</v>
      </c>
      <c r="C2" s="65">
        <v>0</v>
      </c>
      <c r="F2" s="176">
        <v>1</v>
      </c>
      <c r="G2" s="176">
        <v>22</v>
      </c>
      <c r="H2" s="177">
        <v>0.22584730264010153</v>
      </c>
    </row>
    <row r="3" spans="1:8" x14ac:dyDescent="0.25">
      <c r="A3" s="127">
        <v>1</v>
      </c>
      <c r="B3" s="127">
        <v>22</v>
      </c>
      <c r="C3" s="128">
        <v>1.2789465258413</v>
      </c>
      <c r="F3" s="239">
        <v>1</v>
      </c>
      <c r="G3" s="239">
        <v>22</v>
      </c>
      <c r="H3" s="240">
        <v>9.3555828903651079</v>
      </c>
    </row>
    <row r="4" spans="1:8" x14ac:dyDescent="0.25">
      <c r="C4">
        <f>SUM(C2:C3)</f>
        <v>1.2789465258413</v>
      </c>
      <c r="H4">
        <f>SUM(H2:H3)</f>
        <v>9.5814301930052093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2</vt:i4>
      </vt:variant>
    </vt:vector>
  </HeadingPairs>
  <TitlesOfParts>
    <vt:vector size="33" baseType="lpstr">
      <vt:lpstr>Summary</vt:lpstr>
      <vt:lpstr>Wet detention pond calcs</vt:lpstr>
      <vt:lpstr>Retention calcs</vt:lpstr>
      <vt:lpstr>01</vt:lpstr>
      <vt:lpstr>02</vt:lpstr>
      <vt:lpstr>03</vt:lpstr>
      <vt:lpstr>04</vt:lpstr>
      <vt:lpstr>05</vt:lpstr>
      <vt:lpstr>06</vt:lpstr>
      <vt:lpstr>07</vt:lpstr>
      <vt:lpstr>08</vt:lpstr>
      <vt:lpstr>09</vt:lpstr>
      <vt:lpstr>10</vt:lpstr>
      <vt:lpstr>11</vt:lpstr>
      <vt:lpstr>12</vt:lpstr>
      <vt:lpstr>13</vt:lpstr>
      <vt:lpstr>14</vt:lpstr>
      <vt:lpstr>15</vt:lpstr>
      <vt:lpstr>16</vt:lpstr>
      <vt:lpstr>17</vt:lpstr>
      <vt:lpstr>18</vt:lpstr>
      <vt:lpstr>19</vt:lpstr>
      <vt:lpstr>20</vt:lpstr>
      <vt:lpstr>21</vt:lpstr>
      <vt:lpstr>22</vt:lpstr>
      <vt:lpstr>23</vt:lpstr>
      <vt:lpstr>25</vt:lpstr>
      <vt:lpstr>28</vt:lpstr>
      <vt:lpstr>29</vt:lpstr>
      <vt:lpstr>30</vt:lpstr>
      <vt:lpstr>31</vt:lpstr>
      <vt:lpstr>Summary!Print_Area</vt:lpstr>
      <vt:lpstr>Summary!Print_Titles</vt:lpstr>
    </vt:vector>
  </TitlesOfParts>
  <Company>FLDEP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 Employee</dc:creator>
  <cp:lastModifiedBy>Frick, Marcy</cp:lastModifiedBy>
  <cp:lastPrinted>2014-02-17T14:03:41Z</cp:lastPrinted>
  <dcterms:created xsi:type="dcterms:W3CDTF">2006-03-30T19:10:57Z</dcterms:created>
  <dcterms:modified xsi:type="dcterms:W3CDTF">2020-01-10T17:32:35Z</dcterms:modified>
</cp:coreProperties>
</file>