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marcy.frick\Documents\"/>
    </mc:Choice>
  </mc:AlternateContent>
  <xr:revisionPtr revIDLastSave="0" documentId="13_ncr:1_{23C840E2-0107-4171-B3E1-7EC29B6BE84D}" xr6:coauthVersionLast="36" xr6:coauthVersionMax="36" xr10:uidLastSave="{00000000-0000-0000-0000-000000000000}"/>
  <bookViews>
    <workbookView xWindow="0" yWindow="0" windowWidth="23040" windowHeight="9060" xr2:uid="{31C461E3-AD1D-4BF9-9576-32E170908439}"/>
  </bookViews>
  <sheets>
    <sheet name="Sheet1" sheetId="1" r:id="rId1"/>
  </sheets>
  <externalReferences>
    <externalReference r:id="rId2"/>
  </externalReferences>
  <definedNames>
    <definedName name="_xlnm._FilterDatabase" localSheetId="0" hidden="1">Sheet1!$A$1:$S$19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15" i="1" l="1"/>
  <c r="L15" i="1" s="1"/>
  <c r="K22" i="1"/>
  <c r="L22" i="1" s="1"/>
  <c r="K5" i="1"/>
  <c r="L5" i="1" s="1"/>
  <c r="K4" i="1"/>
  <c r="L4" i="1" s="1"/>
  <c r="K13" i="1"/>
  <c r="L13" i="1" s="1"/>
  <c r="K25" i="1"/>
  <c r="L25" i="1" s="1"/>
  <c r="K24" i="1"/>
  <c r="L24" i="1" s="1"/>
  <c r="K23" i="1"/>
  <c r="L23" i="1" s="1"/>
  <c r="K14" i="1"/>
  <c r="L14" i="1" s="1"/>
  <c r="K12" i="1"/>
  <c r="L12" i="1" s="1"/>
  <c r="K11" i="1"/>
  <c r="L11" i="1" s="1"/>
  <c r="K10" i="1"/>
  <c r="L10" i="1" s="1"/>
  <c r="K9" i="1"/>
  <c r="L9" i="1" s="1"/>
  <c r="L33" i="1" l="1"/>
  <c r="L32" i="1"/>
  <c r="L31" i="1"/>
  <c r="L30" i="1"/>
  <c r="I33" i="1" l="1"/>
  <c r="J33" i="1" s="1"/>
  <c r="I32" i="1"/>
  <c r="J32" i="1" s="1"/>
  <c r="I31" i="1"/>
  <c r="J31" i="1" s="1"/>
  <c r="I30" i="1" l="1"/>
  <c r="J30" i="1" s="1"/>
  <c r="K37" i="1" l="1"/>
  <c r="L37" i="1" s="1"/>
  <c r="K36" i="1"/>
  <c r="L36" i="1" s="1"/>
  <c r="K35" i="1"/>
  <c r="L35" i="1" s="1"/>
  <c r="K34" i="1"/>
  <c r="L34" i="1" s="1"/>
  <c r="I37" i="1"/>
  <c r="J37" i="1" s="1"/>
  <c r="I36" i="1"/>
  <c r="J36" i="1" s="1"/>
  <c r="I35" i="1"/>
  <c r="J35" i="1" s="1"/>
  <c r="I34" i="1"/>
  <c r="J34" i="1" s="1"/>
</calcChain>
</file>

<file path=xl/sharedStrings.xml><?xml version="1.0" encoding="utf-8"?>
<sst xmlns="http://schemas.openxmlformats.org/spreadsheetml/2006/main" count="621" uniqueCount="169">
  <si>
    <t>FDOT D1</t>
  </si>
  <si>
    <t>Project Description</t>
  </si>
  <si>
    <t>Project Type</t>
  </si>
  <si>
    <t>443172-1</t>
  </si>
  <si>
    <t>439032-1</t>
  </si>
  <si>
    <t>Lead Entity</t>
  </si>
  <si>
    <t>Partners</t>
  </si>
  <si>
    <t>Project Name</t>
  </si>
  <si>
    <t>Project Status</t>
  </si>
  <si>
    <t>TN Reduction (lbs/yr)</t>
  </si>
  <si>
    <t>TP Reduction (lbs/yr)</t>
  </si>
  <si>
    <t>Location</t>
  </si>
  <si>
    <t>Acres Treated</t>
  </si>
  <si>
    <t>Cost Estimate</t>
  </si>
  <si>
    <t>Cost Annual O&amp;M</t>
  </si>
  <si>
    <t>Funding Source</t>
  </si>
  <si>
    <t>Funding Amount</t>
  </si>
  <si>
    <t>DEP Contract Agreement Number</t>
  </si>
  <si>
    <t xml:space="preserve">Highlands County </t>
  </si>
  <si>
    <t>DEP/SFWMD/FDACS</t>
  </si>
  <si>
    <t xml:space="preserve">Smart Fertilizer </t>
  </si>
  <si>
    <t xml:space="preserve">Watershed wide ban on fertilizer use during certain portion on the year. Specifically for residential use.  </t>
  </si>
  <si>
    <t>Happy Planters</t>
  </si>
  <si>
    <t>Creating/ Enhancing Living Shoreline</t>
  </si>
  <si>
    <t xml:space="preserve">There is a property for sale at the mouth of Arbuckle creek. It not only contains the creek itself but a decent sized piece of land on the east side of the creek. Maybe  purchase this land and run a portion of Arbuckle Creek through a series of filtering ponds before being release into Istokpoga. These areas are often turned into parks as well. </t>
  </si>
  <si>
    <t>Dispersed Water Management (DWM)</t>
  </si>
  <si>
    <t>Lake Istokpoga</t>
  </si>
  <si>
    <t>IMWID Phase III</t>
  </si>
  <si>
    <t xml:space="preserve">Continue purchasing property for the current water quality poroject. We still need 500 acres to get the estimated 90% reduction. </t>
  </si>
  <si>
    <t>Polk County</t>
  </si>
  <si>
    <t>SWFWMD / NRCS / FDOT</t>
  </si>
  <si>
    <t>SWFWMD</t>
  </si>
  <si>
    <t>DEP</t>
  </si>
  <si>
    <t xml:space="preserve">City Davenport </t>
  </si>
  <si>
    <t>Crooked Lake Surface Water Restoration</t>
  </si>
  <si>
    <t>Upper Kissimmee</t>
  </si>
  <si>
    <t>Polk County/ SFWMD</t>
  </si>
  <si>
    <t>N/A</t>
  </si>
  <si>
    <t>TBD</t>
  </si>
  <si>
    <t>Lake Rosalie Canal Restoration (Lake Kissimmee State Park)</t>
  </si>
  <si>
    <t>City of Sebring</t>
  </si>
  <si>
    <t>Stormwater System Rehabilitation</t>
  </si>
  <si>
    <t xml:space="preserve">Planned </t>
  </si>
  <si>
    <t>Working to obtain SRF</t>
  </si>
  <si>
    <t>Arbuckle Creek Supports Istokpoga</t>
  </si>
  <si>
    <t>County -      $402,075/ SFWMD - $402,075</t>
  </si>
  <si>
    <t>Fisheating Creek</t>
  </si>
  <si>
    <t>Lower Kissimmee</t>
  </si>
  <si>
    <t>Conceptual</t>
  </si>
  <si>
    <t>Landowner</t>
  </si>
  <si>
    <t>Provide additional water quality and stormwater detention area for urbanized area. Regional drainage system fed from Highway 70 and urbanized residential area. Regional onsite drainage canal and expansion for additional water quality is available.</t>
  </si>
  <si>
    <t>Okeechobee Utility Authority</t>
  </si>
  <si>
    <t>Treasure Island   Septic to Sewer</t>
  </si>
  <si>
    <t>Taylor Creek/Nubbin Slough</t>
  </si>
  <si>
    <t>Loan/Grant</t>
  </si>
  <si>
    <t>Southwest Wastewater Service Area</t>
  </si>
  <si>
    <t>Pine Ridge Park    Septic to Sewer</t>
  </si>
  <si>
    <t>Okee-Tantie Wastewater Improvements</t>
  </si>
  <si>
    <t>Enhanced Public Education</t>
  </si>
  <si>
    <t>Urban Regional Basin Stormwater Treatment Area in Southwest Okeechobee County</t>
  </si>
  <si>
    <t>BMP Treatment Train</t>
  </si>
  <si>
    <t>Hydrologic Restoration</t>
  </si>
  <si>
    <t>OSTDS Phase Out</t>
  </si>
  <si>
    <t>Sunset Trail Water Quality Improvements (Crooked Lake Basin)</t>
  </si>
  <si>
    <t>Restoration of Lake Play and  Nearby Wetlands</t>
  </si>
  <si>
    <t>Lakeview Drive Roadway and Drainage Improvements</t>
  </si>
  <si>
    <t>Re-planting grant for loss vegetation on their waterbodies.</t>
  </si>
  <si>
    <t>Block old agricultural ditches thrugh wetland for re-hydration.</t>
  </si>
  <si>
    <t>Divert roadway runoff to treatment area.</t>
  </si>
  <si>
    <t>Restore historical flow patterns to adjacent wetlands.</t>
  </si>
  <si>
    <t>Water quality treatment, habitat enhancement.</t>
  </si>
  <si>
    <t>Repair/replace/rehab drainage infrastructure and roadway.</t>
  </si>
  <si>
    <t>State Road 15 (US 98) from SE 36th Avenue to SE 38th Avenue.</t>
  </si>
  <si>
    <t>US 98/US 441 from SW 23rd Street to SW 14th Street.</t>
  </si>
  <si>
    <t>Elimination of up to 2,430 connections.</t>
  </si>
  <si>
    <t>Elimination of up to 738 connections.</t>
  </si>
  <si>
    <t>Elimination of up to 80 connections.</t>
  </si>
  <si>
    <t>Elimination of up to 633 connections.</t>
  </si>
  <si>
    <t>Basin</t>
  </si>
  <si>
    <t>Wet Detention Pond</t>
  </si>
  <si>
    <t>Fisheating Creek/L-61</t>
  </si>
  <si>
    <t>C-41A, C-41, L-59E</t>
  </si>
  <si>
    <t>Lake Istokpoga, Josephine Creek, Arbuckle Creek, Lake Arbuckle</t>
  </si>
  <si>
    <t>Kissimmee River, S-65E</t>
  </si>
  <si>
    <t>Arbuckle Creek</t>
  </si>
  <si>
    <t>C-41</t>
  </si>
  <si>
    <t>S-191</t>
  </si>
  <si>
    <t>Lake Arbuckle</t>
  </si>
  <si>
    <t>Lake Rosalie</t>
  </si>
  <si>
    <t>Horse Creek</t>
  </si>
  <si>
    <t>Josephine Creek</t>
  </si>
  <si>
    <t>S-133</t>
  </si>
  <si>
    <t>reduced estimated by 30% and applied attenuation</t>
  </si>
  <si>
    <t>Project Number</t>
  </si>
  <si>
    <t>TN Reduction (mt/yr)</t>
  </si>
  <si>
    <t>TP Reduction (mt/yr)</t>
  </si>
  <si>
    <t>F-01</t>
  </si>
  <si>
    <t>F-02</t>
  </si>
  <si>
    <t>F-03</t>
  </si>
  <si>
    <t>F-04</t>
  </si>
  <si>
    <t>F-05</t>
  </si>
  <si>
    <t>F-06</t>
  </si>
  <si>
    <t>F-07</t>
  </si>
  <si>
    <t>F-08</t>
  </si>
  <si>
    <t>F-09</t>
  </si>
  <si>
    <t>F-10</t>
  </si>
  <si>
    <t>F-11</t>
  </si>
  <si>
    <t>F-12</t>
  </si>
  <si>
    <t>F-13</t>
  </si>
  <si>
    <t>F-14</t>
  </si>
  <si>
    <t>F-15</t>
  </si>
  <si>
    <t>F-16</t>
  </si>
  <si>
    <t>F-17</t>
  </si>
  <si>
    <t>F-18</t>
  </si>
  <si>
    <t>F-19</t>
  </si>
  <si>
    <t>F-20</t>
  </si>
  <si>
    <t>F-21</t>
  </si>
  <si>
    <t>F-22</t>
  </si>
  <si>
    <t>Indian Prairie</t>
  </si>
  <si>
    <t>Coordinating Agency</t>
  </si>
  <si>
    <t>Lemkin Creek Urban Stormwater Facility</t>
  </si>
  <si>
    <t>In-Lake Strategies</t>
  </si>
  <si>
    <t>Grassy Island Flow Equalization Basin</t>
  </si>
  <si>
    <t>Fisheating Creek Marsh Watershed Project</t>
  </si>
  <si>
    <t>Okeechobee County East/West Stormwater Conveyance Project</t>
  </si>
  <si>
    <t>Muck Removal/Restoration Dredging</t>
  </si>
  <si>
    <t xml:space="preserve">Low-stage, Muck Scraping, and Tilling </t>
  </si>
  <si>
    <t>Stormwater Reuse</t>
  </si>
  <si>
    <t>Stormwater Treatment Areas (STAs)</t>
  </si>
  <si>
    <t>Taylor Creek/ Nubbin Slough</t>
  </si>
  <si>
    <t>In-Lake</t>
  </si>
  <si>
    <t>L-48, L-59E</t>
  </si>
  <si>
    <t>Alternative Water Storage and Disposal Interim Project.</t>
  </si>
  <si>
    <t>Pearce/Hartman Property</t>
  </si>
  <si>
    <t xml:space="preserve">Buckhead Ridge Property </t>
  </si>
  <si>
    <t>Harney Pond</t>
  </si>
  <si>
    <t xml:space="preserve">The alternatives consist a shallow impoundment and a shallow wetland treatment system. </t>
  </si>
  <si>
    <t>Dispersed water management.</t>
  </si>
  <si>
    <t>Stormwater treatment area.</t>
  </si>
  <si>
    <t>Brady Ranch STA</t>
  </si>
  <si>
    <t>S-68 STA</t>
  </si>
  <si>
    <t>Istokpoga/ Kissimmee Reservoir and STA</t>
  </si>
  <si>
    <t>Reservoir and stormwater treatment area.</t>
  </si>
  <si>
    <t>New concepts and technologies for in-lake phosphorus treatment.</t>
  </si>
  <si>
    <t>Flow equalization basin to provide the inflows needed to maintain the wetland vegetation at the Taylor Creek STA.</t>
  </si>
  <si>
    <t>Regional Stormwater Treatment</t>
  </si>
  <si>
    <t>F-23</t>
  </si>
  <si>
    <t>F-24</t>
  </si>
  <si>
    <t>F-25</t>
  </si>
  <si>
    <t>F-26</t>
  </si>
  <si>
    <t>F-27</t>
  </si>
  <si>
    <t>F-28</t>
  </si>
  <si>
    <t>F-29</t>
  </si>
  <si>
    <t>F-30</t>
  </si>
  <si>
    <t>F-31</t>
  </si>
  <si>
    <t>F-32</t>
  </si>
  <si>
    <t>F-33</t>
  </si>
  <si>
    <t>F-34</t>
  </si>
  <si>
    <t>F-35</t>
  </si>
  <si>
    <t>F-36</t>
  </si>
  <si>
    <t>L-48</t>
  </si>
  <si>
    <t>West Water Hole Expansion</t>
  </si>
  <si>
    <t>F-37</t>
  </si>
  <si>
    <t>F-38</t>
  </si>
  <si>
    <t>C-38 Reservoir Assisted STA</t>
  </si>
  <si>
    <t>Treat water from three priority basins (S-154, S-154C and S-133).</t>
  </si>
  <si>
    <t>This public private partnership project will treat and remove phosphorus and nitrogen from the regional system by adding 500 acres to the existing project.</t>
  </si>
  <si>
    <t>S-154, S-154C, S-133</t>
  </si>
  <si>
    <t>C-40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</si>
</sst>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0.0"/>
  </numFmts>
  <fonts count="5" x14ac:knownFonts="1">
    <font>
      <sz val="11"/>
      <color theme="1"/>
      <name val="Calibri"/>
      <family val="2"/>
      <scheme val="minor"/>
    </font>
    <font>
      <sz val="11"/>
      <color theme="1"/>
      <name val="Calibri"/>
      <family val="2"/>
      <scheme val="minor"/>
    </font>
    <font>
      <sz val="10"/>
      <color theme="1"/>
      <name val="Times New Roman"/>
      <family val="1"/>
    </font>
    <font>
      <sz val="10"/>
      <color rgb="FF000000"/>
      <name val="Times New Roman"/>
      <family val="1"/>
    </font>
    <font>
      <b/>
      <sz val="10"/>
      <color rgb="FF000000"/>
      <name val="Times New Roman"/>
      <family val="1"/>
    </font>
  </fonts>
  <fills count="3">
    <fill>
      <patternFill patternType="none"/>
    </fill>
    <fill>
      <patternFill patternType="gray125"/>
    </fill>
    <fill>
      <patternFill patternType="solid">
        <fgColor rgb="FFC0C0C0"/>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22">
    <xf numFmtId="0" fontId="0" fillId="0" borderId="0" xfId="0"/>
    <xf numFmtId="0" fontId="2" fillId="0" borderId="0" xfId="0" applyFont="1" applyBorder="1" applyAlignment="1">
      <alignment wrapText="1"/>
    </xf>
    <xf numFmtId="164" fontId="2" fillId="0" borderId="0" xfId="0" applyNumberFormat="1" applyFont="1" applyBorder="1" applyAlignment="1">
      <alignment wrapText="1"/>
    </xf>
    <xf numFmtId="165" fontId="2" fillId="0" borderId="0" xfId="0" applyNumberFormat="1" applyFont="1" applyBorder="1" applyAlignment="1">
      <alignment wrapText="1"/>
    </xf>
    <xf numFmtId="0" fontId="4" fillId="2" borderId="1" xfId="0" applyFont="1" applyFill="1" applyBorder="1" applyAlignment="1" applyProtection="1">
      <alignment horizontal="center" wrapText="1"/>
    </xf>
    <xf numFmtId="165" fontId="4" fillId="2" borderId="1" xfId="0" applyNumberFormat="1" applyFont="1" applyFill="1" applyBorder="1" applyAlignment="1" applyProtection="1">
      <alignment horizontal="center" wrapText="1"/>
    </xf>
    <xf numFmtId="164" fontId="4" fillId="2" borderId="1" xfId="0" applyNumberFormat="1" applyFont="1" applyFill="1" applyBorder="1" applyAlignment="1" applyProtection="1">
      <alignment horizontal="center" wrapText="1"/>
    </xf>
    <xf numFmtId="0" fontId="2" fillId="0" borderId="1" xfId="0" applyFont="1" applyBorder="1" applyAlignment="1">
      <alignment horizontal="left" wrapText="1"/>
    </xf>
    <xf numFmtId="164" fontId="2" fillId="0" borderId="1" xfId="0" applyNumberFormat="1" applyFont="1" applyBorder="1" applyAlignment="1">
      <alignment horizontal="left" wrapText="1"/>
    </xf>
    <xf numFmtId="0" fontId="2" fillId="0" borderId="0" xfId="0" applyFont="1" applyBorder="1" applyAlignment="1">
      <alignment horizontal="left" wrapText="1"/>
    </xf>
    <xf numFmtId="165" fontId="2" fillId="0" borderId="1" xfId="0" applyNumberFormat="1" applyFont="1" applyFill="1" applyBorder="1" applyAlignment="1">
      <alignment horizontal="left" wrapText="1"/>
    </xf>
    <xf numFmtId="0" fontId="3" fillId="0" borderId="1" xfId="1" applyFont="1" applyBorder="1" applyAlignment="1">
      <alignment horizontal="left" wrapText="1"/>
    </xf>
    <xf numFmtId="3" fontId="4" fillId="2" borderId="1" xfId="0" applyNumberFormat="1" applyFont="1" applyFill="1" applyBorder="1" applyAlignment="1" applyProtection="1">
      <alignment horizontal="center" wrapText="1"/>
    </xf>
    <xf numFmtId="3" fontId="2" fillId="0" borderId="1" xfId="0" applyNumberFormat="1" applyFont="1" applyBorder="1" applyAlignment="1">
      <alignment horizontal="left" wrapText="1"/>
    </xf>
    <xf numFmtId="3" fontId="2" fillId="0" borderId="0" xfId="0" applyNumberFormat="1" applyFont="1" applyBorder="1" applyAlignment="1">
      <alignment wrapText="1"/>
    </xf>
    <xf numFmtId="0" fontId="2" fillId="0" borderId="1" xfId="0" applyFont="1" applyFill="1" applyBorder="1" applyAlignment="1">
      <alignment horizontal="left" wrapText="1"/>
    </xf>
    <xf numFmtId="0" fontId="2" fillId="0" borderId="0" xfId="0" applyFont="1" applyBorder="1" applyAlignment="1">
      <alignment horizontal="left"/>
    </xf>
    <xf numFmtId="2" fontId="2" fillId="0" borderId="1" xfId="0" applyNumberFormat="1" applyFont="1" applyBorder="1" applyAlignment="1">
      <alignment horizontal="left"/>
    </xf>
    <xf numFmtId="0" fontId="2" fillId="0" borderId="1" xfId="0" applyFont="1" applyBorder="1" applyAlignment="1">
      <alignment wrapText="1"/>
    </xf>
    <xf numFmtId="165" fontId="2" fillId="0" borderId="1" xfId="0" applyNumberFormat="1" applyFont="1" applyBorder="1" applyAlignment="1">
      <alignment wrapText="1"/>
    </xf>
    <xf numFmtId="164" fontId="2" fillId="0" borderId="0" xfId="0" applyNumberFormat="1" applyFont="1" applyBorder="1" applyAlignment="1">
      <alignment horizontal="left" wrapText="1"/>
    </xf>
    <xf numFmtId="164" fontId="2" fillId="0" borderId="1" xfId="0" applyNumberFormat="1" applyFont="1" applyBorder="1" applyAlignment="1">
      <alignment wrapText="1"/>
    </xf>
  </cellXfs>
  <cellStyles count="2">
    <cellStyle name="Normal" xfId="0" builtinId="0"/>
    <cellStyle name="Normal 16" xfId="1" xr:uid="{755A2B34-CD63-4167-B03E-340A7B2410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cts/FDEP%20Facilitation/Lake%20Okeechobee/Project%20Collection/Received/Highlands%20and%20IMWID/Copy%20of%20Lake%20Okeechobee%20project%20collection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Collection Sheet"/>
      <sheetName val="Project Types"/>
      <sheetName val="Sheet3"/>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038E9-41EE-4190-BC04-8FDF4E1B6C32}">
  <dimension ref="A1:T39"/>
  <sheetViews>
    <sheetView tabSelected="1" zoomScale="75" zoomScaleNormal="75" workbookViewId="0">
      <pane ySplit="1" topLeftCell="A30" activePane="bottomLeft" state="frozen"/>
      <selection pane="bottomLeft" activeCell="E35" sqref="E35"/>
    </sheetView>
  </sheetViews>
  <sheetFormatPr defaultRowHeight="13.2" x14ac:dyDescent="0.25"/>
  <cols>
    <col min="1" max="1" width="14.6640625" style="1" customWidth="1"/>
    <col min="2" max="3" width="13.109375" style="1" customWidth="1"/>
    <col min="4" max="4" width="16.5546875" style="1" customWidth="1"/>
    <col min="5" max="5" width="39.77734375" style="1" customWidth="1"/>
    <col min="6" max="6" width="22.109375" style="1" customWidth="1"/>
    <col min="7" max="7" width="10.88671875" style="1" customWidth="1"/>
    <col min="8" max="8" width="8.88671875" style="14"/>
    <col min="9" max="10" width="11.6640625" style="3" customWidth="1"/>
    <col min="11" max="12" width="10.21875" style="3" customWidth="1"/>
    <col min="13" max="14" width="12.109375" style="1" customWidth="1"/>
    <col min="15" max="15" width="10.6640625" style="2" customWidth="1"/>
    <col min="16" max="16" width="8.88671875" style="2"/>
    <col min="17" max="17" width="10.33203125" style="1" hidden="1" customWidth="1"/>
    <col min="18" max="18" width="10.77734375" style="1" hidden="1" customWidth="1"/>
    <col min="19" max="19" width="12.88671875" style="1" hidden="1" customWidth="1"/>
    <col min="20" max="20" width="8.88671875" style="1"/>
    <col min="21" max="21" width="11.44140625" style="1" bestFit="1" customWidth="1"/>
    <col min="22" max="16384" width="8.88671875" style="1"/>
  </cols>
  <sheetData>
    <row r="1" spans="1:20" ht="39.6" x14ac:dyDescent="0.25">
      <c r="A1" s="4" t="s">
        <v>5</v>
      </c>
      <c r="B1" s="4" t="s">
        <v>6</v>
      </c>
      <c r="C1" s="4" t="s">
        <v>93</v>
      </c>
      <c r="D1" s="4" t="s">
        <v>7</v>
      </c>
      <c r="E1" s="4" t="s">
        <v>1</v>
      </c>
      <c r="F1" s="4" t="s">
        <v>2</v>
      </c>
      <c r="G1" s="4" t="s">
        <v>8</v>
      </c>
      <c r="H1" s="12" t="s">
        <v>12</v>
      </c>
      <c r="I1" s="5" t="s">
        <v>9</v>
      </c>
      <c r="J1" s="5" t="s">
        <v>94</v>
      </c>
      <c r="K1" s="5" t="s">
        <v>10</v>
      </c>
      <c r="L1" s="5" t="s">
        <v>95</v>
      </c>
      <c r="M1" s="4" t="s">
        <v>11</v>
      </c>
      <c r="N1" s="4" t="s">
        <v>78</v>
      </c>
      <c r="O1" s="6" t="s">
        <v>13</v>
      </c>
      <c r="P1" s="6" t="s">
        <v>14</v>
      </c>
      <c r="Q1" s="4" t="s">
        <v>15</v>
      </c>
      <c r="R1" s="4" t="s">
        <v>16</v>
      </c>
      <c r="S1" s="4" t="s">
        <v>17</v>
      </c>
    </row>
    <row r="2" spans="1:20" s="9" customFormat="1" ht="39.6" x14ac:dyDescent="0.25">
      <c r="A2" s="7" t="s">
        <v>18</v>
      </c>
      <c r="B2" s="7" t="s">
        <v>19</v>
      </c>
      <c r="C2" s="7" t="s">
        <v>96</v>
      </c>
      <c r="D2" s="7" t="s">
        <v>20</v>
      </c>
      <c r="E2" s="7" t="s">
        <v>21</v>
      </c>
      <c r="F2" s="11" t="s">
        <v>58</v>
      </c>
      <c r="G2" s="7" t="s">
        <v>42</v>
      </c>
      <c r="H2" s="7" t="s">
        <v>38</v>
      </c>
      <c r="I2" s="7" t="s">
        <v>38</v>
      </c>
      <c r="J2" s="7" t="s">
        <v>38</v>
      </c>
      <c r="K2" s="7" t="s">
        <v>38</v>
      </c>
      <c r="L2" s="7" t="s">
        <v>38</v>
      </c>
      <c r="M2" s="7" t="s">
        <v>46</v>
      </c>
      <c r="N2" s="7" t="s">
        <v>80</v>
      </c>
      <c r="O2" s="7" t="s">
        <v>38</v>
      </c>
      <c r="P2" s="7" t="s">
        <v>38</v>
      </c>
      <c r="Q2" s="7" t="s">
        <v>38</v>
      </c>
      <c r="R2" s="7" t="s">
        <v>38</v>
      </c>
      <c r="S2" s="7" t="s">
        <v>37</v>
      </c>
    </row>
    <row r="3" spans="1:20" s="9" customFormat="1" ht="26.4" x14ac:dyDescent="0.25">
      <c r="A3" s="7" t="s">
        <v>18</v>
      </c>
      <c r="B3" s="7" t="s">
        <v>19</v>
      </c>
      <c r="C3" s="7" t="s">
        <v>97</v>
      </c>
      <c r="D3" s="7" t="s">
        <v>22</v>
      </c>
      <c r="E3" s="7" t="s">
        <v>66</v>
      </c>
      <c r="F3" s="11" t="s">
        <v>23</v>
      </c>
      <c r="G3" s="7" t="s">
        <v>42</v>
      </c>
      <c r="H3" s="7" t="s">
        <v>38</v>
      </c>
      <c r="I3" s="7" t="s">
        <v>38</v>
      </c>
      <c r="J3" s="7" t="s">
        <v>38</v>
      </c>
      <c r="K3" s="7" t="s">
        <v>38</v>
      </c>
      <c r="L3" s="7" t="s">
        <v>38</v>
      </c>
      <c r="M3" s="7" t="s">
        <v>46</v>
      </c>
      <c r="N3" s="7" t="s">
        <v>80</v>
      </c>
      <c r="O3" s="7" t="s">
        <v>38</v>
      </c>
      <c r="P3" s="7" t="s">
        <v>38</v>
      </c>
      <c r="Q3" s="7" t="s">
        <v>38</v>
      </c>
      <c r="R3" s="7" t="s">
        <v>38</v>
      </c>
      <c r="S3" s="7" t="s">
        <v>37</v>
      </c>
    </row>
    <row r="4" spans="1:20" s="9" customFormat="1" ht="39.6" x14ac:dyDescent="0.25">
      <c r="A4" s="18" t="s">
        <v>119</v>
      </c>
      <c r="B4" s="18" t="s">
        <v>37</v>
      </c>
      <c r="C4" s="7" t="s">
        <v>98</v>
      </c>
      <c r="D4" s="18" t="s">
        <v>123</v>
      </c>
      <c r="E4" s="18" t="s">
        <v>137</v>
      </c>
      <c r="F4" s="18" t="s">
        <v>25</v>
      </c>
      <c r="G4" s="7" t="s">
        <v>48</v>
      </c>
      <c r="H4" s="8" t="s">
        <v>38</v>
      </c>
      <c r="I4" s="8" t="s">
        <v>38</v>
      </c>
      <c r="J4" s="8" t="s">
        <v>38</v>
      </c>
      <c r="K4" s="19">
        <f>ROUND((4.6*2204.6226218)*(1-0.38),1)</f>
        <v>6287.6</v>
      </c>
      <c r="L4" s="17">
        <f>K4*0.00045359237</f>
        <v>2.8520073856120001</v>
      </c>
      <c r="M4" s="18" t="s">
        <v>46</v>
      </c>
      <c r="N4" s="18" t="s">
        <v>80</v>
      </c>
      <c r="O4" s="8" t="s">
        <v>38</v>
      </c>
      <c r="P4" s="8" t="s">
        <v>38</v>
      </c>
      <c r="Q4" s="18"/>
      <c r="R4" s="18"/>
      <c r="S4" s="18"/>
      <c r="T4" s="1"/>
    </row>
    <row r="5" spans="1:20" s="9" customFormat="1" ht="26.4" x14ac:dyDescent="0.25">
      <c r="A5" s="18" t="s">
        <v>119</v>
      </c>
      <c r="B5" s="18" t="s">
        <v>37</v>
      </c>
      <c r="C5" s="7" t="s">
        <v>99</v>
      </c>
      <c r="D5" s="18" t="s">
        <v>46</v>
      </c>
      <c r="E5" s="18" t="s">
        <v>132</v>
      </c>
      <c r="F5" s="18" t="s">
        <v>127</v>
      </c>
      <c r="G5" s="7" t="s">
        <v>48</v>
      </c>
      <c r="H5" s="8" t="s">
        <v>38</v>
      </c>
      <c r="I5" s="8" t="s">
        <v>38</v>
      </c>
      <c r="J5" s="8" t="s">
        <v>38</v>
      </c>
      <c r="K5" s="19">
        <f>ROUND((0.242*2204.6226218)*(1-0.38),1)</f>
        <v>330.8</v>
      </c>
      <c r="L5" s="17">
        <f>K5*0.00045359237</f>
        <v>0.150048355996</v>
      </c>
      <c r="M5" s="18" t="s">
        <v>46</v>
      </c>
      <c r="N5" s="18" t="s">
        <v>46</v>
      </c>
      <c r="O5" s="8" t="s">
        <v>38</v>
      </c>
      <c r="P5" s="8" t="s">
        <v>38</v>
      </c>
      <c r="Q5" s="18"/>
      <c r="R5" s="18"/>
      <c r="S5" s="18"/>
      <c r="T5" s="1"/>
    </row>
    <row r="6" spans="1:20" s="9" customFormat="1" ht="39.6" x14ac:dyDescent="0.25">
      <c r="A6" s="7" t="s">
        <v>18</v>
      </c>
      <c r="B6" s="7" t="s">
        <v>19</v>
      </c>
      <c r="C6" s="7" t="s">
        <v>100</v>
      </c>
      <c r="D6" s="7" t="s">
        <v>20</v>
      </c>
      <c r="E6" s="7" t="s">
        <v>21</v>
      </c>
      <c r="F6" s="11" t="s">
        <v>58</v>
      </c>
      <c r="G6" s="7" t="s">
        <v>42</v>
      </c>
      <c r="H6" s="7" t="s">
        <v>38</v>
      </c>
      <c r="I6" s="7" t="s">
        <v>38</v>
      </c>
      <c r="J6" s="7" t="s">
        <v>38</v>
      </c>
      <c r="K6" s="7" t="s">
        <v>38</v>
      </c>
      <c r="L6" s="7" t="s">
        <v>38</v>
      </c>
      <c r="M6" s="7" t="s">
        <v>118</v>
      </c>
      <c r="N6" s="7" t="s">
        <v>81</v>
      </c>
      <c r="O6" s="7" t="s">
        <v>38</v>
      </c>
      <c r="P6" s="7" t="s">
        <v>38</v>
      </c>
      <c r="Q6" s="7" t="s">
        <v>38</v>
      </c>
      <c r="R6" s="7" t="s">
        <v>38</v>
      </c>
      <c r="S6" s="7" t="s">
        <v>37</v>
      </c>
    </row>
    <row r="7" spans="1:20" s="9" customFormat="1" ht="26.4" x14ac:dyDescent="0.25">
      <c r="A7" s="7" t="s">
        <v>18</v>
      </c>
      <c r="B7" s="7" t="s">
        <v>19</v>
      </c>
      <c r="C7" s="7" t="s">
        <v>101</v>
      </c>
      <c r="D7" s="7" t="s">
        <v>22</v>
      </c>
      <c r="E7" s="7" t="s">
        <v>66</v>
      </c>
      <c r="F7" s="11" t="s">
        <v>23</v>
      </c>
      <c r="G7" s="7" t="s">
        <v>42</v>
      </c>
      <c r="H7" s="7" t="s">
        <v>38</v>
      </c>
      <c r="I7" s="7" t="s">
        <v>38</v>
      </c>
      <c r="J7" s="7" t="s">
        <v>38</v>
      </c>
      <c r="K7" s="7" t="s">
        <v>38</v>
      </c>
      <c r="L7" s="7" t="s">
        <v>38</v>
      </c>
      <c r="M7" s="7" t="s">
        <v>118</v>
      </c>
      <c r="N7" s="7" t="s">
        <v>81</v>
      </c>
      <c r="O7" s="7" t="s">
        <v>38</v>
      </c>
      <c r="P7" s="7" t="s">
        <v>38</v>
      </c>
      <c r="Q7" s="7" t="s">
        <v>38</v>
      </c>
      <c r="R7" s="7" t="s">
        <v>38</v>
      </c>
      <c r="S7" s="7" t="s">
        <v>37</v>
      </c>
    </row>
    <row r="8" spans="1:20" s="9" customFormat="1" ht="39.6" x14ac:dyDescent="0.25">
      <c r="A8" s="7" t="s">
        <v>18</v>
      </c>
      <c r="B8" s="7" t="s">
        <v>19</v>
      </c>
      <c r="C8" s="7" t="s">
        <v>102</v>
      </c>
      <c r="D8" s="7" t="s">
        <v>27</v>
      </c>
      <c r="E8" s="7" t="s">
        <v>28</v>
      </c>
      <c r="F8" s="11" t="s">
        <v>25</v>
      </c>
      <c r="G8" s="7" t="s">
        <v>48</v>
      </c>
      <c r="H8" s="13">
        <v>500</v>
      </c>
      <c r="I8" s="7" t="s">
        <v>38</v>
      </c>
      <c r="J8" s="7" t="s">
        <v>38</v>
      </c>
      <c r="K8" s="7" t="s">
        <v>38</v>
      </c>
      <c r="L8" s="7" t="s">
        <v>38</v>
      </c>
      <c r="M8" s="7" t="s">
        <v>118</v>
      </c>
      <c r="N8" s="7" t="s">
        <v>85</v>
      </c>
      <c r="O8" s="7" t="s">
        <v>38</v>
      </c>
      <c r="P8" s="7" t="s">
        <v>38</v>
      </c>
      <c r="Q8" s="7" t="s">
        <v>38</v>
      </c>
      <c r="R8" s="7" t="s">
        <v>38</v>
      </c>
      <c r="S8" s="7" t="s">
        <v>37</v>
      </c>
    </row>
    <row r="9" spans="1:20" s="9" customFormat="1" ht="26.4" x14ac:dyDescent="0.25">
      <c r="A9" s="18" t="s">
        <v>119</v>
      </c>
      <c r="B9" s="18" t="s">
        <v>37</v>
      </c>
      <c r="C9" s="7" t="s">
        <v>103</v>
      </c>
      <c r="D9" s="18" t="s">
        <v>133</v>
      </c>
      <c r="E9" s="18" t="s">
        <v>132</v>
      </c>
      <c r="F9" s="18" t="s">
        <v>127</v>
      </c>
      <c r="G9" s="7" t="s">
        <v>48</v>
      </c>
      <c r="H9" s="8" t="s">
        <v>38</v>
      </c>
      <c r="I9" s="8" t="s">
        <v>38</v>
      </c>
      <c r="J9" s="8" t="s">
        <v>38</v>
      </c>
      <c r="K9" s="19">
        <f>ROUND((0.74*2204.6226218)*(1-0.03),1)</f>
        <v>1582.5</v>
      </c>
      <c r="L9" s="17">
        <f>K9*0.00045359237</f>
        <v>0.717809925525</v>
      </c>
      <c r="M9" s="18" t="s">
        <v>118</v>
      </c>
      <c r="N9" s="18" t="s">
        <v>131</v>
      </c>
      <c r="O9" s="8" t="s">
        <v>38</v>
      </c>
      <c r="P9" s="8" t="s">
        <v>38</v>
      </c>
      <c r="Q9" s="18"/>
      <c r="R9" s="18"/>
      <c r="S9" s="18"/>
      <c r="T9" s="1"/>
    </row>
    <row r="10" spans="1:20" s="9" customFormat="1" ht="26.4" x14ac:dyDescent="0.25">
      <c r="A10" s="18" t="s">
        <v>119</v>
      </c>
      <c r="B10" s="18" t="s">
        <v>37</v>
      </c>
      <c r="C10" s="7" t="s">
        <v>104</v>
      </c>
      <c r="D10" s="18" t="s">
        <v>134</v>
      </c>
      <c r="E10" s="18" t="s">
        <v>132</v>
      </c>
      <c r="F10" s="18" t="s">
        <v>127</v>
      </c>
      <c r="G10" s="7" t="s">
        <v>48</v>
      </c>
      <c r="H10" s="8" t="s">
        <v>38</v>
      </c>
      <c r="I10" s="8" t="s">
        <v>38</v>
      </c>
      <c r="J10" s="8" t="s">
        <v>38</v>
      </c>
      <c r="K10" s="19">
        <f>ROUND((0.011*2204.6226218)*(1-0.03),1)</f>
        <v>23.5</v>
      </c>
      <c r="L10" s="17">
        <f>ROUND((K10*0.00045359237)*(1-0.03),1)</f>
        <v>0</v>
      </c>
      <c r="M10" s="18" t="s">
        <v>118</v>
      </c>
      <c r="N10" s="18" t="s">
        <v>160</v>
      </c>
      <c r="O10" s="8" t="s">
        <v>38</v>
      </c>
      <c r="P10" s="8" t="s">
        <v>38</v>
      </c>
      <c r="Q10" s="18"/>
      <c r="R10" s="18"/>
      <c r="S10" s="18"/>
      <c r="T10" s="1"/>
    </row>
    <row r="11" spans="1:20" s="9" customFormat="1" ht="26.4" x14ac:dyDescent="0.25">
      <c r="A11" s="18" t="s">
        <v>119</v>
      </c>
      <c r="B11" s="18" t="s">
        <v>37</v>
      </c>
      <c r="C11" s="7" t="s">
        <v>105</v>
      </c>
      <c r="D11" s="18" t="s">
        <v>135</v>
      </c>
      <c r="E11" s="18" t="s">
        <v>132</v>
      </c>
      <c r="F11" s="18" t="s">
        <v>127</v>
      </c>
      <c r="G11" s="7" t="s">
        <v>48</v>
      </c>
      <c r="H11" s="8" t="s">
        <v>38</v>
      </c>
      <c r="I11" s="8" t="s">
        <v>38</v>
      </c>
      <c r="J11" s="8" t="s">
        <v>38</v>
      </c>
      <c r="K11" s="19">
        <f>ROUND((0.013*2204.6226218)*(1-0.03),1)</f>
        <v>27.8</v>
      </c>
      <c r="L11" s="17">
        <f>K11*0.00045359237</f>
        <v>1.2609867885999999E-2</v>
      </c>
      <c r="M11" s="18" t="s">
        <v>118</v>
      </c>
      <c r="N11" s="8" t="s">
        <v>85</v>
      </c>
      <c r="O11" s="8" t="s">
        <v>38</v>
      </c>
      <c r="P11" s="8" t="s">
        <v>38</v>
      </c>
      <c r="Q11" s="18"/>
      <c r="R11" s="18"/>
      <c r="S11" s="18"/>
      <c r="T11" s="1"/>
    </row>
    <row r="12" spans="1:20" s="9" customFormat="1" ht="26.4" x14ac:dyDescent="0.25">
      <c r="A12" s="18" t="s">
        <v>119</v>
      </c>
      <c r="B12" s="18" t="s">
        <v>37</v>
      </c>
      <c r="C12" s="7" t="s">
        <v>106</v>
      </c>
      <c r="D12" s="18" t="s">
        <v>118</v>
      </c>
      <c r="E12" s="18" t="s">
        <v>132</v>
      </c>
      <c r="F12" s="18" t="s">
        <v>127</v>
      </c>
      <c r="G12" s="7" t="s">
        <v>48</v>
      </c>
      <c r="H12" s="8" t="s">
        <v>38</v>
      </c>
      <c r="I12" s="8" t="s">
        <v>38</v>
      </c>
      <c r="J12" s="8" t="s">
        <v>38</v>
      </c>
      <c r="K12" s="19">
        <f>ROUND((0.022*2204.6226218)*(1-0.03),1)</f>
        <v>47</v>
      </c>
      <c r="L12" s="17">
        <f>K12*0.00045359237</f>
        <v>2.1318841389999999E-2</v>
      </c>
      <c r="M12" s="18" t="s">
        <v>118</v>
      </c>
      <c r="N12" s="18" t="s">
        <v>38</v>
      </c>
      <c r="O12" s="8" t="s">
        <v>38</v>
      </c>
      <c r="P12" s="8" t="s">
        <v>38</v>
      </c>
      <c r="Q12" s="18"/>
      <c r="R12" s="18"/>
      <c r="S12" s="18"/>
      <c r="T12" s="1"/>
    </row>
    <row r="13" spans="1:20" s="9" customFormat="1" ht="26.4" x14ac:dyDescent="0.25">
      <c r="A13" s="18" t="s">
        <v>119</v>
      </c>
      <c r="B13" s="18" t="s">
        <v>37</v>
      </c>
      <c r="C13" s="7" t="s">
        <v>107</v>
      </c>
      <c r="D13" s="18" t="s">
        <v>140</v>
      </c>
      <c r="E13" s="18" t="s">
        <v>138</v>
      </c>
      <c r="F13" s="18" t="s">
        <v>128</v>
      </c>
      <c r="G13" s="7" t="s">
        <v>48</v>
      </c>
      <c r="H13" s="8" t="s">
        <v>38</v>
      </c>
      <c r="I13" s="8" t="s">
        <v>38</v>
      </c>
      <c r="J13" s="8" t="s">
        <v>38</v>
      </c>
      <c r="K13" s="19">
        <f>ROUND((8*2204.6226218)*(1-0.03),1)</f>
        <v>17107.900000000001</v>
      </c>
      <c r="L13" s="17">
        <f>K13*0.00045359237</f>
        <v>7.7600129067230004</v>
      </c>
      <c r="M13" s="18" t="s">
        <v>118</v>
      </c>
      <c r="N13" s="8" t="s">
        <v>85</v>
      </c>
      <c r="O13" s="8" t="s">
        <v>38</v>
      </c>
      <c r="P13" s="8" t="s">
        <v>38</v>
      </c>
      <c r="Q13" s="18"/>
      <c r="R13" s="18"/>
      <c r="S13" s="18"/>
      <c r="T13" s="1"/>
    </row>
    <row r="14" spans="1:20" s="9" customFormat="1" ht="39.6" x14ac:dyDescent="0.25">
      <c r="A14" s="18" t="s">
        <v>119</v>
      </c>
      <c r="B14" s="18" t="s">
        <v>37</v>
      </c>
      <c r="C14" s="7" t="s">
        <v>108</v>
      </c>
      <c r="D14" s="18" t="s">
        <v>141</v>
      </c>
      <c r="E14" s="18" t="s">
        <v>142</v>
      </c>
      <c r="F14" s="18" t="s">
        <v>128</v>
      </c>
      <c r="G14" s="7" t="s">
        <v>48</v>
      </c>
      <c r="H14" s="8" t="s">
        <v>38</v>
      </c>
      <c r="I14" s="8" t="s">
        <v>38</v>
      </c>
      <c r="J14" s="8" t="s">
        <v>38</v>
      </c>
      <c r="K14" s="19">
        <f>ROUND((9*2204.6226218)*(1-0.03),1)</f>
        <v>19246.400000000001</v>
      </c>
      <c r="L14" s="17">
        <f>K14*0.00045359237</f>
        <v>8.7300201899680001</v>
      </c>
      <c r="M14" s="18" t="s">
        <v>118</v>
      </c>
      <c r="N14" s="8" t="s">
        <v>85</v>
      </c>
      <c r="O14" s="8" t="s">
        <v>38</v>
      </c>
      <c r="P14" s="8" t="s">
        <v>38</v>
      </c>
      <c r="Q14" s="18"/>
      <c r="R14" s="18"/>
      <c r="S14" s="18"/>
      <c r="T14" s="1"/>
    </row>
    <row r="15" spans="1:20" s="9" customFormat="1" ht="52.8" x14ac:dyDescent="0.25">
      <c r="A15" s="18" t="s">
        <v>119</v>
      </c>
      <c r="B15" s="18" t="s">
        <v>37</v>
      </c>
      <c r="C15" s="7" t="s">
        <v>109</v>
      </c>
      <c r="D15" s="18" t="s">
        <v>161</v>
      </c>
      <c r="E15" s="18" t="s">
        <v>166</v>
      </c>
      <c r="F15" s="11" t="s">
        <v>25</v>
      </c>
      <c r="G15" s="18" t="s">
        <v>48</v>
      </c>
      <c r="H15" s="8" t="s">
        <v>38</v>
      </c>
      <c r="I15" s="8" t="s">
        <v>38</v>
      </c>
      <c r="J15" s="8" t="s">
        <v>38</v>
      </c>
      <c r="K15" s="19">
        <f>ROUND((1*2204.6226218)*(1-0.03),1)</f>
        <v>2138.5</v>
      </c>
      <c r="L15" s="17">
        <f>K15*0.00045359237</f>
        <v>0.97000728324499996</v>
      </c>
      <c r="M15" s="18" t="s">
        <v>118</v>
      </c>
      <c r="N15" s="18" t="s">
        <v>168</v>
      </c>
      <c r="O15" s="21" t="s">
        <v>38</v>
      </c>
      <c r="P15" s="21" t="s">
        <v>38</v>
      </c>
      <c r="Q15" s="18"/>
      <c r="R15" s="18"/>
      <c r="S15" s="18"/>
      <c r="T15" s="1"/>
    </row>
    <row r="16" spans="1:20" s="9" customFormat="1" ht="92.4" x14ac:dyDescent="0.25">
      <c r="A16" s="7" t="s">
        <v>18</v>
      </c>
      <c r="B16" s="7" t="s">
        <v>19</v>
      </c>
      <c r="C16" s="7" t="s">
        <v>110</v>
      </c>
      <c r="D16" s="7" t="s">
        <v>20</v>
      </c>
      <c r="E16" s="7" t="s">
        <v>21</v>
      </c>
      <c r="F16" s="11" t="s">
        <v>58</v>
      </c>
      <c r="G16" s="7" t="s">
        <v>42</v>
      </c>
      <c r="H16" s="7" t="s">
        <v>38</v>
      </c>
      <c r="I16" s="7" t="s">
        <v>38</v>
      </c>
      <c r="J16" s="7" t="s">
        <v>38</v>
      </c>
      <c r="K16" s="7" t="s">
        <v>38</v>
      </c>
      <c r="L16" s="7" t="s">
        <v>38</v>
      </c>
      <c r="M16" s="7" t="s">
        <v>26</v>
      </c>
      <c r="N16" s="7" t="s">
        <v>82</v>
      </c>
      <c r="O16" s="7" t="s">
        <v>38</v>
      </c>
      <c r="P16" s="7" t="s">
        <v>38</v>
      </c>
      <c r="Q16" s="7" t="s">
        <v>38</v>
      </c>
      <c r="R16" s="7" t="s">
        <v>38</v>
      </c>
      <c r="S16" s="7" t="s">
        <v>37</v>
      </c>
    </row>
    <row r="17" spans="1:20" s="9" customFormat="1" ht="92.4" x14ac:dyDescent="0.25">
      <c r="A17" s="7" t="s">
        <v>18</v>
      </c>
      <c r="B17" s="7" t="s">
        <v>19</v>
      </c>
      <c r="C17" s="7" t="s">
        <v>111</v>
      </c>
      <c r="D17" s="7" t="s">
        <v>22</v>
      </c>
      <c r="E17" s="7" t="s">
        <v>66</v>
      </c>
      <c r="F17" s="11" t="s">
        <v>23</v>
      </c>
      <c r="G17" s="7" t="s">
        <v>42</v>
      </c>
      <c r="H17" s="7" t="s">
        <v>38</v>
      </c>
      <c r="I17" s="7" t="s">
        <v>38</v>
      </c>
      <c r="J17" s="7" t="s">
        <v>38</v>
      </c>
      <c r="K17" s="7" t="s">
        <v>38</v>
      </c>
      <c r="L17" s="7" t="s">
        <v>38</v>
      </c>
      <c r="M17" s="7" t="s">
        <v>26</v>
      </c>
      <c r="N17" s="7" t="s">
        <v>82</v>
      </c>
      <c r="O17" s="7" t="s">
        <v>38</v>
      </c>
      <c r="P17" s="7" t="s">
        <v>38</v>
      </c>
      <c r="Q17" s="7" t="s">
        <v>38</v>
      </c>
      <c r="R17" s="7" t="s">
        <v>38</v>
      </c>
      <c r="S17" s="7" t="s">
        <v>37</v>
      </c>
    </row>
    <row r="18" spans="1:20" s="9" customFormat="1" ht="105.6" x14ac:dyDescent="0.25">
      <c r="A18" s="7" t="s">
        <v>18</v>
      </c>
      <c r="B18" s="7" t="s">
        <v>19</v>
      </c>
      <c r="C18" s="7" t="s">
        <v>112</v>
      </c>
      <c r="D18" s="7" t="s">
        <v>44</v>
      </c>
      <c r="E18" s="7" t="s">
        <v>24</v>
      </c>
      <c r="F18" s="11" t="s">
        <v>25</v>
      </c>
      <c r="G18" s="7" t="s">
        <v>48</v>
      </c>
      <c r="H18" s="7" t="s">
        <v>38</v>
      </c>
      <c r="I18" s="7" t="s">
        <v>38</v>
      </c>
      <c r="J18" s="7" t="s">
        <v>38</v>
      </c>
      <c r="K18" s="7" t="s">
        <v>38</v>
      </c>
      <c r="L18" s="7" t="s">
        <v>38</v>
      </c>
      <c r="M18" s="7" t="s">
        <v>26</v>
      </c>
      <c r="N18" s="7" t="s">
        <v>84</v>
      </c>
      <c r="O18" s="7" t="s">
        <v>38</v>
      </c>
      <c r="P18" s="7" t="s">
        <v>38</v>
      </c>
      <c r="Q18" s="7" t="s">
        <v>38</v>
      </c>
      <c r="R18" s="7" t="s">
        <v>38</v>
      </c>
      <c r="S18" s="7" t="s">
        <v>37</v>
      </c>
    </row>
    <row r="19" spans="1:20" s="9" customFormat="1" ht="52.8" x14ac:dyDescent="0.25">
      <c r="A19" s="7" t="s">
        <v>40</v>
      </c>
      <c r="B19" s="7" t="s">
        <v>37</v>
      </c>
      <c r="C19" s="7" t="s">
        <v>113</v>
      </c>
      <c r="D19" s="7" t="s">
        <v>65</v>
      </c>
      <c r="E19" s="7" t="s">
        <v>71</v>
      </c>
      <c r="F19" s="15" t="s">
        <v>41</v>
      </c>
      <c r="G19" s="7" t="s">
        <v>42</v>
      </c>
      <c r="H19" s="8" t="s">
        <v>38</v>
      </c>
      <c r="I19" s="7" t="s">
        <v>38</v>
      </c>
      <c r="J19" s="7" t="s">
        <v>38</v>
      </c>
      <c r="K19" s="7" t="s">
        <v>38</v>
      </c>
      <c r="L19" s="7" t="s">
        <v>38</v>
      </c>
      <c r="M19" s="7" t="s">
        <v>26</v>
      </c>
      <c r="N19" s="13" t="s">
        <v>90</v>
      </c>
      <c r="O19" s="8" t="s">
        <v>38</v>
      </c>
      <c r="P19" s="8" t="s">
        <v>38</v>
      </c>
      <c r="Q19" s="7" t="s">
        <v>43</v>
      </c>
      <c r="R19" s="7" t="s">
        <v>38</v>
      </c>
      <c r="S19" s="7" t="s">
        <v>37</v>
      </c>
    </row>
    <row r="20" spans="1:20" ht="39.6" x14ac:dyDescent="0.25">
      <c r="A20" s="7" t="s">
        <v>18</v>
      </c>
      <c r="B20" s="7" t="s">
        <v>19</v>
      </c>
      <c r="C20" s="7" t="s">
        <v>114</v>
      </c>
      <c r="D20" s="7" t="s">
        <v>20</v>
      </c>
      <c r="E20" s="7" t="s">
        <v>21</v>
      </c>
      <c r="F20" s="11" t="s">
        <v>58</v>
      </c>
      <c r="G20" s="7" t="s">
        <v>42</v>
      </c>
      <c r="H20" s="7" t="s">
        <v>38</v>
      </c>
      <c r="I20" s="7" t="s">
        <v>38</v>
      </c>
      <c r="J20" s="7" t="s">
        <v>38</v>
      </c>
      <c r="K20" s="7" t="s">
        <v>38</v>
      </c>
      <c r="L20" s="7" t="s">
        <v>38</v>
      </c>
      <c r="M20" s="7" t="s">
        <v>47</v>
      </c>
      <c r="N20" s="7" t="s">
        <v>83</v>
      </c>
      <c r="O20" s="7" t="s">
        <v>38</v>
      </c>
      <c r="P20" s="7" t="s">
        <v>38</v>
      </c>
      <c r="Q20" s="9" t="s">
        <v>38</v>
      </c>
      <c r="R20" s="9" t="s">
        <v>38</v>
      </c>
      <c r="S20" s="9" t="s">
        <v>37</v>
      </c>
      <c r="T20" s="9"/>
    </row>
    <row r="21" spans="1:20" ht="26.4" x14ac:dyDescent="0.25">
      <c r="A21" s="7" t="s">
        <v>18</v>
      </c>
      <c r="B21" s="7" t="s">
        <v>19</v>
      </c>
      <c r="C21" s="7" t="s">
        <v>115</v>
      </c>
      <c r="D21" s="7" t="s">
        <v>22</v>
      </c>
      <c r="E21" s="7" t="s">
        <v>66</v>
      </c>
      <c r="F21" s="11" t="s">
        <v>23</v>
      </c>
      <c r="G21" s="7" t="s">
        <v>42</v>
      </c>
      <c r="H21" s="7" t="s">
        <v>38</v>
      </c>
      <c r="I21" s="7" t="s">
        <v>38</v>
      </c>
      <c r="J21" s="7" t="s">
        <v>38</v>
      </c>
      <c r="K21" s="7" t="s">
        <v>38</v>
      </c>
      <c r="L21" s="7" t="s">
        <v>38</v>
      </c>
      <c r="M21" s="7" t="s">
        <v>47</v>
      </c>
      <c r="N21" s="7" t="s">
        <v>83</v>
      </c>
      <c r="O21" s="7" t="s">
        <v>38</v>
      </c>
      <c r="P21" s="7" t="s">
        <v>38</v>
      </c>
      <c r="Q21" s="9" t="s">
        <v>38</v>
      </c>
      <c r="R21" s="9" t="s">
        <v>38</v>
      </c>
      <c r="S21" s="9" t="s">
        <v>37</v>
      </c>
      <c r="T21" s="9"/>
    </row>
    <row r="22" spans="1:20" ht="39.6" x14ac:dyDescent="0.25">
      <c r="A22" s="18" t="s">
        <v>119</v>
      </c>
      <c r="B22" s="18" t="s">
        <v>37</v>
      </c>
      <c r="C22" s="7" t="s">
        <v>116</v>
      </c>
      <c r="D22" s="18" t="s">
        <v>122</v>
      </c>
      <c r="E22" s="18" t="s">
        <v>144</v>
      </c>
      <c r="F22" s="18" t="s">
        <v>145</v>
      </c>
      <c r="G22" s="7" t="s">
        <v>48</v>
      </c>
      <c r="H22" s="8" t="s">
        <v>38</v>
      </c>
      <c r="I22" s="8" t="s">
        <v>38</v>
      </c>
      <c r="J22" s="8" t="s">
        <v>38</v>
      </c>
      <c r="K22" s="19">
        <f>ROUND((1*2204.6226218)*(1-0.21),1)</f>
        <v>1741.7</v>
      </c>
      <c r="L22" s="17">
        <f>K22*0.00045359237</f>
        <v>0.79002183082900002</v>
      </c>
      <c r="M22" s="18" t="s">
        <v>129</v>
      </c>
      <c r="N22" s="18" t="s">
        <v>86</v>
      </c>
      <c r="O22" s="8" t="s">
        <v>38</v>
      </c>
      <c r="P22" s="8" t="s">
        <v>38</v>
      </c>
    </row>
    <row r="23" spans="1:20" ht="39.6" x14ac:dyDescent="0.25">
      <c r="A23" s="18" t="s">
        <v>119</v>
      </c>
      <c r="B23" s="18" t="s">
        <v>37</v>
      </c>
      <c r="C23" s="7" t="s">
        <v>117</v>
      </c>
      <c r="D23" s="18" t="s">
        <v>120</v>
      </c>
      <c r="E23" s="18" t="s">
        <v>136</v>
      </c>
      <c r="F23" s="18" t="s">
        <v>145</v>
      </c>
      <c r="G23" s="7" t="s">
        <v>48</v>
      </c>
      <c r="H23" s="8" t="s">
        <v>38</v>
      </c>
      <c r="I23" s="8" t="s">
        <v>38</v>
      </c>
      <c r="J23" s="8" t="s">
        <v>38</v>
      </c>
      <c r="K23" s="19">
        <f>ROUND((1.1*2204.6226218)*(1-0.21),1)</f>
        <v>1915.8</v>
      </c>
      <c r="L23" s="17">
        <f>K23*0.00045359237</f>
        <v>0.86899226244599992</v>
      </c>
      <c r="M23" s="18" t="s">
        <v>129</v>
      </c>
      <c r="N23" s="18" t="s">
        <v>91</v>
      </c>
      <c r="O23" s="8" t="s">
        <v>38</v>
      </c>
      <c r="P23" s="8" t="s">
        <v>38</v>
      </c>
    </row>
    <row r="24" spans="1:20" ht="52.8" x14ac:dyDescent="0.25">
      <c r="A24" s="18" t="s">
        <v>119</v>
      </c>
      <c r="B24" s="18" t="s">
        <v>37</v>
      </c>
      <c r="C24" s="7" t="s">
        <v>146</v>
      </c>
      <c r="D24" s="18" t="s">
        <v>124</v>
      </c>
      <c r="E24" s="18" t="s">
        <v>137</v>
      </c>
      <c r="F24" s="18" t="s">
        <v>25</v>
      </c>
      <c r="G24" s="7" t="s">
        <v>48</v>
      </c>
      <c r="H24" s="8" t="s">
        <v>38</v>
      </c>
      <c r="I24" s="8" t="s">
        <v>38</v>
      </c>
      <c r="J24" s="8" t="s">
        <v>38</v>
      </c>
      <c r="K24" s="19">
        <f>ROUND((0.32*2204.6226218)*(1-0.21),1)</f>
        <v>557.29999999999995</v>
      </c>
      <c r="L24" s="17">
        <f>K24*0.00045359237</f>
        <v>0.25278702780099999</v>
      </c>
      <c r="M24" s="18" t="s">
        <v>129</v>
      </c>
      <c r="N24" s="18"/>
      <c r="O24" s="8" t="s">
        <v>38</v>
      </c>
      <c r="P24" s="8" t="s">
        <v>38</v>
      </c>
    </row>
    <row r="25" spans="1:20" ht="26.4" x14ac:dyDescent="0.25">
      <c r="A25" s="18" t="s">
        <v>119</v>
      </c>
      <c r="B25" s="18" t="s">
        <v>37</v>
      </c>
      <c r="C25" s="7" t="s">
        <v>147</v>
      </c>
      <c r="D25" s="18" t="s">
        <v>139</v>
      </c>
      <c r="E25" s="18" t="s">
        <v>138</v>
      </c>
      <c r="F25" s="18" t="s">
        <v>128</v>
      </c>
      <c r="G25" s="7" t="s">
        <v>48</v>
      </c>
      <c r="H25" s="8" t="s">
        <v>38</v>
      </c>
      <c r="I25" s="8" t="s">
        <v>38</v>
      </c>
      <c r="J25" s="8" t="s">
        <v>38</v>
      </c>
      <c r="K25" s="19">
        <f>ROUND((5*2204.6226218)*(1-0.21),1)</f>
        <v>8708.2999999999993</v>
      </c>
      <c r="L25" s="17">
        <f>K25*0.00045359237</f>
        <v>3.9500184356709998</v>
      </c>
      <c r="M25" s="18" t="s">
        <v>129</v>
      </c>
      <c r="N25" s="18" t="s">
        <v>86</v>
      </c>
      <c r="O25" s="8" t="s">
        <v>38</v>
      </c>
      <c r="P25" s="8" t="s">
        <v>38</v>
      </c>
    </row>
    <row r="26" spans="1:20" ht="26.4" x14ac:dyDescent="0.25">
      <c r="A26" s="18" t="s">
        <v>119</v>
      </c>
      <c r="B26" s="18" t="s">
        <v>37</v>
      </c>
      <c r="C26" s="7" t="s">
        <v>148</v>
      </c>
      <c r="D26" s="18" t="s">
        <v>164</v>
      </c>
      <c r="E26" s="18" t="s">
        <v>165</v>
      </c>
      <c r="F26" s="18" t="s">
        <v>128</v>
      </c>
      <c r="G26" s="18" t="s">
        <v>48</v>
      </c>
      <c r="H26" s="8" t="s">
        <v>38</v>
      </c>
      <c r="I26" s="8" t="s">
        <v>38</v>
      </c>
      <c r="J26" s="8" t="s">
        <v>38</v>
      </c>
      <c r="K26" s="19" t="s">
        <v>38</v>
      </c>
      <c r="L26" s="19" t="s">
        <v>38</v>
      </c>
      <c r="M26" s="18" t="s">
        <v>129</v>
      </c>
      <c r="N26" s="18" t="s">
        <v>167</v>
      </c>
      <c r="O26" s="21" t="s">
        <v>38</v>
      </c>
      <c r="P26" s="21" t="s">
        <v>38</v>
      </c>
    </row>
    <row r="27" spans="1:20" ht="79.2" x14ac:dyDescent="0.25">
      <c r="A27" s="7" t="s">
        <v>49</v>
      </c>
      <c r="B27" s="7" t="s">
        <v>38</v>
      </c>
      <c r="C27" s="7" t="s">
        <v>149</v>
      </c>
      <c r="D27" s="7" t="s">
        <v>59</v>
      </c>
      <c r="E27" s="7" t="s">
        <v>50</v>
      </c>
      <c r="F27" s="7" t="s">
        <v>60</v>
      </c>
      <c r="G27" s="7" t="s">
        <v>48</v>
      </c>
      <c r="H27" s="13">
        <v>500</v>
      </c>
      <c r="I27" s="7" t="s">
        <v>38</v>
      </c>
      <c r="J27" s="7" t="s">
        <v>38</v>
      </c>
      <c r="K27" s="7" t="s">
        <v>38</v>
      </c>
      <c r="L27" s="7" t="s">
        <v>38</v>
      </c>
      <c r="M27" s="7" t="s">
        <v>53</v>
      </c>
      <c r="N27" s="13" t="s">
        <v>86</v>
      </c>
      <c r="O27" s="8">
        <v>350000</v>
      </c>
      <c r="P27" s="8">
        <v>7500</v>
      </c>
      <c r="Q27" s="9" t="s">
        <v>38</v>
      </c>
      <c r="R27" s="9" t="s">
        <v>38</v>
      </c>
      <c r="S27" s="9" t="s">
        <v>37</v>
      </c>
      <c r="T27" s="9"/>
    </row>
    <row r="28" spans="1:20" ht="39.6" x14ac:dyDescent="0.25">
      <c r="A28" s="7" t="s">
        <v>0</v>
      </c>
      <c r="B28" s="7" t="s">
        <v>37</v>
      </c>
      <c r="C28" s="7" t="s">
        <v>150</v>
      </c>
      <c r="D28" s="7" t="s">
        <v>3</v>
      </c>
      <c r="E28" s="7" t="s">
        <v>72</v>
      </c>
      <c r="F28" s="15" t="s">
        <v>41</v>
      </c>
      <c r="G28" s="7" t="s">
        <v>42</v>
      </c>
      <c r="H28" s="8" t="s">
        <v>38</v>
      </c>
      <c r="I28" s="7" t="s">
        <v>38</v>
      </c>
      <c r="J28" s="7" t="s">
        <v>38</v>
      </c>
      <c r="K28" s="7" t="s">
        <v>38</v>
      </c>
      <c r="L28" s="7" t="s">
        <v>38</v>
      </c>
      <c r="M28" s="7" t="s">
        <v>53</v>
      </c>
      <c r="N28" s="13" t="s">
        <v>91</v>
      </c>
      <c r="O28" s="8" t="s">
        <v>38</v>
      </c>
      <c r="P28" s="8" t="s">
        <v>38</v>
      </c>
      <c r="Q28" s="9" t="s">
        <v>38</v>
      </c>
      <c r="R28" s="9" t="s">
        <v>38</v>
      </c>
      <c r="S28" s="9" t="s">
        <v>37</v>
      </c>
      <c r="T28" s="9"/>
    </row>
    <row r="29" spans="1:20" ht="39.6" x14ac:dyDescent="0.25">
      <c r="A29" s="7" t="s">
        <v>0</v>
      </c>
      <c r="B29" s="7" t="s">
        <v>37</v>
      </c>
      <c r="C29" s="7" t="s">
        <v>151</v>
      </c>
      <c r="D29" s="7" t="s">
        <v>4</v>
      </c>
      <c r="E29" s="7" t="s">
        <v>73</v>
      </c>
      <c r="F29" s="15" t="s">
        <v>79</v>
      </c>
      <c r="G29" s="7" t="s">
        <v>42</v>
      </c>
      <c r="H29" s="8" t="s">
        <v>38</v>
      </c>
      <c r="I29" s="7" t="s">
        <v>38</v>
      </c>
      <c r="J29" s="7" t="s">
        <v>38</v>
      </c>
      <c r="K29" s="7" t="s">
        <v>38</v>
      </c>
      <c r="L29" s="7" t="s">
        <v>38</v>
      </c>
      <c r="M29" s="7" t="s">
        <v>53</v>
      </c>
      <c r="N29" s="13" t="s">
        <v>91</v>
      </c>
      <c r="O29" s="8" t="s">
        <v>38</v>
      </c>
      <c r="P29" s="8" t="s">
        <v>38</v>
      </c>
      <c r="Q29" s="9" t="s">
        <v>38</v>
      </c>
      <c r="R29" s="9" t="s">
        <v>38</v>
      </c>
      <c r="S29" s="9" t="s">
        <v>37</v>
      </c>
      <c r="T29" s="9"/>
    </row>
    <row r="30" spans="1:20" ht="39.6" x14ac:dyDescent="0.25">
      <c r="A30" s="7" t="s">
        <v>51</v>
      </c>
      <c r="B30" s="7" t="s">
        <v>38</v>
      </c>
      <c r="C30" s="7" t="s">
        <v>152</v>
      </c>
      <c r="D30" s="7" t="s">
        <v>52</v>
      </c>
      <c r="E30" s="7" t="s">
        <v>74</v>
      </c>
      <c r="F30" s="7" t="s">
        <v>62</v>
      </c>
      <c r="G30" s="7" t="s">
        <v>48</v>
      </c>
      <c r="H30" s="8" t="s">
        <v>38</v>
      </c>
      <c r="I30" s="10">
        <f>ROUND((43800*(1-0.3))*(1-0.4),1)</f>
        <v>18396</v>
      </c>
      <c r="J30" s="17">
        <f t="shared" ref="J30:J37" si="0">I30*0.00045359237</f>
        <v>8.3442852385199995</v>
      </c>
      <c r="K30" s="10">
        <v>0</v>
      </c>
      <c r="L30" s="17">
        <f t="shared" ref="L30:L37" si="1">K30*0.00045359237</f>
        <v>0</v>
      </c>
      <c r="M30" s="7" t="s">
        <v>53</v>
      </c>
      <c r="N30" s="13" t="s">
        <v>91</v>
      </c>
      <c r="O30" s="8">
        <v>24300000</v>
      </c>
      <c r="P30" s="8" t="s">
        <v>38</v>
      </c>
      <c r="Q30" s="9" t="s">
        <v>54</v>
      </c>
      <c r="R30" s="20">
        <v>24300000</v>
      </c>
      <c r="S30" s="9" t="s">
        <v>37</v>
      </c>
      <c r="T30" s="16" t="s">
        <v>92</v>
      </c>
    </row>
    <row r="31" spans="1:20" ht="39.6" x14ac:dyDescent="0.25">
      <c r="A31" s="7" t="s">
        <v>51</v>
      </c>
      <c r="B31" s="7" t="s">
        <v>38</v>
      </c>
      <c r="C31" s="7" t="s">
        <v>153</v>
      </c>
      <c r="D31" s="7" t="s">
        <v>55</v>
      </c>
      <c r="E31" s="7" t="s">
        <v>75</v>
      </c>
      <c r="F31" s="7" t="s">
        <v>62</v>
      </c>
      <c r="G31" s="7" t="s">
        <v>48</v>
      </c>
      <c r="H31" s="8" t="s">
        <v>38</v>
      </c>
      <c r="I31" s="10">
        <f>ROUND((13400*(1-0.3))*(1-0.4),1)</f>
        <v>5628</v>
      </c>
      <c r="J31" s="17">
        <f t="shared" si="0"/>
        <v>2.5528178583600001</v>
      </c>
      <c r="K31" s="10">
        <v>0</v>
      </c>
      <c r="L31" s="17">
        <f t="shared" si="1"/>
        <v>0</v>
      </c>
      <c r="M31" s="7" t="s">
        <v>53</v>
      </c>
      <c r="N31" s="13" t="s">
        <v>91</v>
      </c>
      <c r="O31" s="8">
        <v>13950000</v>
      </c>
      <c r="P31" s="8" t="s">
        <v>38</v>
      </c>
      <c r="Q31" s="9" t="s">
        <v>54</v>
      </c>
      <c r="R31" s="20">
        <v>13950000</v>
      </c>
      <c r="S31" s="9" t="s">
        <v>37</v>
      </c>
      <c r="T31" s="16" t="s">
        <v>92</v>
      </c>
    </row>
    <row r="32" spans="1:20" ht="39.6" x14ac:dyDescent="0.25">
      <c r="A32" s="7" t="s">
        <v>51</v>
      </c>
      <c r="B32" s="7" t="s">
        <v>38</v>
      </c>
      <c r="C32" s="7" t="s">
        <v>154</v>
      </c>
      <c r="D32" s="7" t="s">
        <v>56</v>
      </c>
      <c r="E32" s="7" t="s">
        <v>76</v>
      </c>
      <c r="F32" s="7" t="s">
        <v>62</v>
      </c>
      <c r="G32" s="7" t="s">
        <v>48</v>
      </c>
      <c r="H32" s="8" t="s">
        <v>38</v>
      </c>
      <c r="I32" s="10">
        <f>ROUND((1500*(1-0.3))*(1-0.4),1)</f>
        <v>630</v>
      </c>
      <c r="J32" s="17">
        <f t="shared" si="0"/>
        <v>0.28576319309999998</v>
      </c>
      <c r="K32" s="10">
        <v>0</v>
      </c>
      <c r="L32" s="17">
        <f t="shared" si="1"/>
        <v>0</v>
      </c>
      <c r="M32" s="7" t="s">
        <v>53</v>
      </c>
      <c r="N32" s="13" t="s">
        <v>91</v>
      </c>
      <c r="O32" s="8">
        <v>1500000</v>
      </c>
      <c r="P32" s="8" t="s">
        <v>38</v>
      </c>
      <c r="Q32" s="9" t="s">
        <v>54</v>
      </c>
      <c r="R32" s="20">
        <v>1500000</v>
      </c>
      <c r="S32" s="9" t="s">
        <v>37</v>
      </c>
      <c r="T32" s="16" t="s">
        <v>92</v>
      </c>
    </row>
    <row r="33" spans="1:20" s="9" customFormat="1" ht="39.6" x14ac:dyDescent="0.25">
      <c r="A33" s="7" t="s">
        <v>51</v>
      </c>
      <c r="B33" s="7" t="s">
        <v>38</v>
      </c>
      <c r="C33" s="7" t="s">
        <v>155</v>
      </c>
      <c r="D33" s="7" t="s">
        <v>57</v>
      </c>
      <c r="E33" s="7" t="s">
        <v>77</v>
      </c>
      <c r="F33" s="7" t="s">
        <v>62</v>
      </c>
      <c r="G33" s="7" t="s">
        <v>48</v>
      </c>
      <c r="H33" s="8" t="s">
        <v>38</v>
      </c>
      <c r="I33" s="10">
        <f>ROUND((11400*(1-0.3))*(1-0.4),1)</f>
        <v>4788</v>
      </c>
      <c r="J33" s="17">
        <f t="shared" si="0"/>
        <v>2.1718002675600001</v>
      </c>
      <c r="K33" s="10">
        <v>0</v>
      </c>
      <c r="L33" s="17">
        <f t="shared" si="1"/>
        <v>0</v>
      </c>
      <c r="M33" s="7" t="s">
        <v>53</v>
      </c>
      <c r="N33" s="13" t="s">
        <v>91</v>
      </c>
      <c r="O33" s="8">
        <v>10500000</v>
      </c>
      <c r="P33" s="8" t="s">
        <v>38</v>
      </c>
      <c r="Q33" s="7" t="s">
        <v>54</v>
      </c>
      <c r="R33" s="8">
        <v>10500000</v>
      </c>
      <c r="S33" s="7" t="s">
        <v>37</v>
      </c>
      <c r="T33" s="16" t="s">
        <v>92</v>
      </c>
    </row>
    <row r="34" spans="1:20" s="9" customFormat="1" ht="52.8" x14ac:dyDescent="0.25">
      <c r="A34" s="7" t="s">
        <v>29</v>
      </c>
      <c r="B34" s="7" t="s">
        <v>30</v>
      </c>
      <c r="C34" s="7" t="s">
        <v>156</v>
      </c>
      <c r="D34" s="7" t="s">
        <v>34</v>
      </c>
      <c r="E34" s="7" t="s">
        <v>67</v>
      </c>
      <c r="F34" s="7" t="s">
        <v>61</v>
      </c>
      <c r="G34" s="7" t="s">
        <v>42</v>
      </c>
      <c r="H34" s="13">
        <v>4660</v>
      </c>
      <c r="I34" s="10">
        <f>ROUND(3761*(1-0.67),1)</f>
        <v>1241.0999999999999</v>
      </c>
      <c r="J34" s="17">
        <f t="shared" si="0"/>
        <v>0.56295349040699993</v>
      </c>
      <c r="K34" s="10">
        <f>ROUND(3811*(1-0.47),1)</f>
        <v>2019.8</v>
      </c>
      <c r="L34" s="17">
        <f t="shared" si="1"/>
        <v>0.91616586892599994</v>
      </c>
      <c r="M34" s="7" t="s">
        <v>35</v>
      </c>
      <c r="N34" s="13" t="s">
        <v>87</v>
      </c>
      <c r="O34" s="8">
        <v>804150</v>
      </c>
      <c r="P34" s="8">
        <v>4000</v>
      </c>
      <c r="Q34" s="7" t="s">
        <v>36</v>
      </c>
      <c r="R34" s="7" t="s">
        <v>45</v>
      </c>
      <c r="S34" s="7" t="s">
        <v>37</v>
      </c>
    </row>
    <row r="35" spans="1:20" ht="66" x14ac:dyDescent="0.25">
      <c r="A35" s="7" t="s">
        <v>29</v>
      </c>
      <c r="B35" s="7" t="s">
        <v>31</v>
      </c>
      <c r="C35" s="7" t="s">
        <v>157</v>
      </c>
      <c r="D35" s="7" t="s">
        <v>63</v>
      </c>
      <c r="E35" s="7" t="s">
        <v>68</v>
      </c>
      <c r="F35" s="7" t="s">
        <v>60</v>
      </c>
      <c r="G35" s="7" t="s">
        <v>42</v>
      </c>
      <c r="H35" s="13">
        <v>75</v>
      </c>
      <c r="I35" s="10">
        <f>ROUND(109*(1-0.67),1)</f>
        <v>36</v>
      </c>
      <c r="J35" s="17">
        <f t="shared" si="0"/>
        <v>1.6329325320000001E-2</v>
      </c>
      <c r="K35" s="10">
        <f>ROUND(37*(1-0.47),1)</f>
        <v>19.600000000000001</v>
      </c>
      <c r="L35" s="17">
        <f t="shared" si="1"/>
        <v>8.8904104519999996E-3</v>
      </c>
      <c r="M35" s="7" t="s">
        <v>35</v>
      </c>
      <c r="N35" s="13" t="s">
        <v>87</v>
      </c>
      <c r="O35" s="8" t="s">
        <v>38</v>
      </c>
      <c r="P35" s="8" t="s">
        <v>38</v>
      </c>
      <c r="Q35" s="9" t="s">
        <v>38</v>
      </c>
      <c r="R35" s="9" t="s">
        <v>38</v>
      </c>
      <c r="S35" s="9" t="s">
        <v>37</v>
      </c>
      <c r="T35" s="9"/>
    </row>
    <row r="36" spans="1:20" ht="52.8" x14ac:dyDescent="0.25">
      <c r="A36" s="7" t="s">
        <v>29</v>
      </c>
      <c r="B36" s="7" t="s">
        <v>32</v>
      </c>
      <c r="C36" s="7" t="s">
        <v>158</v>
      </c>
      <c r="D36" s="7" t="s">
        <v>39</v>
      </c>
      <c r="E36" s="7" t="s">
        <v>69</v>
      </c>
      <c r="F36" s="7" t="s">
        <v>61</v>
      </c>
      <c r="G36" s="7" t="s">
        <v>48</v>
      </c>
      <c r="H36" s="13">
        <v>600</v>
      </c>
      <c r="I36" s="10">
        <f>ROUND(25*(1-0.67),1)</f>
        <v>8.3000000000000007</v>
      </c>
      <c r="J36" s="17">
        <f t="shared" si="0"/>
        <v>3.7648166710000002E-3</v>
      </c>
      <c r="K36" s="10">
        <f>ROUND(15*(1-0.47),1)</f>
        <v>8</v>
      </c>
      <c r="L36" s="17">
        <f t="shared" si="1"/>
        <v>3.6287389599999999E-3</v>
      </c>
      <c r="M36" s="7" t="s">
        <v>35</v>
      </c>
      <c r="N36" s="13" t="s">
        <v>88</v>
      </c>
      <c r="O36" s="8" t="s">
        <v>38</v>
      </c>
      <c r="P36" s="8" t="s">
        <v>38</v>
      </c>
      <c r="Q36" s="9" t="s">
        <v>38</v>
      </c>
      <c r="R36" s="9" t="s">
        <v>38</v>
      </c>
      <c r="S36" s="9" t="s">
        <v>37</v>
      </c>
      <c r="T36" s="9"/>
    </row>
    <row r="37" spans="1:20" ht="39.6" x14ac:dyDescent="0.25">
      <c r="A37" s="7" t="s">
        <v>29</v>
      </c>
      <c r="B37" s="7" t="s">
        <v>33</v>
      </c>
      <c r="C37" s="7" t="s">
        <v>159</v>
      </c>
      <c r="D37" s="7" t="s">
        <v>64</v>
      </c>
      <c r="E37" s="7" t="s">
        <v>70</v>
      </c>
      <c r="F37" s="15" t="s">
        <v>61</v>
      </c>
      <c r="G37" s="7" t="s">
        <v>48</v>
      </c>
      <c r="H37" s="8" t="s">
        <v>38</v>
      </c>
      <c r="I37" s="10">
        <f>ROUND(55*(1-0.67),1)</f>
        <v>18.2</v>
      </c>
      <c r="J37" s="17">
        <f t="shared" si="0"/>
        <v>8.2553811339999995E-3</v>
      </c>
      <c r="K37" s="10">
        <f>ROUND(30*(1-0.47),1)</f>
        <v>15.9</v>
      </c>
      <c r="L37" s="17">
        <f t="shared" si="1"/>
        <v>7.2121186830000003E-3</v>
      </c>
      <c r="M37" s="7" t="s">
        <v>35</v>
      </c>
      <c r="N37" s="13" t="s">
        <v>89</v>
      </c>
      <c r="O37" s="8" t="s">
        <v>38</v>
      </c>
      <c r="P37" s="8" t="s">
        <v>38</v>
      </c>
      <c r="Q37" s="9" t="s">
        <v>38</v>
      </c>
      <c r="R37" s="9" t="s">
        <v>38</v>
      </c>
      <c r="S37" s="9" t="s">
        <v>37</v>
      </c>
      <c r="T37" s="9"/>
    </row>
    <row r="38" spans="1:20" s="9" customFormat="1" ht="39.6" x14ac:dyDescent="0.25">
      <c r="A38" s="18" t="s">
        <v>119</v>
      </c>
      <c r="B38" s="18" t="s">
        <v>37</v>
      </c>
      <c r="C38" s="7" t="s">
        <v>162</v>
      </c>
      <c r="D38" s="18" t="s">
        <v>121</v>
      </c>
      <c r="E38" s="18" t="s">
        <v>126</v>
      </c>
      <c r="F38" s="18" t="s">
        <v>125</v>
      </c>
      <c r="G38" s="7" t="s">
        <v>48</v>
      </c>
      <c r="H38" s="8" t="s">
        <v>38</v>
      </c>
      <c r="I38" s="8" t="s">
        <v>38</v>
      </c>
      <c r="J38" s="8" t="s">
        <v>38</v>
      </c>
      <c r="K38" s="8" t="s">
        <v>38</v>
      </c>
      <c r="L38" s="8" t="s">
        <v>38</v>
      </c>
      <c r="M38" s="18" t="s">
        <v>130</v>
      </c>
      <c r="N38" s="18" t="s">
        <v>130</v>
      </c>
      <c r="O38" s="8" t="s">
        <v>38</v>
      </c>
      <c r="P38" s="8" t="s">
        <v>38</v>
      </c>
      <c r="Q38" s="18"/>
      <c r="R38" s="18"/>
      <c r="S38" s="18"/>
      <c r="T38" s="1"/>
    </row>
    <row r="39" spans="1:20" s="9" customFormat="1" ht="39.6" x14ac:dyDescent="0.25">
      <c r="A39" s="18" t="s">
        <v>119</v>
      </c>
      <c r="B39" s="18" t="s">
        <v>37</v>
      </c>
      <c r="C39" s="7" t="s">
        <v>163</v>
      </c>
      <c r="D39" s="18" t="s">
        <v>121</v>
      </c>
      <c r="E39" s="18" t="s">
        <v>143</v>
      </c>
      <c r="F39" s="18" t="s">
        <v>125</v>
      </c>
      <c r="G39" s="7" t="s">
        <v>48</v>
      </c>
      <c r="H39" s="8" t="s">
        <v>38</v>
      </c>
      <c r="I39" s="8" t="s">
        <v>38</v>
      </c>
      <c r="J39" s="8" t="s">
        <v>38</v>
      </c>
      <c r="K39" s="8" t="s">
        <v>38</v>
      </c>
      <c r="L39" s="8" t="s">
        <v>38</v>
      </c>
      <c r="M39" s="18" t="s">
        <v>130</v>
      </c>
      <c r="N39" s="18" t="s">
        <v>130</v>
      </c>
      <c r="O39" s="8" t="s">
        <v>38</v>
      </c>
      <c r="P39" s="8" t="s">
        <v>38</v>
      </c>
      <c r="Q39" s="18"/>
      <c r="R39" s="18"/>
      <c r="S39" s="18"/>
      <c r="T39" s="1"/>
    </row>
  </sheetData>
  <autoFilter ref="A1:S19" xr:uid="{B85407AD-D18C-4ACD-95A8-5FE734179FF4}"/>
  <sortState ref="A2:T37">
    <sortCondition ref="M1"/>
  </sortState>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BD6AD948-6F86-4D0C-BE22-AA929CFF9C6A}">
          <x14:formula1>
            <xm:f>'C:\Users\marcy.frick\Documents\Projects\FDEP Facilitation\Lake Okeechobee\Project Collection\Received\Highlands and IMWID\[Copy of Lake Okeechobee project collection_template.xlsx]Sheet3'!#REF!</xm:f>
          </x14:formula1>
          <xm:sqref>M7:M11 N2:N9 M2:M3 M34 M38 M15</xm:sqref>
        </x14:dataValidation>
        <x14:dataValidation type="list" allowBlank="1" showInputMessage="1" showErrorMessage="1" xr:uid="{597CD5FF-4C11-42B5-93A2-267411743FE6}">
          <x14:formula1>
            <xm:f>'C:\Users\marcy.frick\Documents\Projects\FDEP Facilitation\Lake Okeechobee\Project Collection\Received\Highlands and IMWID\[Copy of Lake Okeechobee project collection_template.xlsx]Sheet3'!#REF!</xm:f>
          </x14:formula1>
          <xm:sqref>F12 G38:H39 G15:H15</xm:sqref>
        </x14:dataValidation>
        <x14:dataValidation type="list" allowBlank="1" showInputMessage="1" showErrorMessage="1" xr:uid="{67CAE9AD-BFA6-40FD-AB95-34BA42B7B34F}">
          <x14:formula1>
            <xm:f>'C:\Users\marcy.frick\Documents\Projects\FDEP Facilitation\Lake Okeechobee\Project Collection\Received\Highlands and IMWID\[Copy of Lake Okeechobee project collection_template.xlsx]Project Types'!#REF!</xm:f>
          </x14:formula1>
          <xm:sqref>F2:F11 F33:F34 F37:F38 F13:F15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Frick, Marcy</dc:creator>
  <cp:lastModifiedBy>Frick, Marcy</cp:lastModifiedBy>
  <dcterms:created xsi:type="dcterms:W3CDTF">2019-09-20T19:54:14Z</dcterms:created>
  <dcterms:modified xsi:type="dcterms:W3CDTF">2019-10-02T17:16:05Z</dcterms:modified>
</cp:coreProperties>
</file>