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FC802921-44D3-4EC5-872C-6F1700BDFFAC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Wet detention pond calcs" sheetId="5" r:id="rId2"/>
    <sheet name="01" sheetId="16" r:id="rId3"/>
    <sheet name="20" sheetId="6" r:id="rId4"/>
    <sheet name="21" sheetId="7" r:id="rId5"/>
    <sheet name="22" sheetId="8" r:id="rId6"/>
    <sheet name="23" sheetId="9" r:id="rId7"/>
    <sheet name="25" sheetId="10" r:id="rId8"/>
    <sheet name="26" sheetId="11" r:id="rId9"/>
    <sheet name="27" sheetId="12" r:id="rId10"/>
    <sheet name="28" sheetId="13" r:id="rId11"/>
    <sheet name="47" sheetId="14" r:id="rId12"/>
    <sheet name="58" sheetId="15" r:id="rId13"/>
  </sheets>
  <definedNames>
    <definedName name="_xlnm.Print_Titles" localSheetId="0">Summary!$1:$1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" i="1" l="1"/>
  <c r="H2" i="1"/>
  <c r="H108" i="16"/>
  <c r="C108" i="16"/>
  <c r="M57" i="1" l="1"/>
  <c r="H57" i="1"/>
  <c r="M46" i="1"/>
  <c r="H46" i="1"/>
  <c r="M27" i="1"/>
  <c r="H27" i="1"/>
  <c r="M26" i="1"/>
  <c r="H26" i="1"/>
  <c r="M25" i="1"/>
  <c r="H25" i="1"/>
  <c r="M24" i="1"/>
  <c r="H24" i="1"/>
  <c r="M22" i="1"/>
  <c r="H22" i="1"/>
  <c r="N19" i="1"/>
  <c r="N20" i="1"/>
  <c r="N21" i="1"/>
  <c r="P21" i="1" s="1"/>
  <c r="M21" i="1"/>
  <c r="M20" i="1"/>
  <c r="M19" i="1"/>
  <c r="I19" i="1"/>
  <c r="K19" i="1" s="1"/>
  <c r="I20" i="1"/>
  <c r="K20" i="1" s="1"/>
  <c r="I21" i="1"/>
  <c r="K21" i="1" s="1"/>
  <c r="P19" i="1"/>
  <c r="P20" i="1"/>
  <c r="H21" i="1"/>
  <c r="H20" i="1"/>
  <c r="H19" i="1"/>
  <c r="C4" i="15"/>
  <c r="C4" i="14"/>
  <c r="C4" i="13"/>
  <c r="C4" i="12"/>
  <c r="C4" i="11"/>
  <c r="C4" i="10"/>
  <c r="C4" i="9"/>
  <c r="C4" i="8"/>
  <c r="C4" i="7"/>
  <c r="C4" i="6"/>
  <c r="H4" i="15"/>
  <c r="H4" i="14"/>
  <c r="H4" i="13"/>
  <c r="H4" i="12"/>
  <c r="H4" i="11"/>
  <c r="H4" i="10"/>
  <c r="H4" i="9"/>
  <c r="H4" i="8"/>
  <c r="H4" i="7"/>
  <c r="H4" i="6"/>
  <c r="P59" i="1" l="1"/>
  <c r="P23" i="1" l="1"/>
  <c r="K23" i="1"/>
  <c r="P18" i="1"/>
  <c r="P17" i="1"/>
  <c r="P16" i="1"/>
  <c r="P15" i="1"/>
  <c r="P14" i="1"/>
  <c r="P13" i="1"/>
  <c r="P12" i="1"/>
  <c r="P11" i="1"/>
  <c r="P10" i="1"/>
  <c r="K18" i="1"/>
  <c r="K17" i="1"/>
  <c r="K16" i="1"/>
  <c r="K15" i="1"/>
  <c r="K14" i="1"/>
  <c r="K13" i="1"/>
  <c r="K12" i="1"/>
  <c r="K11" i="1"/>
  <c r="K10" i="1"/>
  <c r="P8" i="1"/>
  <c r="P7" i="1"/>
  <c r="P6" i="1"/>
  <c r="P5" i="1"/>
  <c r="P4" i="1"/>
  <c r="P3" i="1"/>
  <c r="K8" i="1"/>
  <c r="K7" i="1"/>
  <c r="K6" i="1"/>
  <c r="K5" i="1"/>
  <c r="K4" i="1"/>
  <c r="K3" i="1"/>
  <c r="P56" i="1" l="1"/>
  <c r="K56" i="1"/>
  <c r="E2" i="1"/>
  <c r="N54" i="1"/>
  <c r="P54" i="1" s="1"/>
  <c r="N53" i="1"/>
  <c r="P53" i="1" s="1"/>
  <c r="N52" i="1"/>
  <c r="P52" i="1" s="1"/>
  <c r="N51" i="1"/>
  <c r="P51" i="1" s="1"/>
  <c r="I54" i="1"/>
  <c r="K54" i="1" s="1"/>
  <c r="I53" i="1"/>
  <c r="K53" i="1" s="1"/>
  <c r="I52" i="1"/>
  <c r="K52" i="1" s="1"/>
  <c r="I51" i="1"/>
  <c r="K51" i="1" s="1"/>
  <c r="N49" i="1"/>
  <c r="P49" i="1" s="1"/>
  <c r="N48" i="1"/>
  <c r="P48" i="1" s="1"/>
  <c r="I49" i="1"/>
  <c r="K49" i="1" s="1"/>
  <c r="I48" i="1"/>
  <c r="K48" i="1" s="1"/>
  <c r="N46" i="1"/>
  <c r="P46" i="1" s="1"/>
  <c r="I46" i="1"/>
  <c r="K46" i="1" s="1"/>
  <c r="N33" i="1"/>
  <c r="P33" i="1" s="1"/>
  <c r="N34" i="1"/>
  <c r="P34" i="1" s="1"/>
  <c r="N35" i="1"/>
  <c r="P35" i="1" s="1"/>
  <c r="N36" i="1"/>
  <c r="P36" i="1" s="1"/>
  <c r="N37" i="1"/>
  <c r="P37" i="1" s="1"/>
  <c r="N38" i="1"/>
  <c r="P38" i="1" s="1"/>
  <c r="N39" i="1"/>
  <c r="P39" i="1" s="1"/>
  <c r="N40" i="1"/>
  <c r="P40" i="1" s="1"/>
  <c r="N41" i="1"/>
  <c r="P41" i="1" s="1"/>
  <c r="N42" i="1"/>
  <c r="P42" i="1" s="1"/>
  <c r="I33" i="1"/>
  <c r="K33" i="1" s="1"/>
  <c r="I34" i="1"/>
  <c r="I35" i="1"/>
  <c r="K35" i="1" s="1"/>
  <c r="I36" i="1"/>
  <c r="I37" i="1"/>
  <c r="I38" i="1"/>
  <c r="I39" i="1"/>
  <c r="K39" i="1" s="1"/>
  <c r="I40" i="1"/>
  <c r="K40" i="1" s="1"/>
  <c r="I41" i="1"/>
  <c r="K41" i="1" s="1"/>
  <c r="I42" i="1"/>
  <c r="K34" i="1"/>
  <c r="K36" i="1"/>
  <c r="K37" i="1"/>
  <c r="K38" i="1"/>
  <c r="K42" i="1"/>
  <c r="N32" i="1"/>
  <c r="P32" i="1" s="1"/>
  <c r="I32" i="1"/>
  <c r="K32" i="1" s="1"/>
  <c r="I57" i="1" l="1"/>
  <c r="K57" i="1" s="1"/>
  <c r="N57" i="1"/>
  <c r="P57" i="1" s="1"/>
  <c r="Q60" i="1" l="1"/>
  <c r="Q59" i="1"/>
  <c r="Q57" i="1"/>
  <c r="Q56" i="1"/>
  <c r="Q54" i="1"/>
  <c r="Q53" i="1"/>
  <c r="Q52" i="1"/>
  <c r="Q51" i="1"/>
  <c r="Q49" i="1"/>
  <c r="Q48" i="1"/>
  <c r="Q47" i="1"/>
  <c r="Q46" i="1"/>
  <c r="Q45" i="1"/>
  <c r="Q42" i="1"/>
  <c r="Q41" i="1"/>
  <c r="Q40" i="1"/>
  <c r="Q39" i="1"/>
  <c r="Q38" i="1"/>
  <c r="Q37" i="1"/>
  <c r="Q36" i="1"/>
  <c r="Q35" i="1"/>
  <c r="Q34" i="1"/>
  <c r="Q33" i="1"/>
  <c r="Q32" i="1"/>
  <c r="Q29" i="1"/>
  <c r="Q21" i="1"/>
  <c r="Q20" i="1"/>
  <c r="Q19" i="1"/>
  <c r="Q18" i="1"/>
  <c r="Q17" i="1"/>
  <c r="Q16" i="1"/>
  <c r="Q15" i="1"/>
  <c r="Q14" i="1"/>
  <c r="Q13" i="1"/>
  <c r="Q12" i="1"/>
  <c r="Q11" i="1"/>
  <c r="Q10" i="1"/>
  <c r="Q8" i="1"/>
  <c r="Q7" i="1"/>
  <c r="Q6" i="1"/>
  <c r="Q5" i="1"/>
  <c r="Q4" i="1"/>
  <c r="Q3" i="1"/>
  <c r="L60" i="1"/>
  <c r="L59" i="1"/>
  <c r="L57" i="1"/>
  <c r="L56" i="1"/>
  <c r="L54" i="1"/>
  <c r="L53" i="1"/>
  <c r="L52" i="1"/>
  <c r="L51" i="1"/>
  <c r="L49" i="1"/>
  <c r="L48" i="1"/>
  <c r="L47" i="1"/>
  <c r="L46" i="1"/>
  <c r="L45" i="1"/>
  <c r="L42" i="1"/>
  <c r="L41" i="1"/>
  <c r="L40" i="1"/>
  <c r="L39" i="1"/>
  <c r="L38" i="1"/>
  <c r="L37" i="1"/>
  <c r="L36" i="1"/>
  <c r="L35" i="1"/>
  <c r="L34" i="1"/>
  <c r="L33" i="1"/>
  <c r="L32" i="1"/>
  <c r="L29" i="1"/>
  <c r="L21" i="1"/>
  <c r="L20" i="1"/>
  <c r="L19" i="1"/>
  <c r="L18" i="1"/>
  <c r="L17" i="1"/>
  <c r="L16" i="1"/>
  <c r="L15" i="1"/>
  <c r="L14" i="1"/>
  <c r="L13" i="1"/>
  <c r="L12" i="1"/>
  <c r="L11" i="1"/>
  <c r="L10" i="1"/>
  <c r="L8" i="1"/>
  <c r="L7" i="1"/>
  <c r="L6" i="1"/>
  <c r="L5" i="1"/>
  <c r="L4" i="1"/>
  <c r="L3" i="1"/>
  <c r="N2" i="1"/>
  <c r="P2" i="1" s="1"/>
  <c r="Q2" i="1" s="1"/>
  <c r="I2" i="1"/>
  <c r="I27" i="1" l="1"/>
  <c r="K27" i="1" s="1"/>
  <c r="L27" i="1" s="1"/>
  <c r="N27" i="1"/>
  <c r="P27" i="1" s="1"/>
  <c r="Q27" i="1" s="1"/>
  <c r="I26" i="1"/>
  <c r="K26" i="1" s="1"/>
  <c r="L26" i="1" s="1"/>
  <c r="N26" i="1"/>
  <c r="P26" i="1" s="1"/>
  <c r="Q26" i="1" s="1"/>
  <c r="N25" i="1"/>
  <c r="P25" i="1" s="1"/>
  <c r="Q25" i="1" s="1"/>
  <c r="N24" i="1"/>
  <c r="P24" i="1" s="1"/>
  <c r="Q24" i="1" s="1"/>
  <c r="N22" i="1"/>
  <c r="I25" i="1"/>
  <c r="K25" i="1" s="1"/>
  <c r="L25" i="1" s="1"/>
  <c r="L23" i="1"/>
  <c r="I24" i="1"/>
  <c r="K24" i="1" s="1"/>
  <c r="L24" i="1" s="1"/>
  <c r="Q23" i="1"/>
  <c r="I22" i="1"/>
  <c r="E57" i="1"/>
  <c r="E56" i="1"/>
  <c r="E54" i="1"/>
  <c r="E53" i="1"/>
  <c r="E52" i="1"/>
  <c r="E51" i="1"/>
  <c r="E49" i="1"/>
  <c r="E48" i="1"/>
  <c r="E46" i="1"/>
  <c r="E42" i="1"/>
  <c r="E41" i="1"/>
  <c r="E40" i="1"/>
  <c r="E39" i="1"/>
  <c r="E38" i="1"/>
  <c r="E37" i="1"/>
  <c r="E36" i="1"/>
  <c r="E35" i="1"/>
  <c r="E34" i="1"/>
  <c r="E33" i="1"/>
  <c r="E32" i="1"/>
  <c r="E22" i="1"/>
  <c r="E24" i="1"/>
  <c r="E25" i="1"/>
  <c r="E26" i="1"/>
  <c r="E27" i="1"/>
  <c r="K2" i="1" l="1"/>
  <c r="L2" i="1" l="1"/>
  <c r="B4" i="5"/>
  <c r="O22" i="1" s="1"/>
  <c r="P22" i="1" s="1"/>
  <c r="P62" i="1" s="1"/>
  <c r="B3" i="5"/>
  <c r="J22" i="1" s="1"/>
  <c r="K22" i="1" s="1"/>
  <c r="L22" i="1" l="1"/>
  <c r="L62" i="1" s="1"/>
  <c r="K62" i="1"/>
  <c r="Q22" i="1"/>
  <c r="Q62" i="1" s="1"/>
</calcChain>
</file>

<file path=xl/sharedStrings.xml><?xml version="1.0" encoding="utf-8"?>
<sst xmlns="http://schemas.openxmlformats.org/spreadsheetml/2006/main" count="1080" uniqueCount="173">
  <si>
    <t>Project Number</t>
  </si>
  <si>
    <t>Project Name</t>
  </si>
  <si>
    <t>Project Type</t>
  </si>
  <si>
    <t>Acres Treated</t>
  </si>
  <si>
    <t>TP Efficiency (%)</t>
  </si>
  <si>
    <t>Education and Outreach</t>
  </si>
  <si>
    <t>N/A</t>
  </si>
  <si>
    <t>TP Reduction (lbs/yr)</t>
  </si>
  <si>
    <t>Lake Mary Jess Pond</t>
  </si>
  <si>
    <t>Lake Tyler CIB</t>
  </si>
  <si>
    <t>OC-10</t>
  </si>
  <si>
    <t>OC-11</t>
  </si>
  <si>
    <t>OC-12</t>
  </si>
  <si>
    <t>OC-13</t>
  </si>
  <si>
    <t>OC-14</t>
  </si>
  <si>
    <t>OC-15</t>
  </si>
  <si>
    <t>OC-16</t>
  </si>
  <si>
    <t>OC-17</t>
  </si>
  <si>
    <t>OC-18</t>
  </si>
  <si>
    <t>OC-19</t>
  </si>
  <si>
    <t>OC-20</t>
  </si>
  <si>
    <t>OC-21</t>
  </si>
  <si>
    <t>OC-22</t>
  </si>
  <si>
    <t>OC-23</t>
  </si>
  <si>
    <t>OC-24</t>
  </si>
  <si>
    <t>OC-25</t>
  </si>
  <si>
    <t>OC-26</t>
  </si>
  <si>
    <t>OC-27</t>
  </si>
  <si>
    <t>OC-28</t>
  </si>
  <si>
    <t>OC-32</t>
  </si>
  <si>
    <t>OC-33</t>
  </si>
  <si>
    <t>OC-34</t>
  </si>
  <si>
    <t>TN Efficiency (%)</t>
  </si>
  <si>
    <t>TN Reduction (lbs/yr)</t>
  </si>
  <si>
    <t>residence time</t>
  </si>
  <si>
    <t>days</t>
  </si>
  <si>
    <t>TP efficiency</t>
  </si>
  <si>
    <t>TN efficiency</t>
  </si>
  <si>
    <t>OC-35</t>
  </si>
  <si>
    <t>OC-36</t>
  </si>
  <si>
    <t>OC-37</t>
  </si>
  <si>
    <t>OC-38</t>
  </si>
  <si>
    <t>OC-39</t>
  </si>
  <si>
    <t>OC-40</t>
  </si>
  <si>
    <t>OC-41</t>
  </si>
  <si>
    <t>OC-42</t>
  </si>
  <si>
    <t>OC-43</t>
  </si>
  <si>
    <t>OC-44</t>
  </si>
  <si>
    <t>Total Reductions</t>
  </si>
  <si>
    <t>Sub-Watershed</t>
  </si>
  <si>
    <t>Upper Kissimmee</t>
  </si>
  <si>
    <t>TN Base Load (lbs/yr)</t>
  </si>
  <si>
    <t>TP Base Load (lbs/yr)</t>
  </si>
  <si>
    <t>OC-01</t>
  </si>
  <si>
    <t>OC-02</t>
  </si>
  <si>
    <t>OC-03</t>
  </si>
  <si>
    <t>OC-04</t>
  </si>
  <si>
    <t>OC-05</t>
  </si>
  <si>
    <t>OC-07</t>
  </si>
  <si>
    <t>OC-09</t>
  </si>
  <si>
    <t>Lake Conway Street Sweeping</t>
  </si>
  <si>
    <t>Lake Holden Street Sweeping</t>
  </si>
  <si>
    <t>Lake Jessamine Street Sweeping</t>
  </si>
  <si>
    <t>Shingle/Boggy/Hart Basin Street Sweeping</t>
  </si>
  <si>
    <t>Education Efforts</t>
  </si>
  <si>
    <t>Street Sweeping</t>
  </si>
  <si>
    <t>Catch Basin Inserts/Inlet Filter Cleanout</t>
  </si>
  <si>
    <t>Lake Conway Curb Inlet Basket (CIB) Existing</t>
  </si>
  <si>
    <t>Lake Pineloch CIB</t>
  </si>
  <si>
    <t>Lake Anderson CIB</t>
  </si>
  <si>
    <t>Lake Holden CIB</t>
  </si>
  <si>
    <t>Lake Jessamine CIB</t>
  </si>
  <si>
    <t>Lake Floy CIB</t>
  </si>
  <si>
    <t>Lake Cane CIB</t>
  </si>
  <si>
    <t>Lake Odell CIB</t>
  </si>
  <si>
    <t>Lake Down/Windermere CIB</t>
  </si>
  <si>
    <t>Lake Tibet CIB</t>
  </si>
  <si>
    <t>Lisa Waterway Continuous Deflective Seperation (CDS) Unit</t>
  </si>
  <si>
    <t>Randolph Avenue CDS Unit</t>
  </si>
  <si>
    <t>Randolph Avenue Stormceptor™</t>
  </si>
  <si>
    <t>Randolph (Hansel) Avenue Pond</t>
  </si>
  <si>
    <t>Lake Odell Sediment Sump</t>
  </si>
  <si>
    <t>Lake Jennie Jewell Nutrient Separating Baffle Box (NSBB)</t>
  </si>
  <si>
    <t>Lake Anderson Alum Treatment System</t>
  </si>
  <si>
    <t>Lake Jessamine Surface Alum</t>
  </si>
  <si>
    <t>Lake Down Alum Treatment Facility</t>
  </si>
  <si>
    <t>Hydrodynamic Separators</t>
  </si>
  <si>
    <t>Wet Detention Pond</t>
  </si>
  <si>
    <t>Control Structure</t>
  </si>
  <si>
    <t>Baffle Boxes- Second Generation with Media</t>
  </si>
  <si>
    <t>Alum Injection Systems</t>
  </si>
  <si>
    <t>OC-29</t>
  </si>
  <si>
    <t>OC-30</t>
  </si>
  <si>
    <t>OC-31</t>
  </si>
  <si>
    <t>OC-45</t>
  </si>
  <si>
    <t>OC-46</t>
  </si>
  <si>
    <t>OC-47</t>
  </si>
  <si>
    <t>OC-48</t>
  </si>
  <si>
    <t>OC-49</t>
  </si>
  <si>
    <t>OC-50</t>
  </si>
  <si>
    <t>OC-51</t>
  </si>
  <si>
    <t>OC-52</t>
  </si>
  <si>
    <t>OC-53</t>
  </si>
  <si>
    <t>OC-54</t>
  </si>
  <si>
    <t>OC-55</t>
  </si>
  <si>
    <t>OC-56</t>
  </si>
  <si>
    <t>OC-57</t>
  </si>
  <si>
    <t>OC-58</t>
  </si>
  <si>
    <t>OC-59</t>
  </si>
  <si>
    <t>OC-60</t>
  </si>
  <si>
    <t>OC-61</t>
  </si>
  <si>
    <t>Lake Conway Hydrologic and Nutrient Study</t>
  </si>
  <si>
    <t>Lake Jennie Jewel CIB Installation</t>
  </si>
  <si>
    <t>Jewell-Gatlin NSBB</t>
  </si>
  <si>
    <t>Lake Gem Mary Loading Assessment</t>
  </si>
  <si>
    <t>Lake Conway Old Dominion Road NSBB</t>
  </si>
  <si>
    <t>Lake Conway Pershing CDS</t>
  </si>
  <si>
    <t>Lake Conway Cullen Lakeshore CDS</t>
  </si>
  <si>
    <t>Lake Jessamine 608 Viscaya NSB1</t>
  </si>
  <si>
    <t>Lake Jessamine 616 Viscaya NSB1</t>
  </si>
  <si>
    <t>Lake Jessamine Silvera Avenue NSB1</t>
  </si>
  <si>
    <t>Lake Tyler Apts. 8 CDS</t>
  </si>
  <si>
    <t>Lake Tyler Apts. 9 CDS</t>
  </si>
  <si>
    <t>Hidden Cove Apts. 7 CDS</t>
  </si>
  <si>
    <t>Lake Tibet Houston Pl. NSBB</t>
  </si>
  <si>
    <t>Lake Down Subbasin 9 NSBB</t>
  </si>
  <si>
    <t>Lake Jessamine Hydrologic Nutrient Budget Study</t>
  </si>
  <si>
    <t>Anderson Street Sweeping</t>
  </si>
  <si>
    <t>Bass Lake CIB</t>
  </si>
  <si>
    <t>Jennie Jewel Alum</t>
  </si>
  <si>
    <t>LaGrange CIB</t>
  </si>
  <si>
    <t>Lake Christie NSBB</t>
  </si>
  <si>
    <t>Lake Pineloch NSBB</t>
  </si>
  <si>
    <t>Shingle Creek Hydro/ Nutrient Assessment</t>
  </si>
  <si>
    <t>Boggy Creek B-14 Pipeline (Segment B)</t>
  </si>
  <si>
    <t>Bonnie Brook Erosion Control</t>
  </si>
  <si>
    <t>B-14 Wheatberry Court</t>
  </si>
  <si>
    <t>Boggy Creek B-14 Pipeline (Segments A, C, and D)</t>
  </si>
  <si>
    <t>Lake Hickorynut Hydro/Nutrient Source Assessment</t>
  </si>
  <si>
    <t>Lake Gem Mary Alum Treatment Design</t>
  </si>
  <si>
    <t>Lake Gem Mary Alum Treatment</t>
  </si>
  <si>
    <t>Shingle Creek Feasibility Study</t>
  </si>
  <si>
    <t>Holden Heights Community Improvements Phase IV</t>
  </si>
  <si>
    <t>Hamlin Water Reclamation Facility (WRF)</t>
  </si>
  <si>
    <t>Study</t>
  </si>
  <si>
    <t>Baffle Boxes- Second Generation</t>
  </si>
  <si>
    <t>Stormwater System Rehabilitation</t>
  </si>
  <si>
    <t>Shoreline Stabilization</t>
  </si>
  <si>
    <t>OSTDS Phase Out</t>
  </si>
  <si>
    <t>WWTF Nutrient Reduction</t>
  </si>
  <si>
    <t>Canceled</t>
  </si>
  <si>
    <t>Area (square feet)</t>
  </si>
  <si>
    <t>Basin</t>
  </si>
  <si>
    <t>TP (kg/yr)</t>
  </si>
  <si>
    <t>TP Reduction (MT/yr)</t>
  </si>
  <si>
    <t>TN (kg/yr)</t>
  </si>
  <si>
    <t>TN Reduction (MT/yr)</t>
  </si>
  <si>
    <t>Boggy Creek</t>
  </si>
  <si>
    <t>Shingle Creek, Boggy Creek, Lake Hart</t>
  </si>
  <si>
    <t>Shingle Creek</t>
  </si>
  <si>
    <t>Upper Reedy Creek</t>
  </si>
  <si>
    <t>Bogg Creek</t>
  </si>
  <si>
    <t>Upper Reedy Creek, Shingle Creek, Boggy Creek, Lake Tohopekaliga, East Lake Tohopekaliga, Lake Hart, Lower Reedy Creek</t>
  </si>
  <si>
    <t>OBJECTID</t>
  </si>
  <si>
    <t>FREQUENCY</t>
  </si>
  <si>
    <t>SUM_Load</t>
  </si>
  <si>
    <t>Not provided</t>
  </si>
  <si>
    <t>COUNTIES</t>
  </si>
  <si>
    <t>LU_Type</t>
  </si>
  <si>
    <t>TN SUM_Load</t>
  </si>
  <si>
    <t>TP SUM_Load</t>
  </si>
  <si>
    <t>Urban</t>
  </si>
  <si>
    <t>Orange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</si>
</sst>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</cellStyleXfs>
  <cellXfs count="15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4" fillId="0" borderId="0" xfId="0" applyFont="1"/>
    <xf numFmtId="0" fontId="5" fillId="0" borderId="1" xfId="0" applyFont="1" applyFill="1" applyBorder="1" applyAlignment="1">
      <alignment horizontal="left" vertical="center" wrapText="1"/>
    </xf>
    <xf numFmtId="165" fontId="3" fillId="0" borderId="0" xfId="0" applyNumberFormat="1" applyFont="1"/>
    <xf numFmtId="0" fontId="6" fillId="0" borderId="0" xfId="0" applyFont="1"/>
    <xf numFmtId="0" fontId="4" fillId="0" borderId="1" xfId="0" applyFont="1" applyFill="1" applyBorder="1" applyAlignment="1">
      <alignment horizontal="left"/>
    </xf>
    <xf numFmtId="165" fontId="4" fillId="0" borderId="0" xfId="0" applyNumberFormat="1" applyFont="1"/>
    <xf numFmtId="0" fontId="4" fillId="0" borderId="0" xfId="0" applyFont="1" applyAlignment="1">
      <alignment wrapText="1"/>
    </xf>
    <xf numFmtId="166" fontId="0" fillId="0" borderId="0" xfId="0" applyNumberFormat="1"/>
    <xf numFmtId="0" fontId="4" fillId="0" borderId="1" xfId="0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5" fontId="2" fillId="2" borderId="1" xfId="1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5" fontId="4" fillId="0" borderId="1" xfId="0" applyNumberFormat="1" applyFont="1" applyBorder="1" applyAlignment="1">
      <alignment horizontal="left"/>
    </xf>
    <xf numFmtId="166" fontId="4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65" fontId="4" fillId="0" borderId="1" xfId="0" applyNumberFormat="1" applyFont="1" applyFill="1" applyBorder="1" applyAlignment="1">
      <alignment horizontal="left"/>
    </xf>
    <xf numFmtId="166" fontId="4" fillId="0" borderId="1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1" xfId="2" applyFont="1" applyFill="1" applyBorder="1" applyAlignment="1">
      <alignment horizontal="left" wrapText="1"/>
    </xf>
    <xf numFmtId="2" fontId="4" fillId="0" borderId="1" xfId="0" applyNumberFormat="1" applyFont="1" applyBorder="1" applyAlignment="1">
      <alignment horizontal="left"/>
    </xf>
    <xf numFmtId="2" fontId="5" fillId="0" borderId="1" xfId="0" applyNumberFormat="1" applyFont="1" applyFill="1" applyBorder="1" applyAlignment="1">
      <alignment horizontal="left" wrapText="1"/>
    </xf>
    <xf numFmtId="2" fontId="5" fillId="0" borderId="1" xfId="2" applyNumberFormat="1" applyFont="1" applyFill="1" applyBorder="1" applyAlignment="1">
      <alignment horizontal="left" wrapText="1"/>
    </xf>
    <xf numFmtId="2" fontId="4" fillId="0" borderId="0" xfId="0" applyNumberFormat="1" applyFont="1"/>
    <xf numFmtId="0" fontId="8" fillId="0" borderId="2" xfId="0" applyNumberFormat="1" applyFont="1" applyFill="1" applyBorder="1" applyAlignment="1" applyProtection="1">
      <alignment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3" fontId="8" fillId="0" borderId="2" xfId="0" applyNumberFormat="1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>
      <alignment vertical="center" wrapText="1"/>
    </xf>
    <xf numFmtId="0" fontId="9" fillId="0" borderId="2" xfId="0" applyFont="1" applyFill="1" applyBorder="1" applyAlignment="1" applyProtection="1">
      <alignment vertical="center" wrapText="1"/>
    </xf>
    <xf numFmtId="166" fontId="3" fillId="3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Fill="1" applyBorder="1" applyAlignment="1">
      <alignment horizontal="left" wrapText="1"/>
    </xf>
    <xf numFmtId="166" fontId="5" fillId="0" borderId="1" xfId="2" applyNumberFormat="1" applyFont="1" applyFill="1" applyBorder="1" applyAlignment="1">
      <alignment horizontal="left" wrapText="1"/>
    </xf>
    <xf numFmtId="166" fontId="3" fillId="0" borderId="0" xfId="0" applyNumberFormat="1" applyFont="1" applyAlignment="1">
      <alignment horizontal="right"/>
    </xf>
    <xf numFmtId="166" fontId="4" fillId="0" borderId="0" xfId="0" applyNumberFormat="1" applyFont="1"/>
    <xf numFmtId="166" fontId="3" fillId="0" borderId="0" xfId="0" applyNumberFormat="1" applyFont="1"/>
    <xf numFmtId="0" fontId="4" fillId="4" borderId="1" xfId="0" applyFont="1" applyFill="1" applyBorder="1" applyAlignment="1">
      <alignment horizontal="left" wrapText="1"/>
    </xf>
    <xf numFmtId="165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166" fontId="4" fillId="4" borderId="1" xfId="0" applyNumberFormat="1" applyFont="1" applyFill="1" applyBorder="1" applyAlignment="1">
      <alignment horizontal="left"/>
    </xf>
    <xf numFmtId="165" fontId="5" fillId="0" borderId="1" xfId="2" applyNumberFormat="1" applyFont="1" applyFill="1" applyBorder="1" applyAlignment="1">
      <alignment horizontal="left" wrapText="1"/>
    </xf>
    <xf numFmtId="165" fontId="5" fillId="0" borderId="1" xfId="0" applyNumberFormat="1" applyFont="1" applyFill="1" applyBorder="1" applyAlignment="1">
      <alignment horizontal="left" wrapText="1"/>
    </xf>
    <xf numFmtId="165" fontId="4" fillId="0" borderId="1" xfId="0" applyNumberFormat="1" applyFont="1" applyBorder="1" applyAlignment="1">
      <alignment horizontal="left" wrapText="1"/>
    </xf>
    <xf numFmtId="4" fontId="3" fillId="0" borderId="0" xfId="0" applyNumberFormat="1" applyFont="1"/>
    <xf numFmtId="0" fontId="10" fillId="0" borderId="1" xfId="0" applyFont="1" applyFill="1" applyBorder="1" applyAlignment="1">
      <alignment horizontal="left"/>
    </xf>
    <xf numFmtId="2" fontId="4" fillId="0" borderId="1" xfId="0" applyNumberFormat="1" applyFont="1" applyFill="1" applyBorder="1" applyAlignment="1">
      <alignment horizontal="left"/>
    </xf>
    <xf numFmtId="165" fontId="10" fillId="0" borderId="1" xfId="0" applyNumberFormat="1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left"/>
    </xf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3" applyFont="1" applyFill="1" applyBorder="1" applyAlignment="1" applyProtection="1">
      <alignment horizontal="center"/>
    </xf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1" fontId="11" fillId="0" borderId="0" xfId="3" applyNumberFormat="1" applyFont="1" applyFill="1" applyBorder="1" applyAlignment="1" applyProtection="1"/>
    <xf numFmtId="0" fontId="11" fillId="0" borderId="0" xfId="3" applyFont="1" applyFill="1" applyBorder="1" applyAlignment="1" applyProtection="1"/>
    <xf numFmtId="0" fontId="12" fillId="5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/>
  </cellXfs>
  <cellStyles count="4">
    <cellStyle name="Normal" xfId="0" builtinId="0"/>
    <cellStyle name="Normal 2" xfId="3" xr:uid="{00000000-0005-0000-0000-000031000000}"/>
    <cellStyle name="Normal 3" xfId="2" xr:uid="{6988FA4B-089E-4631-BF60-F6E5FA6D75BB}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2"/>
  <sheetViews>
    <sheetView tabSelected="1" zoomScale="75" zoomScaleNormal="75" workbookViewId="0">
      <pane ySplit="1" topLeftCell="A2" activePane="bottomLeft" state="frozen"/>
      <selection pane="bottomLeft" activeCell="K2" sqref="K2:L2"/>
    </sheetView>
  </sheetViews>
  <sheetFormatPr defaultColWidth="9.109375" defaultRowHeight="14.4" x14ac:dyDescent="0.3"/>
  <cols>
    <col min="1" max="1" width="8.6640625" style="3" customWidth="1"/>
    <col min="2" max="2" width="21.33203125" style="3" customWidth="1"/>
    <col min="3" max="3" width="13.6640625" style="9" customWidth="1"/>
    <col min="4" max="4" width="12" style="9" customWidth="1"/>
    <col min="5" max="5" width="9" style="8" customWidth="1"/>
    <col min="6" max="6" width="9.77734375" style="3" bestFit="1" customWidth="1"/>
    <col min="7" max="7" width="19.21875" style="3" customWidth="1"/>
    <col min="8" max="8" width="9.77734375" style="3" customWidth="1"/>
    <col min="9" max="9" width="12" style="8" customWidth="1"/>
    <col min="10" max="10" width="13.109375" style="41" customWidth="1"/>
    <col min="11" max="11" width="11.88671875" style="3" customWidth="1"/>
    <col min="12" max="12" width="11.88671875" style="31" customWidth="1"/>
    <col min="13" max="14" width="11.88671875" style="3" customWidth="1"/>
    <col min="15" max="15" width="11.88671875" style="41" customWidth="1"/>
    <col min="16" max="16" width="11.88671875" style="8" customWidth="1"/>
    <col min="17" max="17" width="9.109375" style="31"/>
    <col min="18" max="18" width="9.109375" style="3"/>
    <col min="20" max="20" width="9.109375" style="3"/>
    <col min="21" max="21" width="7.6640625" style="3" customWidth="1"/>
    <col min="22" max="16384" width="9.109375" style="3"/>
  </cols>
  <sheetData>
    <row r="1" spans="1:21" ht="40.200000000000003" x14ac:dyDescent="0.3">
      <c r="A1" s="1" t="s">
        <v>0</v>
      </c>
      <c r="B1" s="1" t="s">
        <v>1</v>
      </c>
      <c r="C1" s="1" t="s">
        <v>2</v>
      </c>
      <c r="D1" s="12" t="s">
        <v>151</v>
      </c>
      <c r="E1" s="14" t="s">
        <v>3</v>
      </c>
      <c r="F1" s="13" t="s">
        <v>49</v>
      </c>
      <c r="G1" s="13" t="s">
        <v>152</v>
      </c>
      <c r="H1" s="14" t="s">
        <v>153</v>
      </c>
      <c r="I1" s="2" t="s">
        <v>52</v>
      </c>
      <c r="J1" s="37" t="s">
        <v>4</v>
      </c>
      <c r="K1" s="2" t="s">
        <v>7</v>
      </c>
      <c r="L1" s="15" t="s">
        <v>154</v>
      </c>
      <c r="M1" s="2" t="s">
        <v>155</v>
      </c>
      <c r="N1" s="2" t="s">
        <v>51</v>
      </c>
      <c r="O1" s="37" t="s">
        <v>32</v>
      </c>
      <c r="P1" s="2" t="s">
        <v>33</v>
      </c>
      <c r="Q1" s="15" t="s">
        <v>156</v>
      </c>
    </row>
    <row r="2" spans="1:21" s="21" customFormat="1" ht="92.4" x14ac:dyDescent="0.25">
      <c r="A2" s="16" t="s">
        <v>53</v>
      </c>
      <c r="B2" s="16" t="s">
        <v>5</v>
      </c>
      <c r="C2" s="17" t="s">
        <v>64</v>
      </c>
      <c r="D2" s="7">
        <v>2877827577.0823998</v>
      </c>
      <c r="E2" s="47">
        <f>ROUND(D2*0.000022956841139,1)</f>
        <v>66065.8</v>
      </c>
      <c r="F2" s="17" t="s">
        <v>50</v>
      </c>
      <c r="G2" s="17" t="s">
        <v>162</v>
      </c>
      <c r="H2" s="11">
        <f>'01'!C108</f>
        <v>69491.282621033199</v>
      </c>
      <c r="I2" s="18">
        <f t="shared" ref="I2" si="0">H2*2.2046226218</f>
        <v>153202.05368422699</v>
      </c>
      <c r="J2" s="19">
        <v>0.06</v>
      </c>
      <c r="K2" s="24">
        <f>ROUND(I2*J2,1)</f>
        <v>9192.1</v>
      </c>
      <c r="L2" s="28">
        <f>K2*0.00045359237</f>
        <v>4.1694664242770001</v>
      </c>
      <c r="M2" s="24">
        <f>'01'!H108</f>
        <v>111775.02479184153</v>
      </c>
      <c r="N2" s="18">
        <f t="shared" ref="N2" si="1">M2*2.2046226218</f>
        <v>246421.74820834966</v>
      </c>
      <c r="O2" s="19">
        <v>0.06</v>
      </c>
      <c r="P2" s="24">
        <f>ROUND(N2*O2,1)</f>
        <v>14785.3</v>
      </c>
      <c r="Q2" s="28">
        <f t="shared" ref="Q2:Q8" si="2">P2*0.00045359237</f>
        <v>6.7064992681609992</v>
      </c>
      <c r="R2" s="20"/>
    </row>
    <row r="3" spans="1:21" s="26" customFormat="1" ht="26.4" x14ac:dyDescent="0.25">
      <c r="A3" s="7" t="s">
        <v>54</v>
      </c>
      <c r="B3" s="4" t="s">
        <v>60</v>
      </c>
      <c r="C3" s="11" t="s">
        <v>65</v>
      </c>
      <c r="D3" s="22" t="s">
        <v>6</v>
      </c>
      <c r="E3" s="48" t="s">
        <v>6</v>
      </c>
      <c r="F3" s="11" t="s">
        <v>50</v>
      </c>
      <c r="G3" s="11" t="s">
        <v>157</v>
      </c>
      <c r="H3" s="24" t="s">
        <v>6</v>
      </c>
      <c r="I3" s="24" t="s">
        <v>6</v>
      </c>
      <c r="J3" s="25" t="s">
        <v>6</v>
      </c>
      <c r="K3" s="51">
        <f>ROUND(298*(1-0.47),1)</f>
        <v>157.9</v>
      </c>
      <c r="L3" s="52">
        <f t="shared" ref="L3:L8" si="3">K3*0.00045359237</f>
        <v>7.1622235223E-2</v>
      </c>
      <c r="M3" s="25" t="s">
        <v>6</v>
      </c>
      <c r="N3" s="25" t="s">
        <v>6</v>
      </c>
      <c r="O3" s="25" t="s">
        <v>6</v>
      </c>
      <c r="P3" s="53">
        <f>ROUND(645*(1-0.67),1)</f>
        <v>212.9</v>
      </c>
      <c r="Q3" s="52">
        <f t="shared" si="2"/>
        <v>9.6569815572999998E-2</v>
      </c>
    </row>
    <row r="4" spans="1:21" s="26" customFormat="1" ht="26.4" x14ac:dyDescent="0.25">
      <c r="A4" s="7" t="s">
        <v>55</v>
      </c>
      <c r="B4" s="4" t="s">
        <v>61</v>
      </c>
      <c r="C4" s="11" t="s">
        <v>65</v>
      </c>
      <c r="D4" s="22" t="s">
        <v>6</v>
      </c>
      <c r="E4" s="48" t="s">
        <v>6</v>
      </c>
      <c r="F4" s="11" t="s">
        <v>50</v>
      </c>
      <c r="G4" s="11" t="s">
        <v>157</v>
      </c>
      <c r="H4" s="24" t="s">
        <v>6</v>
      </c>
      <c r="I4" s="24" t="s">
        <v>6</v>
      </c>
      <c r="J4" s="25" t="s">
        <v>6</v>
      </c>
      <c r="K4" s="51">
        <f>ROUND(49*(1-0.47),1)</f>
        <v>26</v>
      </c>
      <c r="L4" s="52">
        <f t="shared" si="3"/>
        <v>1.1793401619999999E-2</v>
      </c>
      <c r="M4" s="25" t="s">
        <v>6</v>
      </c>
      <c r="N4" s="25" t="s">
        <v>6</v>
      </c>
      <c r="O4" s="25" t="s">
        <v>6</v>
      </c>
      <c r="P4" s="53">
        <f>ROUND(107*(1-0.67),1)</f>
        <v>35.299999999999997</v>
      </c>
      <c r="Q4" s="52">
        <f t="shared" si="2"/>
        <v>1.6011810660999999E-2</v>
      </c>
    </row>
    <row r="5" spans="1:21" s="26" customFormat="1" ht="26.4" x14ac:dyDescent="0.25">
      <c r="A5" s="7" t="s">
        <v>56</v>
      </c>
      <c r="B5" s="4" t="s">
        <v>62</v>
      </c>
      <c r="C5" s="11" t="s">
        <v>65</v>
      </c>
      <c r="D5" s="23" t="s">
        <v>6</v>
      </c>
      <c r="E5" s="48" t="s">
        <v>6</v>
      </c>
      <c r="F5" s="11" t="s">
        <v>50</v>
      </c>
      <c r="G5" s="11" t="s">
        <v>157</v>
      </c>
      <c r="H5" s="24" t="s">
        <v>6</v>
      </c>
      <c r="I5" s="24" t="s">
        <v>6</v>
      </c>
      <c r="J5" s="25" t="s">
        <v>6</v>
      </c>
      <c r="K5" s="53">
        <f>ROUND(44*(1-0.47),1)</f>
        <v>23.3</v>
      </c>
      <c r="L5" s="52">
        <f t="shared" si="3"/>
        <v>1.0568702221000001E-2</v>
      </c>
      <c r="M5" s="25" t="s">
        <v>6</v>
      </c>
      <c r="N5" s="25" t="s">
        <v>6</v>
      </c>
      <c r="O5" s="25" t="s">
        <v>6</v>
      </c>
      <c r="P5" s="53">
        <f>ROUND(94*(1-0.67),1)</f>
        <v>31</v>
      </c>
      <c r="Q5" s="52">
        <f t="shared" si="2"/>
        <v>1.4061363469999999E-2</v>
      </c>
    </row>
    <row r="6" spans="1:21" s="26" customFormat="1" ht="26.4" x14ac:dyDescent="0.25">
      <c r="A6" s="7" t="s">
        <v>57</v>
      </c>
      <c r="B6" s="4" t="s">
        <v>63</v>
      </c>
      <c r="C6" s="11" t="s">
        <v>65</v>
      </c>
      <c r="D6" s="23" t="s">
        <v>6</v>
      </c>
      <c r="E6" s="48" t="s">
        <v>6</v>
      </c>
      <c r="F6" s="11" t="s">
        <v>50</v>
      </c>
      <c r="G6" s="11" t="s">
        <v>158</v>
      </c>
      <c r="H6" s="24" t="s">
        <v>6</v>
      </c>
      <c r="I6" s="24" t="s">
        <v>6</v>
      </c>
      <c r="J6" s="25" t="s">
        <v>6</v>
      </c>
      <c r="K6" s="51">
        <f>ROUND(246*(1-0.47),1)</f>
        <v>130.4</v>
      </c>
      <c r="L6" s="52">
        <f t="shared" si="3"/>
        <v>5.9148445048000001E-2</v>
      </c>
      <c r="M6" s="25" t="s">
        <v>6</v>
      </c>
      <c r="N6" s="25" t="s">
        <v>6</v>
      </c>
      <c r="O6" s="25" t="s">
        <v>6</v>
      </c>
      <c r="P6" s="53">
        <f>ROUND(534*(1-0.67),1)</f>
        <v>176.2</v>
      </c>
      <c r="Q6" s="52">
        <f t="shared" si="2"/>
        <v>7.9922975593999995E-2</v>
      </c>
    </row>
    <row r="7" spans="1:21" s="26" customFormat="1" ht="39.6" x14ac:dyDescent="0.25">
      <c r="A7" s="7" t="s">
        <v>58</v>
      </c>
      <c r="B7" s="4" t="s">
        <v>67</v>
      </c>
      <c r="C7" s="11" t="s">
        <v>66</v>
      </c>
      <c r="D7" s="23" t="s">
        <v>6</v>
      </c>
      <c r="E7" s="48">
        <v>71</v>
      </c>
      <c r="F7" s="11" t="s">
        <v>50</v>
      </c>
      <c r="G7" s="11" t="s">
        <v>157</v>
      </c>
      <c r="H7" s="24" t="s">
        <v>6</v>
      </c>
      <c r="I7" s="24" t="s">
        <v>6</v>
      </c>
      <c r="J7" s="25" t="s">
        <v>6</v>
      </c>
      <c r="K7" s="7">
        <f>ROUND(7*(1-0.47),1)</f>
        <v>3.7</v>
      </c>
      <c r="L7" s="52">
        <f t="shared" si="3"/>
        <v>1.6782917690000001E-3</v>
      </c>
      <c r="M7" s="25" t="s">
        <v>6</v>
      </c>
      <c r="N7" s="25" t="s">
        <v>6</v>
      </c>
      <c r="O7" s="25" t="s">
        <v>6</v>
      </c>
      <c r="P7" s="24">
        <f>ROUND(10.8*(1-0.67),1)</f>
        <v>3.6</v>
      </c>
      <c r="Q7" s="52">
        <f t="shared" si="2"/>
        <v>1.632932532E-3</v>
      </c>
      <c r="T7" s="32"/>
      <c r="U7" s="32"/>
    </row>
    <row r="8" spans="1:21" s="26" customFormat="1" ht="39.6" x14ac:dyDescent="0.25">
      <c r="A8" s="7" t="s">
        <v>59</v>
      </c>
      <c r="B8" s="4" t="s">
        <v>68</v>
      </c>
      <c r="C8" s="11" t="s">
        <v>66</v>
      </c>
      <c r="D8" s="23" t="s">
        <v>6</v>
      </c>
      <c r="E8" s="48">
        <v>14</v>
      </c>
      <c r="F8" s="11" t="s">
        <v>50</v>
      </c>
      <c r="G8" s="11" t="s">
        <v>157</v>
      </c>
      <c r="H8" s="24" t="s">
        <v>6</v>
      </c>
      <c r="I8" s="24" t="s">
        <v>6</v>
      </c>
      <c r="J8" s="25" t="s">
        <v>6</v>
      </c>
      <c r="K8" s="7">
        <f>ROUND(1.7*(1-0.47),1)</f>
        <v>0.9</v>
      </c>
      <c r="L8" s="52">
        <f t="shared" si="3"/>
        <v>4.0823313299999999E-4</v>
      </c>
      <c r="M8" s="25" t="s">
        <v>6</v>
      </c>
      <c r="N8" s="25" t="s">
        <v>6</v>
      </c>
      <c r="O8" s="25" t="s">
        <v>6</v>
      </c>
      <c r="P8" s="24">
        <f>ROUND(2.8*(1-0.67),1)</f>
        <v>0.9</v>
      </c>
      <c r="Q8" s="52">
        <f t="shared" si="2"/>
        <v>4.0823313299999999E-4</v>
      </c>
      <c r="T8" s="32"/>
      <c r="U8" s="32"/>
    </row>
    <row r="9" spans="1:21" s="21" customFormat="1" ht="39.6" x14ac:dyDescent="0.25">
      <c r="A9" s="16" t="s">
        <v>10</v>
      </c>
      <c r="B9" s="4" t="s">
        <v>69</v>
      </c>
      <c r="C9" s="17" t="s">
        <v>66</v>
      </c>
      <c r="D9" s="23" t="s">
        <v>150</v>
      </c>
      <c r="E9" s="48" t="s">
        <v>150</v>
      </c>
      <c r="F9" s="17" t="s">
        <v>50</v>
      </c>
      <c r="G9" s="17" t="s">
        <v>150</v>
      </c>
      <c r="H9" s="23" t="s">
        <v>150</v>
      </c>
      <c r="I9" s="23" t="s">
        <v>150</v>
      </c>
      <c r="J9" s="38" t="s">
        <v>150</v>
      </c>
      <c r="K9" s="23" t="s">
        <v>150</v>
      </c>
      <c r="L9" s="29" t="s">
        <v>150</v>
      </c>
      <c r="M9" s="23" t="s">
        <v>150</v>
      </c>
      <c r="N9" s="23" t="s">
        <v>150</v>
      </c>
      <c r="O9" s="38" t="s">
        <v>150</v>
      </c>
      <c r="P9" s="48" t="s">
        <v>150</v>
      </c>
      <c r="Q9" s="29" t="s">
        <v>150</v>
      </c>
      <c r="T9" s="33"/>
      <c r="U9" s="33"/>
    </row>
    <row r="10" spans="1:21" s="26" customFormat="1" ht="39.6" x14ac:dyDescent="0.25">
      <c r="A10" s="7" t="s">
        <v>11</v>
      </c>
      <c r="B10" s="4" t="s">
        <v>70</v>
      </c>
      <c r="C10" s="11" t="s">
        <v>66</v>
      </c>
      <c r="D10" s="23" t="s">
        <v>6</v>
      </c>
      <c r="E10" s="48">
        <v>72</v>
      </c>
      <c r="F10" s="11" t="s">
        <v>50</v>
      </c>
      <c r="G10" s="11" t="s">
        <v>159</v>
      </c>
      <c r="H10" s="24" t="s">
        <v>6</v>
      </c>
      <c r="I10" s="24" t="s">
        <v>6</v>
      </c>
      <c r="J10" s="25" t="s">
        <v>6</v>
      </c>
      <c r="K10" s="7">
        <f>ROUND(11.5*(1-0.47),1)</f>
        <v>6.1</v>
      </c>
      <c r="L10" s="52">
        <f t="shared" ref="L10:L21" si="4">K10*0.00045359237</f>
        <v>2.7669134569999997E-3</v>
      </c>
      <c r="M10" s="25" t="s">
        <v>6</v>
      </c>
      <c r="N10" s="25" t="s">
        <v>6</v>
      </c>
      <c r="O10" s="25" t="s">
        <v>6</v>
      </c>
      <c r="P10" s="24">
        <f>ROUND(18.7*(1-0.67),1)</f>
        <v>6.2</v>
      </c>
      <c r="Q10" s="52">
        <f t="shared" ref="Q10:Q21" si="5">P10*0.00045359237</f>
        <v>2.812272694E-3</v>
      </c>
      <c r="T10" s="32"/>
      <c r="U10" s="32"/>
    </row>
    <row r="11" spans="1:21" s="26" customFormat="1" ht="39.6" x14ac:dyDescent="0.25">
      <c r="A11" s="7" t="s">
        <v>12</v>
      </c>
      <c r="B11" s="4" t="s">
        <v>71</v>
      </c>
      <c r="C11" s="11" t="s">
        <v>66</v>
      </c>
      <c r="D11" s="23" t="s">
        <v>6</v>
      </c>
      <c r="E11" s="48">
        <v>63</v>
      </c>
      <c r="F11" s="11" t="s">
        <v>50</v>
      </c>
      <c r="G11" s="11" t="s">
        <v>157</v>
      </c>
      <c r="H11" s="24" t="s">
        <v>6</v>
      </c>
      <c r="I11" s="24" t="s">
        <v>6</v>
      </c>
      <c r="J11" s="25" t="s">
        <v>6</v>
      </c>
      <c r="K11" s="7">
        <f>ROUND(5.5*(1-0.47),1)</f>
        <v>2.9</v>
      </c>
      <c r="L11" s="52">
        <f t="shared" si="4"/>
        <v>1.3154178729999999E-3</v>
      </c>
      <c r="M11" s="25" t="s">
        <v>6</v>
      </c>
      <c r="N11" s="25" t="s">
        <v>6</v>
      </c>
      <c r="O11" s="25" t="s">
        <v>6</v>
      </c>
      <c r="P11" s="24">
        <f>ROUND(8.8*(1-0.67),1)</f>
        <v>2.9</v>
      </c>
      <c r="Q11" s="52">
        <f t="shared" si="5"/>
        <v>1.3154178729999999E-3</v>
      </c>
      <c r="T11" s="32"/>
      <c r="U11" s="32"/>
    </row>
    <row r="12" spans="1:21" s="26" customFormat="1" ht="39.6" x14ac:dyDescent="0.25">
      <c r="A12" s="7" t="s">
        <v>13</v>
      </c>
      <c r="B12" s="4" t="s">
        <v>72</v>
      </c>
      <c r="C12" s="11" t="s">
        <v>66</v>
      </c>
      <c r="D12" s="23" t="s">
        <v>6</v>
      </c>
      <c r="E12" s="48">
        <v>6</v>
      </c>
      <c r="F12" s="11" t="s">
        <v>50</v>
      </c>
      <c r="G12" s="11" t="s">
        <v>159</v>
      </c>
      <c r="H12" s="24" t="s">
        <v>6</v>
      </c>
      <c r="I12" s="24" t="s">
        <v>6</v>
      </c>
      <c r="J12" s="25" t="s">
        <v>6</v>
      </c>
      <c r="K12" s="7">
        <f>ROUND(2*(1-0.47),1)</f>
        <v>1.1000000000000001</v>
      </c>
      <c r="L12" s="52">
        <f t="shared" si="4"/>
        <v>4.9895160700000004E-4</v>
      </c>
      <c r="M12" s="25" t="s">
        <v>6</v>
      </c>
      <c r="N12" s="25" t="s">
        <v>6</v>
      </c>
      <c r="O12" s="25" t="s">
        <v>6</v>
      </c>
      <c r="P12" s="24">
        <f>ROUND(3.3*(1-0.67),1)</f>
        <v>1.1000000000000001</v>
      </c>
      <c r="Q12" s="52">
        <f t="shared" si="5"/>
        <v>4.9895160700000004E-4</v>
      </c>
      <c r="T12" s="32"/>
      <c r="U12" s="32"/>
    </row>
    <row r="13" spans="1:21" s="26" customFormat="1" ht="39.6" x14ac:dyDescent="0.25">
      <c r="A13" s="7" t="s">
        <v>14</v>
      </c>
      <c r="B13" s="4" t="s">
        <v>73</v>
      </c>
      <c r="C13" s="11" t="s">
        <v>66</v>
      </c>
      <c r="D13" s="23" t="s">
        <v>6</v>
      </c>
      <c r="E13" s="48">
        <v>11</v>
      </c>
      <c r="F13" s="11" t="s">
        <v>50</v>
      </c>
      <c r="G13" s="11" t="s">
        <v>159</v>
      </c>
      <c r="H13" s="24" t="s">
        <v>6</v>
      </c>
      <c r="I13" s="24" t="s">
        <v>6</v>
      </c>
      <c r="J13" s="25" t="s">
        <v>6</v>
      </c>
      <c r="K13" s="54">
        <f>ROUND(1.5*(1-0.47),1)</f>
        <v>0.8</v>
      </c>
      <c r="L13" s="52">
        <f t="shared" si="4"/>
        <v>3.6287389599999999E-4</v>
      </c>
      <c r="M13" s="25" t="s">
        <v>6</v>
      </c>
      <c r="N13" s="25" t="s">
        <v>6</v>
      </c>
      <c r="O13" s="25" t="s">
        <v>6</v>
      </c>
      <c r="P13" s="24">
        <f>ROUND(2.6*(1-0.67),1)</f>
        <v>0.9</v>
      </c>
      <c r="Q13" s="52">
        <f t="shared" si="5"/>
        <v>4.0823313299999999E-4</v>
      </c>
      <c r="T13" s="32"/>
      <c r="U13" s="32"/>
    </row>
    <row r="14" spans="1:21" s="26" customFormat="1" ht="39.6" x14ac:dyDescent="0.25">
      <c r="A14" s="7" t="s">
        <v>15</v>
      </c>
      <c r="B14" s="4" t="s">
        <v>74</v>
      </c>
      <c r="C14" s="11" t="s">
        <v>66</v>
      </c>
      <c r="D14" s="23" t="s">
        <v>6</v>
      </c>
      <c r="E14" s="48">
        <v>2</v>
      </c>
      <c r="F14" s="11" t="s">
        <v>50</v>
      </c>
      <c r="G14" s="11" t="s">
        <v>159</v>
      </c>
      <c r="H14" s="24" t="s">
        <v>6</v>
      </c>
      <c r="I14" s="24" t="s">
        <v>6</v>
      </c>
      <c r="J14" s="25" t="s">
        <v>6</v>
      </c>
      <c r="K14" s="7">
        <f>ROUND(0.4*(1-0.47),1)</f>
        <v>0.2</v>
      </c>
      <c r="L14" s="52">
        <f t="shared" si="4"/>
        <v>9.0718473999999998E-5</v>
      </c>
      <c r="M14" s="25" t="s">
        <v>6</v>
      </c>
      <c r="N14" s="25" t="s">
        <v>6</v>
      </c>
      <c r="O14" s="25" t="s">
        <v>6</v>
      </c>
      <c r="P14" s="24">
        <f>ROUND(0.7*(1-0.67),1)</f>
        <v>0.2</v>
      </c>
      <c r="Q14" s="52">
        <f t="shared" si="5"/>
        <v>9.0718473999999998E-5</v>
      </c>
      <c r="T14" s="32"/>
      <c r="U14" s="32"/>
    </row>
    <row r="15" spans="1:21" s="26" customFormat="1" ht="39.6" x14ac:dyDescent="0.25">
      <c r="A15" s="7" t="s">
        <v>16</v>
      </c>
      <c r="B15" s="4" t="s">
        <v>9</v>
      </c>
      <c r="C15" s="11" t="s">
        <v>66</v>
      </c>
      <c r="D15" s="23" t="s">
        <v>6</v>
      </c>
      <c r="E15" s="48">
        <v>7</v>
      </c>
      <c r="F15" s="11" t="s">
        <v>50</v>
      </c>
      <c r="G15" s="11" t="s">
        <v>159</v>
      </c>
      <c r="H15" s="24" t="s">
        <v>6</v>
      </c>
      <c r="I15" s="24" t="s">
        <v>6</v>
      </c>
      <c r="J15" s="25" t="s">
        <v>6</v>
      </c>
      <c r="K15" s="7">
        <f>ROUND(2*(1-0.47),1)</f>
        <v>1.1000000000000001</v>
      </c>
      <c r="L15" s="52">
        <f t="shared" si="4"/>
        <v>4.9895160700000004E-4</v>
      </c>
      <c r="M15" s="25" t="s">
        <v>6</v>
      </c>
      <c r="N15" s="25" t="s">
        <v>6</v>
      </c>
      <c r="O15" s="25" t="s">
        <v>6</v>
      </c>
      <c r="P15" s="24">
        <f>ROUND(3.3*(1-0.67),1)</f>
        <v>1.1000000000000001</v>
      </c>
      <c r="Q15" s="52">
        <f t="shared" si="5"/>
        <v>4.9895160700000004E-4</v>
      </c>
      <c r="T15" s="32"/>
      <c r="U15" s="32"/>
    </row>
    <row r="16" spans="1:21" s="26" customFormat="1" ht="39.6" x14ac:dyDescent="0.25">
      <c r="A16" s="7" t="s">
        <v>17</v>
      </c>
      <c r="B16" s="4" t="s">
        <v>75</v>
      </c>
      <c r="C16" s="11" t="s">
        <v>66</v>
      </c>
      <c r="D16" s="23" t="s">
        <v>6</v>
      </c>
      <c r="E16" s="48">
        <v>34</v>
      </c>
      <c r="F16" s="11" t="s">
        <v>50</v>
      </c>
      <c r="G16" s="11" t="s">
        <v>159</v>
      </c>
      <c r="H16" s="24" t="s">
        <v>6</v>
      </c>
      <c r="I16" s="24" t="s">
        <v>6</v>
      </c>
      <c r="J16" s="25" t="s">
        <v>6</v>
      </c>
      <c r="K16" s="7">
        <f>ROUND(7.1*(1-0.47),1)</f>
        <v>3.8</v>
      </c>
      <c r="L16" s="52">
        <f t="shared" si="4"/>
        <v>1.7236510059999998E-3</v>
      </c>
      <c r="M16" s="25" t="s">
        <v>6</v>
      </c>
      <c r="N16" s="25" t="s">
        <v>6</v>
      </c>
      <c r="O16" s="25" t="s">
        <v>6</v>
      </c>
      <c r="P16" s="24">
        <f>ROUND(11.5*(1-0.67),1)</f>
        <v>3.8</v>
      </c>
      <c r="Q16" s="52">
        <f t="shared" si="5"/>
        <v>1.7236510059999998E-3</v>
      </c>
      <c r="T16" s="32"/>
      <c r="U16" s="32"/>
    </row>
    <row r="17" spans="1:21" s="26" customFormat="1" ht="39.6" x14ac:dyDescent="0.25">
      <c r="A17" s="7" t="s">
        <v>18</v>
      </c>
      <c r="B17" s="4" t="s">
        <v>76</v>
      </c>
      <c r="C17" s="11" t="s">
        <v>66</v>
      </c>
      <c r="D17" s="7" t="s">
        <v>6</v>
      </c>
      <c r="E17" s="24">
        <v>58</v>
      </c>
      <c r="F17" s="11" t="s">
        <v>50</v>
      </c>
      <c r="G17" s="11" t="s">
        <v>160</v>
      </c>
      <c r="H17" s="24" t="s">
        <v>6</v>
      </c>
      <c r="I17" s="24" t="s">
        <v>6</v>
      </c>
      <c r="J17" s="25" t="s">
        <v>6</v>
      </c>
      <c r="K17" s="52">
        <f>ROUND(5.7*(1-0.47),1)</f>
        <v>3</v>
      </c>
      <c r="L17" s="52">
        <f t="shared" si="4"/>
        <v>1.3607771100000001E-3</v>
      </c>
      <c r="M17" s="25" t="s">
        <v>6</v>
      </c>
      <c r="N17" s="25" t="s">
        <v>6</v>
      </c>
      <c r="O17" s="25" t="s">
        <v>6</v>
      </c>
      <c r="P17" s="24">
        <f>ROUND(9.3*(1-0.67),1)</f>
        <v>3.1</v>
      </c>
      <c r="Q17" s="52">
        <f t="shared" si="5"/>
        <v>1.406136347E-3</v>
      </c>
      <c r="T17" s="32"/>
      <c r="U17" s="32"/>
    </row>
    <row r="18" spans="1:21" s="26" customFormat="1" ht="39.6" x14ac:dyDescent="0.25">
      <c r="A18" s="7" t="s">
        <v>19</v>
      </c>
      <c r="B18" s="4" t="s">
        <v>77</v>
      </c>
      <c r="C18" s="11" t="s">
        <v>86</v>
      </c>
      <c r="D18" s="22" t="s">
        <v>6</v>
      </c>
      <c r="E18" s="48" t="s">
        <v>6</v>
      </c>
      <c r="F18" s="11" t="s">
        <v>50</v>
      </c>
      <c r="G18" s="11" t="s">
        <v>157</v>
      </c>
      <c r="H18" s="24" t="s">
        <v>6</v>
      </c>
      <c r="I18" s="24" t="s">
        <v>6</v>
      </c>
      <c r="J18" s="25" t="s">
        <v>6</v>
      </c>
      <c r="K18" s="7">
        <f>ROUND(3.2*(1-0.47),1)</f>
        <v>1.7</v>
      </c>
      <c r="L18" s="52">
        <f t="shared" si="4"/>
        <v>7.7110702899999993E-4</v>
      </c>
      <c r="M18" s="25" t="s">
        <v>6</v>
      </c>
      <c r="N18" s="25" t="s">
        <v>6</v>
      </c>
      <c r="O18" s="25" t="s">
        <v>6</v>
      </c>
      <c r="P18" s="24">
        <f>ROUND(8*(1-0.67),1)</f>
        <v>2.6</v>
      </c>
      <c r="Q18" s="52">
        <f t="shared" si="5"/>
        <v>1.1793401620000001E-3</v>
      </c>
      <c r="T18" s="32"/>
      <c r="U18" s="32"/>
    </row>
    <row r="19" spans="1:21" s="26" customFormat="1" ht="26.4" x14ac:dyDescent="0.25">
      <c r="A19" s="7" t="s">
        <v>20</v>
      </c>
      <c r="B19" s="4" t="s">
        <v>78</v>
      </c>
      <c r="C19" s="11" t="s">
        <v>86</v>
      </c>
      <c r="D19" s="11" t="s">
        <v>6</v>
      </c>
      <c r="E19" s="47" t="s">
        <v>166</v>
      </c>
      <c r="F19" s="11" t="s">
        <v>50</v>
      </c>
      <c r="G19" s="11" t="s">
        <v>157</v>
      </c>
      <c r="H19" s="11">
        <f>'20'!C4</f>
        <v>0.11851634057752675</v>
      </c>
      <c r="I19" s="24">
        <f t="shared" ref="I19:I21" si="6">H19*2.2046226218</f>
        <v>0.26128380549016872</v>
      </c>
      <c r="J19" s="25">
        <v>0.1</v>
      </c>
      <c r="K19" s="7">
        <f t="shared" ref="K19:K21" si="7">ROUND(I19*J19,1)</f>
        <v>0</v>
      </c>
      <c r="L19" s="52">
        <f t="shared" si="4"/>
        <v>0</v>
      </c>
      <c r="M19" s="24">
        <f>'20'!H4</f>
        <v>0.66880404636766644</v>
      </c>
      <c r="N19" s="24">
        <f t="shared" ref="N19:N21" si="8">M19*2.2046226218</f>
        <v>1.4744605301735336</v>
      </c>
      <c r="O19" s="25">
        <v>0</v>
      </c>
      <c r="P19" s="24">
        <f t="shared" ref="P19:P21" si="9">ROUND(N19*O19,1)</f>
        <v>0</v>
      </c>
      <c r="Q19" s="52">
        <f t="shared" si="5"/>
        <v>0</v>
      </c>
      <c r="T19" s="32"/>
      <c r="U19" s="32"/>
    </row>
    <row r="20" spans="1:21" s="26" customFormat="1" ht="26.4" x14ac:dyDescent="0.25">
      <c r="A20" s="7" t="s">
        <v>21</v>
      </c>
      <c r="B20" s="4" t="s">
        <v>79</v>
      </c>
      <c r="C20" s="11" t="s">
        <v>86</v>
      </c>
      <c r="D20" s="11" t="s">
        <v>6</v>
      </c>
      <c r="E20" s="47" t="s">
        <v>166</v>
      </c>
      <c r="F20" s="11" t="s">
        <v>50</v>
      </c>
      <c r="G20" s="11" t="s">
        <v>157</v>
      </c>
      <c r="H20" s="11">
        <f>'21'!C4</f>
        <v>0.11851634903974792</v>
      </c>
      <c r="I20" s="24">
        <f t="shared" si="6"/>
        <v>0.26128382414617296</v>
      </c>
      <c r="J20" s="25">
        <v>0.13</v>
      </c>
      <c r="K20" s="7">
        <f t="shared" si="7"/>
        <v>0</v>
      </c>
      <c r="L20" s="52">
        <f t="shared" si="4"/>
        <v>0</v>
      </c>
      <c r="M20" s="24">
        <f>'21'!H4</f>
        <v>0.66880407766159478</v>
      </c>
      <c r="N20" s="24">
        <f t="shared" si="8"/>
        <v>1.4744605991648359</v>
      </c>
      <c r="O20" s="25">
        <v>0.02</v>
      </c>
      <c r="P20" s="24">
        <f t="shared" si="9"/>
        <v>0</v>
      </c>
      <c r="Q20" s="52">
        <f t="shared" si="5"/>
        <v>0</v>
      </c>
      <c r="T20" s="32"/>
      <c r="U20" s="32"/>
    </row>
    <row r="21" spans="1:21" s="26" customFormat="1" ht="26.4" x14ac:dyDescent="0.25">
      <c r="A21" s="7" t="s">
        <v>22</v>
      </c>
      <c r="B21" s="11" t="s">
        <v>80</v>
      </c>
      <c r="C21" s="11" t="s">
        <v>87</v>
      </c>
      <c r="D21" s="11" t="s">
        <v>6</v>
      </c>
      <c r="E21" s="47" t="s">
        <v>166</v>
      </c>
      <c r="F21" s="11" t="s">
        <v>50</v>
      </c>
      <c r="G21" s="11" t="s">
        <v>157</v>
      </c>
      <c r="H21" s="11">
        <f>'22'!C4</f>
        <v>0.11851634903974792</v>
      </c>
      <c r="I21" s="24">
        <f t="shared" si="6"/>
        <v>0.26128382414617296</v>
      </c>
      <c r="J21" s="25">
        <v>0.1</v>
      </c>
      <c r="K21" s="7">
        <f t="shared" si="7"/>
        <v>0</v>
      </c>
      <c r="L21" s="52">
        <f t="shared" si="4"/>
        <v>0</v>
      </c>
      <c r="M21" s="24">
        <f>'22'!H4</f>
        <v>0.66880407766159478</v>
      </c>
      <c r="N21" s="24">
        <f t="shared" si="8"/>
        <v>1.4744605991648359</v>
      </c>
      <c r="O21" s="25">
        <v>0.1</v>
      </c>
      <c r="P21" s="24">
        <f t="shared" si="9"/>
        <v>0.1</v>
      </c>
      <c r="Q21" s="52">
        <f t="shared" si="5"/>
        <v>4.5359236999999999E-5</v>
      </c>
      <c r="T21" s="32"/>
      <c r="U21" s="32"/>
    </row>
    <row r="22" spans="1:21" s="26" customFormat="1" ht="26.4" x14ac:dyDescent="0.25">
      <c r="A22" s="16" t="s">
        <v>23</v>
      </c>
      <c r="B22" s="11" t="s">
        <v>8</v>
      </c>
      <c r="C22" s="11" t="s">
        <v>87</v>
      </c>
      <c r="D22" s="11">
        <v>1184025.4094799999</v>
      </c>
      <c r="E22" s="47">
        <f t="shared" ref="E22:E57" si="10">ROUND(D22*0.000022956841139,1)</f>
        <v>27.2</v>
      </c>
      <c r="F22" s="11" t="s">
        <v>50</v>
      </c>
      <c r="G22" s="11" t="s">
        <v>157</v>
      </c>
      <c r="H22" s="11">
        <f>'23'!C4</f>
        <v>7.8652739701932255</v>
      </c>
      <c r="I22" s="18">
        <f t="shared" ref="I22:I27" si="11">H22*2.2046226218</f>
        <v>17.339960921342684</v>
      </c>
      <c r="J22" s="25">
        <f>'Wet detention pond calcs'!B3</f>
        <v>0.61799999999999999</v>
      </c>
      <c r="K22" s="7">
        <f>ROUND(I22*J22,1)</f>
        <v>10.7</v>
      </c>
      <c r="L22" s="28">
        <f t="shared" ref="L22:L29" si="12">K22*0.00045359237</f>
        <v>4.8534383589999997E-3</v>
      </c>
      <c r="M22" s="7">
        <f>'23'!H4</f>
        <v>12.686290527836265</v>
      </c>
      <c r="N22" s="18">
        <f t="shared" ref="N22:N27" si="13">M22*2.2046226218</f>
        <v>27.968483084394894</v>
      </c>
      <c r="O22" s="25">
        <f>'Wet detention pond calcs'!B4</f>
        <v>0.33399999999999996</v>
      </c>
      <c r="P22" s="24">
        <f>ROUND(N22*O22,1)</f>
        <v>9.3000000000000007</v>
      </c>
      <c r="Q22" s="28">
        <f t="shared" ref="Q22:Q27" si="14">P22*0.00045359237</f>
        <v>4.2184090410000005E-3</v>
      </c>
      <c r="T22" s="32"/>
      <c r="U22" s="32"/>
    </row>
    <row r="23" spans="1:21" s="26" customFormat="1" ht="26.4" x14ac:dyDescent="0.25">
      <c r="A23" s="7" t="s">
        <v>24</v>
      </c>
      <c r="B23" s="11" t="s">
        <v>81</v>
      </c>
      <c r="C23" s="11" t="s">
        <v>88</v>
      </c>
      <c r="D23" s="11" t="s">
        <v>6</v>
      </c>
      <c r="E23" s="47" t="s">
        <v>6</v>
      </c>
      <c r="F23" s="11" t="s">
        <v>50</v>
      </c>
      <c r="G23" s="11" t="s">
        <v>159</v>
      </c>
      <c r="H23" s="24" t="s">
        <v>6</v>
      </c>
      <c r="I23" s="24" t="s">
        <v>6</v>
      </c>
      <c r="J23" s="25" t="s">
        <v>6</v>
      </c>
      <c r="K23" s="7">
        <f>ROUND(4.1*(1-0.47),1)</f>
        <v>2.2000000000000002</v>
      </c>
      <c r="L23" s="52">
        <f t="shared" si="12"/>
        <v>9.9790321400000008E-4</v>
      </c>
      <c r="M23" s="25" t="s">
        <v>6</v>
      </c>
      <c r="N23" s="25" t="s">
        <v>6</v>
      </c>
      <c r="O23" s="25" t="s">
        <v>6</v>
      </c>
      <c r="P23" s="24">
        <f>ROUND(6.4*(1-0.67),1)</f>
        <v>2.1</v>
      </c>
      <c r="Q23" s="52">
        <f t="shared" si="14"/>
        <v>9.5254397700000003E-4</v>
      </c>
      <c r="T23" s="32"/>
      <c r="U23" s="32"/>
    </row>
    <row r="24" spans="1:21" s="26" customFormat="1" ht="52.8" x14ac:dyDescent="0.25">
      <c r="A24" s="16" t="s">
        <v>25</v>
      </c>
      <c r="B24" s="11" t="s">
        <v>82</v>
      </c>
      <c r="C24" s="11" t="s">
        <v>89</v>
      </c>
      <c r="D24" s="11">
        <v>1076386.7358899999</v>
      </c>
      <c r="E24" s="47">
        <f t="shared" si="10"/>
        <v>24.7</v>
      </c>
      <c r="F24" s="11" t="s">
        <v>50</v>
      </c>
      <c r="G24" s="11" t="s">
        <v>157</v>
      </c>
      <c r="H24" s="11">
        <f>'25'!C4</f>
        <v>1.8696011474445995</v>
      </c>
      <c r="I24" s="18">
        <f t="shared" si="11"/>
        <v>4.1217649833996015</v>
      </c>
      <c r="J24" s="25">
        <v>0.155</v>
      </c>
      <c r="K24" s="7">
        <f>ROUND(I24*J24,1)</f>
        <v>0.6</v>
      </c>
      <c r="L24" s="28">
        <f t="shared" si="12"/>
        <v>2.7215542199999999E-4</v>
      </c>
      <c r="M24" s="7">
        <f>'25'!H4</f>
        <v>246.84842149716448</v>
      </c>
      <c r="N24" s="18">
        <f t="shared" si="13"/>
        <v>544.20761418827021</v>
      </c>
      <c r="O24" s="25">
        <v>0.1905</v>
      </c>
      <c r="P24" s="24">
        <f>ROUND(N24*O24,1)</f>
        <v>103.7</v>
      </c>
      <c r="Q24" s="28">
        <f t="shared" si="14"/>
        <v>4.7037528768999998E-2</v>
      </c>
      <c r="T24" s="32"/>
      <c r="U24" s="32"/>
    </row>
    <row r="25" spans="1:21" s="21" customFormat="1" ht="26.4" x14ac:dyDescent="0.25">
      <c r="A25" s="16" t="s">
        <v>26</v>
      </c>
      <c r="B25" s="11" t="s">
        <v>83</v>
      </c>
      <c r="C25" s="11" t="s">
        <v>90</v>
      </c>
      <c r="D25" s="11">
        <v>7427068.4776600003</v>
      </c>
      <c r="E25" s="47">
        <f t="shared" si="10"/>
        <v>170.5</v>
      </c>
      <c r="F25" s="11" t="s">
        <v>50</v>
      </c>
      <c r="G25" s="11" t="s">
        <v>157</v>
      </c>
      <c r="H25" s="11">
        <f>'26'!C4</f>
        <v>6.6890587439428337</v>
      </c>
      <c r="I25" s="18">
        <f t="shared" si="11"/>
        <v>14.746850225445465</v>
      </c>
      <c r="J25" s="25">
        <v>0.9</v>
      </c>
      <c r="K25" s="7">
        <f>ROUND(I25*J25,1)</f>
        <v>13.3</v>
      </c>
      <c r="L25" s="28">
        <f t="shared" si="12"/>
        <v>6.032778521E-3</v>
      </c>
      <c r="M25" s="7">
        <f>'26'!H4</f>
        <v>709.88945088113792</v>
      </c>
      <c r="N25" s="18">
        <f t="shared" si="13"/>
        <v>1565.0383423897365</v>
      </c>
      <c r="O25" s="25">
        <v>0.5</v>
      </c>
      <c r="P25" s="24">
        <f>ROUND(N25*O25,1)</f>
        <v>782.5</v>
      </c>
      <c r="Q25" s="28">
        <f t="shared" si="14"/>
        <v>0.35493602952499997</v>
      </c>
      <c r="T25" s="32"/>
      <c r="U25" s="32"/>
    </row>
    <row r="26" spans="1:21" s="21" customFormat="1" ht="26.4" x14ac:dyDescent="0.25">
      <c r="A26" s="16" t="s">
        <v>27</v>
      </c>
      <c r="B26" s="11" t="s">
        <v>84</v>
      </c>
      <c r="C26" s="11" t="s">
        <v>90</v>
      </c>
      <c r="D26" s="11">
        <v>12809002.157099999</v>
      </c>
      <c r="E26" s="47">
        <f t="shared" si="10"/>
        <v>294.10000000000002</v>
      </c>
      <c r="F26" s="11" t="s">
        <v>50</v>
      </c>
      <c r="G26" s="11" t="s">
        <v>157</v>
      </c>
      <c r="H26" s="11">
        <f>'27'!C4</f>
        <v>7.0765067642306265</v>
      </c>
      <c r="I26" s="18">
        <f t="shared" si="11"/>
        <v>15.601026895743558</v>
      </c>
      <c r="J26" s="25">
        <v>0.9</v>
      </c>
      <c r="K26" s="7">
        <f>ROUND(I26*J26,1)</f>
        <v>14</v>
      </c>
      <c r="L26" s="28">
        <f t="shared" si="12"/>
        <v>6.3502931800000001E-3</v>
      </c>
      <c r="M26" s="7">
        <f>'27'!H4</f>
        <v>98.038198283105672</v>
      </c>
      <c r="N26" s="18">
        <f t="shared" si="13"/>
        <v>216.1372297354487</v>
      </c>
      <c r="O26" s="25">
        <v>0.5</v>
      </c>
      <c r="P26" s="24">
        <f>ROUND(N26*O26,1)</f>
        <v>108.1</v>
      </c>
      <c r="Q26" s="28">
        <f t="shared" si="14"/>
        <v>4.9033335196999997E-2</v>
      </c>
      <c r="T26" s="32"/>
      <c r="U26" s="32"/>
    </row>
    <row r="27" spans="1:21" s="21" customFormat="1" ht="26.4" x14ac:dyDescent="0.25">
      <c r="A27" s="16" t="s">
        <v>28</v>
      </c>
      <c r="B27" s="11" t="s">
        <v>85</v>
      </c>
      <c r="C27" s="11" t="s">
        <v>90</v>
      </c>
      <c r="D27" s="11">
        <v>16468717.0592</v>
      </c>
      <c r="E27" s="47">
        <f t="shared" si="10"/>
        <v>378.1</v>
      </c>
      <c r="F27" s="11" t="s">
        <v>50</v>
      </c>
      <c r="G27" s="11" t="s">
        <v>160</v>
      </c>
      <c r="H27" s="11">
        <f>'28'!C4</f>
        <v>17.92739262514187</v>
      </c>
      <c r="I27" s="18">
        <f t="shared" si="11"/>
        <v>39.523135331278255</v>
      </c>
      <c r="J27" s="25">
        <v>0.9</v>
      </c>
      <c r="K27" s="7">
        <f>ROUND(I27*J27,1)</f>
        <v>35.6</v>
      </c>
      <c r="L27" s="28">
        <f t="shared" si="12"/>
        <v>1.6147888371999999E-2</v>
      </c>
      <c r="M27" s="7">
        <f>'28'!H4</f>
        <v>288.28765575447051</v>
      </c>
      <c r="N27" s="18">
        <f t="shared" si="13"/>
        <v>635.56548746199667</v>
      </c>
      <c r="O27" s="25">
        <v>0.5</v>
      </c>
      <c r="P27" s="24">
        <f>ROUND(N27*O27,1)</f>
        <v>317.8</v>
      </c>
      <c r="Q27" s="28">
        <f t="shared" si="14"/>
        <v>0.14415165518600001</v>
      </c>
      <c r="T27" s="32"/>
      <c r="U27" s="34"/>
    </row>
    <row r="28" spans="1:21" s="21" customFormat="1" ht="26.4" x14ac:dyDescent="0.25">
      <c r="A28" s="16" t="s">
        <v>91</v>
      </c>
      <c r="B28" s="17" t="s">
        <v>111</v>
      </c>
      <c r="C28" s="17" t="s">
        <v>144</v>
      </c>
      <c r="D28" s="27" t="s">
        <v>6</v>
      </c>
      <c r="E28" s="47" t="s">
        <v>6</v>
      </c>
      <c r="F28" s="11" t="s">
        <v>50</v>
      </c>
      <c r="G28" s="11" t="s">
        <v>157</v>
      </c>
      <c r="H28" s="27" t="s">
        <v>6</v>
      </c>
      <c r="I28" s="27" t="s">
        <v>6</v>
      </c>
      <c r="J28" s="39" t="s">
        <v>6</v>
      </c>
      <c r="K28" s="27" t="s">
        <v>6</v>
      </c>
      <c r="L28" s="30" t="s">
        <v>6</v>
      </c>
      <c r="M28" s="27" t="s">
        <v>6</v>
      </c>
      <c r="N28" s="27" t="s">
        <v>6</v>
      </c>
      <c r="O28" s="39" t="s">
        <v>6</v>
      </c>
      <c r="P28" s="47" t="s">
        <v>6</v>
      </c>
      <c r="Q28" s="30" t="s">
        <v>6</v>
      </c>
      <c r="T28" s="35"/>
      <c r="U28" s="35"/>
    </row>
    <row r="29" spans="1:21" s="21" customFormat="1" ht="39.6" x14ac:dyDescent="0.25">
      <c r="A29" s="16" t="s">
        <v>92</v>
      </c>
      <c r="B29" s="17" t="s">
        <v>112</v>
      </c>
      <c r="C29" s="17" t="s">
        <v>66</v>
      </c>
      <c r="D29" s="17" t="s">
        <v>6</v>
      </c>
      <c r="E29" s="47" t="s">
        <v>6</v>
      </c>
      <c r="F29" s="11" t="s">
        <v>50</v>
      </c>
      <c r="G29" s="11" t="s">
        <v>157</v>
      </c>
      <c r="H29" s="11" t="s">
        <v>6</v>
      </c>
      <c r="I29" s="18" t="s">
        <v>6</v>
      </c>
      <c r="J29" s="19" t="s">
        <v>6</v>
      </c>
      <c r="K29" s="16">
        <v>2</v>
      </c>
      <c r="L29" s="28">
        <f t="shared" si="12"/>
        <v>9.0718473999999998E-4</v>
      </c>
      <c r="M29" s="25" t="s">
        <v>6</v>
      </c>
      <c r="N29" s="16" t="s">
        <v>6</v>
      </c>
      <c r="O29" s="19" t="s">
        <v>6</v>
      </c>
      <c r="P29" s="18">
        <v>2</v>
      </c>
      <c r="Q29" s="28">
        <f t="shared" ref="Q29" si="15">P29*0.00045359237</f>
        <v>9.0718473999999998E-4</v>
      </c>
      <c r="T29" s="32"/>
      <c r="U29" s="32"/>
    </row>
    <row r="30" spans="1:21" s="21" customFormat="1" ht="52.8" x14ac:dyDescent="0.25">
      <c r="A30" s="16" t="s">
        <v>93</v>
      </c>
      <c r="B30" s="17" t="s">
        <v>113</v>
      </c>
      <c r="C30" s="17" t="s">
        <v>89</v>
      </c>
      <c r="D30" s="23" t="s">
        <v>150</v>
      </c>
      <c r="E30" s="48" t="s">
        <v>150</v>
      </c>
      <c r="F30" s="11" t="s">
        <v>50</v>
      </c>
      <c r="G30" s="23" t="s">
        <v>150</v>
      </c>
      <c r="H30" s="23" t="s">
        <v>150</v>
      </c>
      <c r="I30" s="23" t="s">
        <v>150</v>
      </c>
      <c r="J30" s="38" t="s">
        <v>150</v>
      </c>
      <c r="K30" s="23" t="s">
        <v>150</v>
      </c>
      <c r="L30" s="29" t="s">
        <v>150</v>
      </c>
      <c r="M30" s="23" t="s">
        <v>150</v>
      </c>
      <c r="N30" s="23" t="s">
        <v>150</v>
      </c>
      <c r="O30" s="38" t="s">
        <v>150</v>
      </c>
      <c r="P30" s="48" t="s">
        <v>150</v>
      </c>
      <c r="Q30" s="29" t="s">
        <v>150</v>
      </c>
      <c r="T30" s="35"/>
      <c r="U30" s="35"/>
    </row>
    <row r="31" spans="1:21" s="21" customFormat="1" ht="26.4" x14ac:dyDescent="0.25">
      <c r="A31" s="16" t="s">
        <v>29</v>
      </c>
      <c r="B31" s="17" t="s">
        <v>114</v>
      </c>
      <c r="C31" s="17" t="s">
        <v>144</v>
      </c>
      <c r="D31" s="27" t="s">
        <v>6</v>
      </c>
      <c r="E31" s="47" t="s">
        <v>6</v>
      </c>
      <c r="F31" s="11" t="s">
        <v>50</v>
      </c>
      <c r="G31" s="11" t="s">
        <v>157</v>
      </c>
      <c r="H31" s="27" t="s">
        <v>6</v>
      </c>
      <c r="I31" s="27" t="s">
        <v>6</v>
      </c>
      <c r="J31" s="39" t="s">
        <v>6</v>
      </c>
      <c r="K31" s="27" t="s">
        <v>6</v>
      </c>
      <c r="L31" s="30" t="s">
        <v>6</v>
      </c>
      <c r="M31" s="27" t="s">
        <v>6</v>
      </c>
      <c r="N31" s="27" t="s">
        <v>6</v>
      </c>
      <c r="O31" s="39" t="s">
        <v>6</v>
      </c>
      <c r="P31" s="47" t="s">
        <v>6</v>
      </c>
      <c r="Q31" s="30" t="s">
        <v>6</v>
      </c>
      <c r="T31" s="35"/>
      <c r="U31" s="35"/>
    </row>
    <row r="32" spans="1:21" s="21" customFormat="1" ht="52.8" x14ac:dyDescent="0.25">
      <c r="A32" s="16" t="s">
        <v>30</v>
      </c>
      <c r="B32" s="17" t="s">
        <v>115</v>
      </c>
      <c r="C32" s="17" t="s">
        <v>89</v>
      </c>
      <c r="D32" s="43"/>
      <c r="E32" s="47">
        <f t="shared" si="10"/>
        <v>0</v>
      </c>
      <c r="F32" s="11" t="s">
        <v>50</v>
      </c>
      <c r="G32" s="11" t="s">
        <v>157</v>
      </c>
      <c r="H32" s="43"/>
      <c r="I32" s="18">
        <f t="shared" ref="I32:I42" si="16">H32*2.2046226218</f>
        <v>0</v>
      </c>
      <c r="J32" s="19">
        <v>0.155</v>
      </c>
      <c r="K32" s="7">
        <f>ROUND(I32*J32,1)</f>
        <v>0</v>
      </c>
      <c r="L32" s="28">
        <f t="shared" ref="L32:L42" si="17">K32*0.00045359237</f>
        <v>0</v>
      </c>
      <c r="M32" s="45"/>
      <c r="N32" s="18">
        <f t="shared" ref="N32:N42" si="18">M32*2.2046226218</f>
        <v>0</v>
      </c>
      <c r="O32" s="25">
        <v>0.1905</v>
      </c>
      <c r="P32" s="24">
        <f>ROUND(N32*O32,1)</f>
        <v>0</v>
      </c>
      <c r="Q32" s="28">
        <f t="shared" ref="Q32:Q42" si="19">P32*0.00045359237</f>
        <v>0</v>
      </c>
      <c r="T32" s="32"/>
      <c r="U32" s="32"/>
    </row>
    <row r="33" spans="1:21" s="21" customFormat="1" ht="26.4" x14ac:dyDescent="0.25">
      <c r="A33" s="16" t="s">
        <v>31</v>
      </c>
      <c r="B33" s="17" t="s">
        <v>116</v>
      </c>
      <c r="C33" s="17" t="s">
        <v>86</v>
      </c>
      <c r="D33" s="43"/>
      <c r="E33" s="47">
        <f t="shared" si="10"/>
        <v>0</v>
      </c>
      <c r="F33" s="11" t="s">
        <v>50</v>
      </c>
      <c r="G33" s="11" t="s">
        <v>157</v>
      </c>
      <c r="H33" s="43"/>
      <c r="I33" s="18">
        <f t="shared" si="16"/>
        <v>0</v>
      </c>
      <c r="J33" s="19">
        <v>0.1</v>
      </c>
      <c r="K33" s="7">
        <f t="shared" ref="K33:K42" si="20">ROUND(I33*J33,1)</f>
        <v>0</v>
      </c>
      <c r="L33" s="28">
        <f t="shared" si="17"/>
        <v>0</v>
      </c>
      <c r="M33" s="45"/>
      <c r="N33" s="18">
        <f t="shared" si="18"/>
        <v>0</v>
      </c>
      <c r="O33" s="19">
        <v>0</v>
      </c>
      <c r="P33" s="24">
        <f t="shared" ref="P33:P42" si="21">ROUND(N33*O33,1)</f>
        <v>0</v>
      </c>
      <c r="Q33" s="28">
        <f t="shared" si="19"/>
        <v>0</v>
      </c>
      <c r="T33" s="32"/>
      <c r="U33" s="32"/>
    </row>
    <row r="34" spans="1:21" s="21" customFormat="1" ht="26.4" x14ac:dyDescent="0.25">
      <c r="A34" s="16" t="s">
        <v>38</v>
      </c>
      <c r="B34" s="17" t="s">
        <v>117</v>
      </c>
      <c r="C34" s="17" t="s">
        <v>86</v>
      </c>
      <c r="D34" s="43"/>
      <c r="E34" s="47">
        <f t="shared" si="10"/>
        <v>0</v>
      </c>
      <c r="F34" s="11" t="s">
        <v>50</v>
      </c>
      <c r="G34" s="11" t="s">
        <v>157</v>
      </c>
      <c r="H34" s="43"/>
      <c r="I34" s="18">
        <f t="shared" si="16"/>
        <v>0</v>
      </c>
      <c r="J34" s="19">
        <v>0.1</v>
      </c>
      <c r="K34" s="7">
        <f t="shared" si="20"/>
        <v>0</v>
      </c>
      <c r="L34" s="28">
        <f t="shared" si="17"/>
        <v>0</v>
      </c>
      <c r="M34" s="45"/>
      <c r="N34" s="18">
        <f t="shared" si="18"/>
        <v>0</v>
      </c>
      <c r="O34" s="19">
        <v>0</v>
      </c>
      <c r="P34" s="24">
        <f t="shared" si="21"/>
        <v>0</v>
      </c>
      <c r="Q34" s="28">
        <f t="shared" si="19"/>
        <v>0</v>
      </c>
      <c r="T34" s="32"/>
      <c r="U34" s="32"/>
    </row>
    <row r="35" spans="1:21" s="21" customFormat="1" ht="52.8" x14ac:dyDescent="0.25">
      <c r="A35" s="16" t="s">
        <v>39</v>
      </c>
      <c r="B35" s="17" t="s">
        <v>118</v>
      </c>
      <c r="C35" s="17" t="s">
        <v>89</v>
      </c>
      <c r="D35" s="43"/>
      <c r="E35" s="47">
        <f t="shared" si="10"/>
        <v>0</v>
      </c>
      <c r="F35" s="11" t="s">
        <v>50</v>
      </c>
      <c r="G35" s="11" t="s">
        <v>157</v>
      </c>
      <c r="H35" s="43"/>
      <c r="I35" s="18">
        <f t="shared" si="16"/>
        <v>0</v>
      </c>
      <c r="J35" s="19">
        <v>0.155</v>
      </c>
      <c r="K35" s="7">
        <f t="shared" si="20"/>
        <v>0</v>
      </c>
      <c r="L35" s="28">
        <f t="shared" si="17"/>
        <v>0</v>
      </c>
      <c r="M35" s="45"/>
      <c r="N35" s="18">
        <f t="shared" si="18"/>
        <v>0</v>
      </c>
      <c r="O35" s="25">
        <v>0.1905</v>
      </c>
      <c r="P35" s="24">
        <f t="shared" si="21"/>
        <v>0</v>
      </c>
      <c r="Q35" s="28">
        <f t="shared" si="19"/>
        <v>0</v>
      </c>
      <c r="T35" s="32"/>
      <c r="U35" s="32"/>
    </row>
    <row r="36" spans="1:21" s="21" customFormat="1" ht="52.8" x14ac:dyDescent="0.25">
      <c r="A36" s="16" t="s">
        <v>40</v>
      </c>
      <c r="B36" s="17" t="s">
        <v>119</v>
      </c>
      <c r="C36" s="17" t="s">
        <v>89</v>
      </c>
      <c r="D36" s="43"/>
      <c r="E36" s="47">
        <f t="shared" si="10"/>
        <v>0</v>
      </c>
      <c r="F36" s="11" t="s">
        <v>50</v>
      </c>
      <c r="G36" s="11" t="s">
        <v>157</v>
      </c>
      <c r="H36" s="43"/>
      <c r="I36" s="18">
        <f t="shared" si="16"/>
        <v>0</v>
      </c>
      <c r="J36" s="19">
        <v>0.155</v>
      </c>
      <c r="K36" s="7">
        <f t="shared" si="20"/>
        <v>0</v>
      </c>
      <c r="L36" s="28">
        <f t="shared" si="17"/>
        <v>0</v>
      </c>
      <c r="M36" s="45"/>
      <c r="N36" s="18">
        <f t="shared" si="18"/>
        <v>0</v>
      </c>
      <c r="O36" s="25">
        <v>0.1905</v>
      </c>
      <c r="P36" s="24">
        <f t="shared" si="21"/>
        <v>0</v>
      </c>
      <c r="Q36" s="28">
        <f t="shared" si="19"/>
        <v>0</v>
      </c>
      <c r="T36" s="32"/>
      <c r="U36" s="32"/>
    </row>
    <row r="37" spans="1:21" s="21" customFormat="1" ht="52.8" x14ac:dyDescent="0.25">
      <c r="A37" s="16" t="s">
        <v>41</v>
      </c>
      <c r="B37" s="17" t="s">
        <v>120</v>
      </c>
      <c r="C37" s="17" t="s">
        <v>89</v>
      </c>
      <c r="D37" s="43"/>
      <c r="E37" s="47">
        <f t="shared" si="10"/>
        <v>0</v>
      </c>
      <c r="F37" s="11" t="s">
        <v>50</v>
      </c>
      <c r="G37" s="11" t="s">
        <v>157</v>
      </c>
      <c r="H37" s="43"/>
      <c r="I37" s="18">
        <f t="shared" si="16"/>
        <v>0</v>
      </c>
      <c r="J37" s="19">
        <v>0.155</v>
      </c>
      <c r="K37" s="7">
        <f t="shared" si="20"/>
        <v>0</v>
      </c>
      <c r="L37" s="28">
        <f t="shared" si="17"/>
        <v>0</v>
      </c>
      <c r="M37" s="45"/>
      <c r="N37" s="18">
        <f t="shared" si="18"/>
        <v>0</v>
      </c>
      <c r="O37" s="25">
        <v>0.1905</v>
      </c>
      <c r="P37" s="24">
        <f t="shared" si="21"/>
        <v>0</v>
      </c>
      <c r="Q37" s="28">
        <f t="shared" si="19"/>
        <v>0</v>
      </c>
      <c r="T37" s="32"/>
      <c r="U37" s="32"/>
    </row>
    <row r="38" spans="1:21" s="21" customFormat="1" ht="26.4" x14ac:dyDescent="0.25">
      <c r="A38" s="16" t="s">
        <v>42</v>
      </c>
      <c r="B38" s="17" t="s">
        <v>121</v>
      </c>
      <c r="C38" s="17" t="s">
        <v>86</v>
      </c>
      <c r="D38" s="43"/>
      <c r="E38" s="47">
        <f t="shared" si="10"/>
        <v>0</v>
      </c>
      <c r="F38" s="11" t="s">
        <v>50</v>
      </c>
      <c r="G38" s="11" t="s">
        <v>157</v>
      </c>
      <c r="H38" s="43"/>
      <c r="I38" s="18">
        <f t="shared" si="16"/>
        <v>0</v>
      </c>
      <c r="J38" s="19">
        <v>0.1</v>
      </c>
      <c r="K38" s="7">
        <f t="shared" si="20"/>
        <v>0</v>
      </c>
      <c r="L38" s="28">
        <f t="shared" si="17"/>
        <v>0</v>
      </c>
      <c r="M38" s="45"/>
      <c r="N38" s="18">
        <f t="shared" si="18"/>
        <v>0</v>
      </c>
      <c r="O38" s="19">
        <v>0</v>
      </c>
      <c r="P38" s="24">
        <f t="shared" si="21"/>
        <v>0</v>
      </c>
      <c r="Q38" s="28">
        <f t="shared" si="19"/>
        <v>0</v>
      </c>
      <c r="T38" s="32"/>
      <c r="U38" s="32"/>
    </row>
    <row r="39" spans="1:21" s="21" customFormat="1" ht="26.4" x14ac:dyDescent="0.25">
      <c r="A39" s="16" t="s">
        <v>43</v>
      </c>
      <c r="B39" s="17" t="s">
        <v>122</v>
      </c>
      <c r="C39" s="17" t="s">
        <v>86</v>
      </c>
      <c r="D39" s="43"/>
      <c r="E39" s="47">
        <f t="shared" si="10"/>
        <v>0</v>
      </c>
      <c r="F39" s="11" t="s">
        <v>50</v>
      </c>
      <c r="G39" s="11" t="s">
        <v>157</v>
      </c>
      <c r="H39" s="43"/>
      <c r="I39" s="18">
        <f t="shared" si="16"/>
        <v>0</v>
      </c>
      <c r="J39" s="19">
        <v>0.1</v>
      </c>
      <c r="K39" s="7">
        <f t="shared" si="20"/>
        <v>0</v>
      </c>
      <c r="L39" s="28">
        <f t="shared" si="17"/>
        <v>0</v>
      </c>
      <c r="M39" s="45"/>
      <c r="N39" s="18">
        <f t="shared" si="18"/>
        <v>0</v>
      </c>
      <c r="O39" s="19">
        <v>0</v>
      </c>
      <c r="P39" s="24">
        <f t="shared" si="21"/>
        <v>0</v>
      </c>
      <c r="Q39" s="28">
        <f t="shared" si="19"/>
        <v>0</v>
      </c>
      <c r="T39" s="32"/>
      <c r="U39" s="32"/>
    </row>
    <row r="40" spans="1:21" s="21" customFormat="1" ht="26.4" x14ac:dyDescent="0.25">
      <c r="A40" s="16" t="s">
        <v>44</v>
      </c>
      <c r="B40" s="17" t="s">
        <v>123</v>
      </c>
      <c r="C40" s="17" t="s">
        <v>86</v>
      </c>
      <c r="D40" s="43"/>
      <c r="E40" s="47">
        <f t="shared" si="10"/>
        <v>0</v>
      </c>
      <c r="F40" s="11" t="s">
        <v>50</v>
      </c>
      <c r="G40" s="11" t="s">
        <v>157</v>
      </c>
      <c r="H40" s="43"/>
      <c r="I40" s="18">
        <f t="shared" si="16"/>
        <v>0</v>
      </c>
      <c r="J40" s="19">
        <v>0.1</v>
      </c>
      <c r="K40" s="7">
        <f t="shared" si="20"/>
        <v>0</v>
      </c>
      <c r="L40" s="28">
        <f t="shared" si="17"/>
        <v>0</v>
      </c>
      <c r="M40" s="45"/>
      <c r="N40" s="18">
        <f t="shared" si="18"/>
        <v>0</v>
      </c>
      <c r="O40" s="19">
        <v>0</v>
      </c>
      <c r="P40" s="24">
        <f t="shared" si="21"/>
        <v>0</v>
      </c>
      <c r="Q40" s="28">
        <f t="shared" si="19"/>
        <v>0</v>
      </c>
      <c r="T40" s="32"/>
      <c r="U40" s="32"/>
    </row>
    <row r="41" spans="1:21" s="21" customFormat="1" ht="52.8" x14ac:dyDescent="0.25">
      <c r="A41" s="16" t="s">
        <v>45</v>
      </c>
      <c r="B41" s="17" t="s">
        <v>124</v>
      </c>
      <c r="C41" s="17" t="s">
        <v>89</v>
      </c>
      <c r="D41" s="43"/>
      <c r="E41" s="47">
        <f t="shared" si="10"/>
        <v>0</v>
      </c>
      <c r="F41" s="11" t="s">
        <v>50</v>
      </c>
      <c r="G41" s="11" t="s">
        <v>160</v>
      </c>
      <c r="H41" s="43"/>
      <c r="I41" s="18">
        <f t="shared" si="16"/>
        <v>0</v>
      </c>
      <c r="J41" s="19">
        <v>0.155</v>
      </c>
      <c r="K41" s="7">
        <f t="shared" si="20"/>
        <v>0</v>
      </c>
      <c r="L41" s="28">
        <f t="shared" si="17"/>
        <v>0</v>
      </c>
      <c r="M41" s="45"/>
      <c r="N41" s="18">
        <f t="shared" si="18"/>
        <v>0</v>
      </c>
      <c r="O41" s="25">
        <v>0.1905</v>
      </c>
      <c r="P41" s="24">
        <f t="shared" si="21"/>
        <v>0</v>
      </c>
      <c r="Q41" s="28">
        <f t="shared" si="19"/>
        <v>0</v>
      </c>
      <c r="T41" s="32"/>
      <c r="U41" s="32"/>
    </row>
    <row r="42" spans="1:21" s="21" customFormat="1" ht="39.6" x14ac:dyDescent="0.25">
      <c r="A42" s="16" t="s">
        <v>46</v>
      </c>
      <c r="B42" s="17" t="s">
        <v>125</v>
      </c>
      <c r="C42" s="17" t="s">
        <v>145</v>
      </c>
      <c r="D42" s="43"/>
      <c r="E42" s="47">
        <f t="shared" si="10"/>
        <v>0</v>
      </c>
      <c r="F42" s="11" t="s">
        <v>50</v>
      </c>
      <c r="G42" s="11" t="s">
        <v>160</v>
      </c>
      <c r="H42" s="43"/>
      <c r="I42" s="18">
        <f t="shared" si="16"/>
        <v>0</v>
      </c>
      <c r="J42" s="19">
        <v>0.155</v>
      </c>
      <c r="K42" s="7">
        <f t="shared" si="20"/>
        <v>0</v>
      </c>
      <c r="L42" s="28">
        <f t="shared" si="17"/>
        <v>0</v>
      </c>
      <c r="M42" s="45"/>
      <c r="N42" s="18">
        <f t="shared" si="18"/>
        <v>0</v>
      </c>
      <c r="O42" s="25">
        <v>0.1905</v>
      </c>
      <c r="P42" s="24">
        <f t="shared" si="21"/>
        <v>0</v>
      </c>
      <c r="Q42" s="28">
        <f t="shared" si="19"/>
        <v>0</v>
      </c>
      <c r="T42" s="32"/>
      <c r="U42" s="32"/>
    </row>
    <row r="43" spans="1:21" s="21" customFormat="1" ht="39.6" x14ac:dyDescent="0.25">
      <c r="A43" s="16" t="s">
        <v>47</v>
      </c>
      <c r="B43" s="17" t="s">
        <v>126</v>
      </c>
      <c r="C43" s="17" t="s">
        <v>144</v>
      </c>
      <c r="D43" s="27" t="s">
        <v>6</v>
      </c>
      <c r="E43" s="47" t="s">
        <v>6</v>
      </c>
      <c r="F43" s="11" t="s">
        <v>50</v>
      </c>
      <c r="G43" s="11" t="s">
        <v>157</v>
      </c>
      <c r="H43" s="27" t="s">
        <v>6</v>
      </c>
      <c r="I43" s="27" t="s">
        <v>6</v>
      </c>
      <c r="J43" s="39" t="s">
        <v>6</v>
      </c>
      <c r="K43" s="27" t="s">
        <v>6</v>
      </c>
      <c r="L43" s="30" t="s">
        <v>6</v>
      </c>
      <c r="M43" s="27" t="s">
        <v>6</v>
      </c>
      <c r="N43" s="27" t="s">
        <v>6</v>
      </c>
      <c r="O43" s="39" t="s">
        <v>6</v>
      </c>
      <c r="P43" s="47" t="s">
        <v>6</v>
      </c>
      <c r="Q43" s="30" t="s">
        <v>6</v>
      </c>
      <c r="T43" s="35"/>
      <c r="U43" s="35"/>
    </row>
    <row r="44" spans="1:21" s="21" customFormat="1" ht="26.4" x14ac:dyDescent="0.25">
      <c r="A44" s="16" t="s">
        <v>94</v>
      </c>
      <c r="B44" s="17" t="s">
        <v>127</v>
      </c>
      <c r="C44" s="17" t="s">
        <v>65</v>
      </c>
      <c r="D44" s="23" t="s">
        <v>150</v>
      </c>
      <c r="E44" s="48" t="s">
        <v>150</v>
      </c>
      <c r="F44" s="11" t="s">
        <v>50</v>
      </c>
      <c r="G44" s="23" t="s">
        <v>150</v>
      </c>
      <c r="H44" s="23" t="s">
        <v>150</v>
      </c>
      <c r="I44" s="23" t="s">
        <v>150</v>
      </c>
      <c r="J44" s="38" t="s">
        <v>150</v>
      </c>
      <c r="K44" s="23" t="s">
        <v>150</v>
      </c>
      <c r="L44" s="29" t="s">
        <v>150</v>
      </c>
      <c r="M44" s="23" t="s">
        <v>150</v>
      </c>
      <c r="N44" s="23" t="s">
        <v>150</v>
      </c>
      <c r="O44" s="38" t="s">
        <v>150</v>
      </c>
      <c r="P44" s="48" t="s">
        <v>150</v>
      </c>
      <c r="Q44" s="29" t="s">
        <v>150</v>
      </c>
      <c r="T44" s="32"/>
      <c r="U44" s="32"/>
    </row>
    <row r="45" spans="1:21" s="21" customFormat="1" ht="39.6" x14ac:dyDescent="0.25">
      <c r="A45" s="16" t="s">
        <v>95</v>
      </c>
      <c r="B45" s="17" t="s">
        <v>128</v>
      </c>
      <c r="C45" s="17" t="s">
        <v>66</v>
      </c>
      <c r="D45" s="17" t="s">
        <v>6</v>
      </c>
      <c r="E45" s="47" t="s">
        <v>6</v>
      </c>
      <c r="F45" s="11" t="s">
        <v>50</v>
      </c>
      <c r="G45" s="11" t="s">
        <v>161</v>
      </c>
      <c r="H45" s="11" t="s">
        <v>6</v>
      </c>
      <c r="I45" s="18" t="s">
        <v>6</v>
      </c>
      <c r="J45" s="19" t="s">
        <v>6</v>
      </c>
      <c r="K45" s="16">
        <v>1</v>
      </c>
      <c r="L45" s="28">
        <f t="shared" ref="L45:L49" si="22">K45*0.00045359237</f>
        <v>4.5359236999999999E-4</v>
      </c>
      <c r="M45" s="16" t="s">
        <v>6</v>
      </c>
      <c r="N45" s="16" t="s">
        <v>6</v>
      </c>
      <c r="O45" s="19" t="s">
        <v>6</v>
      </c>
      <c r="P45" s="18">
        <v>1</v>
      </c>
      <c r="Q45" s="28">
        <f t="shared" ref="Q45:Q49" si="23">P45*0.00045359237</f>
        <v>4.5359236999999999E-4</v>
      </c>
      <c r="T45" s="32"/>
      <c r="U45" s="32"/>
    </row>
    <row r="46" spans="1:21" s="21" customFormat="1" ht="26.4" x14ac:dyDescent="0.25">
      <c r="A46" s="16" t="s">
        <v>96</v>
      </c>
      <c r="B46" s="17" t="s">
        <v>129</v>
      </c>
      <c r="C46" s="17" t="s">
        <v>90</v>
      </c>
      <c r="D46" s="11">
        <v>3013882.8604990002</v>
      </c>
      <c r="E46" s="47">
        <f t="shared" si="10"/>
        <v>69.2</v>
      </c>
      <c r="F46" s="11" t="s">
        <v>50</v>
      </c>
      <c r="G46" s="11" t="s">
        <v>157</v>
      </c>
      <c r="H46" s="7">
        <f>'47'!C4</f>
        <v>0.532490073651115</v>
      </c>
      <c r="I46" s="18">
        <f t="shared" ref="I46" si="24">H46*2.2046226218</f>
        <v>1.1739396622551963</v>
      </c>
      <c r="J46" s="19">
        <v>0.9</v>
      </c>
      <c r="K46" s="7">
        <f t="shared" ref="K46" si="25">ROUND(I46*J46,1)</f>
        <v>1.1000000000000001</v>
      </c>
      <c r="L46" s="28">
        <f t="shared" si="22"/>
        <v>4.9895160700000004E-4</v>
      </c>
      <c r="M46" s="7">
        <f>'47'!H4</f>
        <v>17.942316263925768</v>
      </c>
      <c r="N46" s="18">
        <f t="shared" ref="N46" si="26">M46*2.2046226218</f>
        <v>39.556036322940805</v>
      </c>
      <c r="O46" s="25">
        <v>0.9</v>
      </c>
      <c r="P46" s="24">
        <f t="shared" ref="P46" si="27">ROUND(N46*O46,1)</f>
        <v>35.6</v>
      </c>
      <c r="Q46" s="28">
        <f t="shared" si="23"/>
        <v>1.6147888371999999E-2</v>
      </c>
      <c r="T46" s="35"/>
      <c r="U46" s="35"/>
    </row>
    <row r="47" spans="1:21" s="21" customFormat="1" ht="39.6" x14ac:dyDescent="0.25">
      <c r="A47" s="16" t="s">
        <v>97</v>
      </c>
      <c r="B47" s="17" t="s">
        <v>130</v>
      </c>
      <c r="C47" s="17" t="s">
        <v>66</v>
      </c>
      <c r="D47" s="17" t="s">
        <v>6</v>
      </c>
      <c r="E47" s="47" t="s">
        <v>6</v>
      </c>
      <c r="F47" s="11" t="s">
        <v>50</v>
      </c>
      <c r="G47" s="11" t="s">
        <v>157</v>
      </c>
      <c r="H47" s="11" t="s">
        <v>6</v>
      </c>
      <c r="I47" s="18" t="s">
        <v>6</v>
      </c>
      <c r="J47" s="19" t="s">
        <v>6</v>
      </c>
      <c r="K47" s="16">
        <v>1</v>
      </c>
      <c r="L47" s="28">
        <f t="shared" si="22"/>
        <v>4.5359236999999999E-4</v>
      </c>
      <c r="M47" s="16" t="s">
        <v>6</v>
      </c>
      <c r="N47" s="16" t="s">
        <v>6</v>
      </c>
      <c r="O47" s="19" t="s">
        <v>6</v>
      </c>
      <c r="P47" s="18">
        <v>2</v>
      </c>
      <c r="Q47" s="28">
        <f t="shared" si="23"/>
        <v>9.0718473999999998E-4</v>
      </c>
      <c r="T47" s="32"/>
      <c r="U47" s="32"/>
    </row>
    <row r="48" spans="1:21" s="21" customFormat="1" ht="52.8" x14ac:dyDescent="0.25">
      <c r="A48" s="16" t="s">
        <v>98</v>
      </c>
      <c r="B48" s="17" t="s">
        <v>131</v>
      </c>
      <c r="C48" s="17" t="s">
        <v>89</v>
      </c>
      <c r="D48" s="43"/>
      <c r="E48" s="47">
        <f t="shared" si="10"/>
        <v>0</v>
      </c>
      <c r="F48" s="11" t="s">
        <v>50</v>
      </c>
      <c r="G48" s="11" t="s">
        <v>159</v>
      </c>
      <c r="H48" s="43"/>
      <c r="I48" s="18">
        <f t="shared" ref="I48:I54" si="28">H48*2.2046226218</f>
        <v>0</v>
      </c>
      <c r="J48" s="19">
        <v>0.155</v>
      </c>
      <c r="K48" s="7">
        <f t="shared" ref="K48:K56" si="29">ROUND(I48*J48,1)</f>
        <v>0</v>
      </c>
      <c r="L48" s="28">
        <f t="shared" si="22"/>
        <v>0</v>
      </c>
      <c r="M48" s="45"/>
      <c r="N48" s="18">
        <f t="shared" ref="N48:N54" si="30">M48*2.2046226218</f>
        <v>0</v>
      </c>
      <c r="O48" s="25">
        <v>0.1905</v>
      </c>
      <c r="P48" s="24">
        <f t="shared" ref="P48:P56" si="31">ROUND(N48*O48,1)</f>
        <v>0</v>
      </c>
      <c r="Q48" s="28">
        <f t="shared" si="23"/>
        <v>0</v>
      </c>
      <c r="T48" s="32"/>
      <c r="U48" s="32"/>
    </row>
    <row r="49" spans="1:21" s="21" customFormat="1" ht="52.8" x14ac:dyDescent="0.25">
      <c r="A49" s="16" t="s">
        <v>99</v>
      </c>
      <c r="B49" s="17" t="s">
        <v>132</v>
      </c>
      <c r="C49" s="17" t="s">
        <v>89</v>
      </c>
      <c r="D49" s="43"/>
      <c r="E49" s="47">
        <f t="shared" si="10"/>
        <v>0</v>
      </c>
      <c r="F49" s="11" t="s">
        <v>50</v>
      </c>
      <c r="G49" s="11" t="s">
        <v>157</v>
      </c>
      <c r="H49" s="43"/>
      <c r="I49" s="18">
        <f t="shared" si="28"/>
        <v>0</v>
      </c>
      <c r="J49" s="19">
        <v>0.155</v>
      </c>
      <c r="K49" s="7">
        <f t="shared" si="29"/>
        <v>0</v>
      </c>
      <c r="L49" s="28">
        <f t="shared" si="22"/>
        <v>0</v>
      </c>
      <c r="M49" s="45"/>
      <c r="N49" s="18">
        <f t="shared" si="30"/>
        <v>0</v>
      </c>
      <c r="O49" s="25">
        <v>0.1905</v>
      </c>
      <c r="P49" s="24">
        <f t="shared" si="31"/>
        <v>0</v>
      </c>
      <c r="Q49" s="28">
        <f t="shared" si="23"/>
        <v>0</v>
      </c>
      <c r="T49" s="32"/>
      <c r="U49" s="32"/>
    </row>
    <row r="50" spans="1:21" s="21" customFormat="1" ht="26.4" x14ac:dyDescent="0.25">
      <c r="A50" s="16" t="s">
        <v>100</v>
      </c>
      <c r="B50" s="17" t="s">
        <v>133</v>
      </c>
      <c r="C50" s="17" t="s">
        <v>144</v>
      </c>
      <c r="D50" s="27" t="s">
        <v>6</v>
      </c>
      <c r="E50" s="47" t="s">
        <v>6</v>
      </c>
      <c r="F50" s="11" t="s">
        <v>50</v>
      </c>
      <c r="G50" s="11" t="s">
        <v>159</v>
      </c>
      <c r="H50" s="27" t="s">
        <v>6</v>
      </c>
      <c r="I50" s="27" t="s">
        <v>6</v>
      </c>
      <c r="J50" s="39" t="s">
        <v>6</v>
      </c>
      <c r="K50" s="27" t="s">
        <v>6</v>
      </c>
      <c r="L50" s="30" t="s">
        <v>6</v>
      </c>
      <c r="M50" s="27" t="s">
        <v>6</v>
      </c>
      <c r="N50" s="27" t="s">
        <v>6</v>
      </c>
      <c r="O50" s="39" t="s">
        <v>6</v>
      </c>
      <c r="P50" s="47" t="s">
        <v>6</v>
      </c>
      <c r="Q50" s="30" t="s">
        <v>6</v>
      </c>
      <c r="T50" s="35"/>
      <c r="U50" s="35"/>
    </row>
    <row r="51" spans="1:21" s="21" customFormat="1" ht="39.6" x14ac:dyDescent="0.25">
      <c r="A51" s="16" t="s">
        <v>101</v>
      </c>
      <c r="B51" s="17" t="s">
        <v>134</v>
      </c>
      <c r="C51" s="17" t="s">
        <v>146</v>
      </c>
      <c r="D51" s="43"/>
      <c r="E51" s="47">
        <f t="shared" si="10"/>
        <v>0</v>
      </c>
      <c r="F51" s="11" t="s">
        <v>50</v>
      </c>
      <c r="G51" s="11" t="s">
        <v>157</v>
      </c>
      <c r="H51" s="43"/>
      <c r="I51" s="18">
        <f t="shared" si="28"/>
        <v>0</v>
      </c>
      <c r="J51" s="46"/>
      <c r="K51" s="7">
        <f t="shared" si="29"/>
        <v>0</v>
      </c>
      <c r="L51" s="28">
        <f t="shared" ref="L51:L54" si="32">K51*0.00045359237</f>
        <v>0</v>
      </c>
      <c r="M51" s="45"/>
      <c r="N51" s="18">
        <f t="shared" si="30"/>
        <v>0</v>
      </c>
      <c r="O51" s="46"/>
      <c r="P51" s="24">
        <f t="shared" si="31"/>
        <v>0</v>
      </c>
      <c r="Q51" s="28">
        <f t="shared" ref="Q51:Q54" si="33">P51*0.00045359237</f>
        <v>0</v>
      </c>
      <c r="T51" s="35"/>
      <c r="U51" s="35"/>
    </row>
    <row r="52" spans="1:21" s="21" customFormat="1" ht="26.4" x14ac:dyDescent="0.25">
      <c r="A52" s="16" t="s">
        <v>102</v>
      </c>
      <c r="B52" s="17" t="s">
        <v>135</v>
      </c>
      <c r="C52" s="17" t="s">
        <v>147</v>
      </c>
      <c r="D52" s="43"/>
      <c r="E52" s="47">
        <f t="shared" si="10"/>
        <v>0</v>
      </c>
      <c r="F52" s="11" t="s">
        <v>50</v>
      </c>
      <c r="G52" s="11" t="s">
        <v>159</v>
      </c>
      <c r="H52" s="43"/>
      <c r="I52" s="18">
        <f t="shared" si="28"/>
        <v>0</v>
      </c>
      <c r="J52" s="46"/>
      <c r="K52" s="7">
        <f t="shared" si="29"/>
        <v>0</v>
      </c>
      <c r="L52" s="28">
        <f t="shared" si="32"/>
        <v>0</v>
      </c>
      <c r="M52" s="45"/>
      <c r="N52" s="18">
        <f t="shared" si="30"/>
        <v>0</v>
      </c>
      <c r="O52" s="46"/>
      <c r="P52" s="24">
        <f t="shared" si="31"/>
        <v>0</v>
      </c>
      <c r="Q52" s="28">
        <f t="shared" si="33"/>
        <v>0</v>
      </c>
      <c r="T52" s="35"/>
      <c r="U52" s="35"/>
    </row>
    <row r="53" spans="1:21" s="21" customFormat="1" ht="26.4" x14ac:dyDescent="0.25">
      <c r="A53" s="16" t="s">
        <v>103</v>
      </c>
      <c r="B53" s="17" t="s">
        <v>136</v>
      </c>
      <c r="C53" s="17" t="s">
        <v>147</v>
      </c>
      <c r="D53" s="43"/>
      <c r="E53" s="47">
        <f t="shared" si="10"/>
        <v>0</v>
      </c>
      <c r="F53" s="11" t="s">
        <v>50</v>
      </c>
      <c r="G53" s="11" t="s">
        <v>157</v>
      </c>
      <c r="H53" s="43"/>
      <c r="I53" s="18">
        <f t="shared" si="28"/>
        <v>0</v>
      </c>
      <c r="J53" s="46"/>
      <c r="K53" s="7">
        <f t="shared" si="29"/>
        <v>0</v>
      </c>
      <c r="L53" s="28">
        <f t="shared" si="32"/>
        <v>0</v>
      </c>
      <c r="M53" s="45"/>
      <c r="N53" s="18">
        <f t="shared" si="30"/>
        <v>0</v>
      </c>
      <c r="O53" s="46"/>
      <c r="P53" s="24">
        <f t="shared" si="31"/>
        <v>0</v>
      </c>
      <c r="Q53" s="28">
        <f t="shared" si="33"/>
        <v>0</v>
      </c>
      <c r="T53" s="35"/>
      <c r="U53" s="35"/>
    </row>
    <row r="54" spans="1:21" s="21" customFormat="1" ht="39.6" x14ac:dyDescent="0.25">
      <c r="A54" s="16" t="s">
        <v>104</v>
      </c>
      <c r="B54" s="17" t="s">
        <v>137</v>
      </c>
      <c r="C54" s="17" t="s">
        <v>146</v>
      </c>
      <c r="D54" s="43"/>
      <c r="E54" s="47">
        <f t="shared" si="10"/>
        <v>0</v>
      </c>
      <c r="F54" s="11" t="s">
        <v>50</v>
      </c>
      <c r="G54" s="11" t="s">
        <v>157</v>
      </c>
      <c r="H54" s="43"/>
      <c r="I54" s="18">
        <f t="shared" si="28"/>
        <v>0</v>
      </c>
      <c r="J54" s="46"/>
      <c r="K54" s="7">
        <f t="shared" si="29"/>
        <v>0</v>
      </c>
      <c r="L54" s="28">
        <f t="shared" si="32"/>
        <v>0</v>
      </c>
      <c r="M54" s="45"/>
      <c r="N54" s="18">
        <f t="shared" si="30"/>
        <v>0</v>
      </c>
      <c r="O54" s="46"/>
      <c r="P54" s="24">
        <f t="shared" si="31"/>
        <v>0</v>
      </c>
      <c r="Q54" s="28">
        <f t="shared" si="33"/>
        <v>0</v>
      </c>
      <c r="T54" s="35"/>
      <c r="U54" s="35"/>
    </row>
    <row r="55" spans="1:21" s="21" customFormat="1" ht="39.6" x14ac:dyDescent="0.25">
      <c r="A55" s="16" t="s">
        <v>105</v>
      </c>
      <c r="B55" s="17" t="s">
        <v>138</v>
      </c>
      <c r="C55" s="17" t="s">
        <v>144</v>
      </c>
      <c r="D55" s="17" t="s">
        <v>6</v>
      </c>
      <c r="E55" s="47" t="s">
        <v>6</v>
      </c>
      <c r="F55" s="11" t="s">
        <v>50</v>
      </c>
      <c r="G55" s="11" t="s">
        <v>160</v>
      </c>
      <c r="H55" s="27" t="s">
        <v>6</v>
      </c>
      <c r="I55" s="27" t="s">
        <v>6</v>
      </c>
      <c r="J55" s="39" t="s">
        <v>6</v>
      </c>
      <c r="K55" s="27" t="s">
        <v>6</v>
      </c>
      <c r="L55" s="30" t="s">
        <v>6</v>
      </c>
      <c r="M55" s="27" t="s">
        <v>6</v>
      </c>
      <c r="N55" s="27" t="s">
        <v>6</v>
      </c>
      <c r="O55" s="39" t="s">
        <v>6</v>
      </c>
      <c r="P55" s="47" t="s">
        <v>6</v>
      </c>
      <c r="Q55" s="30" t="s">
        <v>6</v>
      </c>
      <c r="T55" s="36"/>
      <c r="U55" s="36"/>
    </row>
    <row r="56" spans="1:21" s="21" customFormat="1" ht="26.4" x14ac:dyDescent="0.25">
      <c r="A56" s="16" t="s">
        <v>106</v>
      </c>
      <c r="B56" s="17" t="s">
        <v>139</v>
      </c>
      <c r="C56" s="17" t="s">
        <v>90</v>
      </c>
      <c r="D56" s="43"/>
      <c r="E56" s="47">
        <f t="shared" si="10"/>
        <v>0</v>
      </c>
      <c r="F56" s="11" t="s">
        <v>50</v>
      </c>
      <c r="G56" s="11" t="s">
        <v>157</v>
      </c>
      <c r="H56" s="43"/>
      <c r="I56" s="44"/>
      <c r="J56" s="19">
        <v>0.9</v>
      </c>
      <c r="K56" s="7">
        <f t="shared" si="29"/>
        <v>0</v>
      </c>
      <c r="L56" s="28">
        <f t="shared" ref="L56:L57" si="34">K56*0.00045359237</f>
        <v>0</v>
      </c>
      <c r="M56" s="45"/>
      <c r="N56" s="45"/>
      <c r="O56" s="19">
        <v>0.5</v>
      </c>
      <c r="P56" s="24">
        <f t="shared" si="31"/>
        <v>0</v>
      </c>
      <c r="Q56" s="28">
        <f t="shared" ref="Q56:Q60" si="35">P56*0.00045359237</f>
        <v>0</v>
      </c>
    </row>
    <row r="57" spans="1:21" s="21" customFormat="1" ht="26.4" x14ac:dyDescent="0.25">
      <c r="A57" s="16" t="s">
        <v>107</v>
      </c>
      <c r="B57" s="17" t="s">
        <v>140</v>
      </c>
      <c r="C57" s="17" t="s">
        <v>90</v>
      </c>
      <c r="D57" s="17">
        <v>2690966.8397300001</v>
      </c>
      <c r="E57" s="47">
        <f t="shared" si="10"/>
        <v>61.8</v>
      </c>
      <c r="F57" s="11" t="s">
        <v>50</v>
      </c>
      <c r="G57" s="11" t="s">
        <v>157</v>
      </c>
      <c r="H57" s="11">
        <f>'58'!C4</f>
        <v>6.0908507245605374</v>
      </c>
      <c r="I57" s="18">
        <f t="shared" ref="I57" si="36">H57*2.2046226218</f>
        <v>13.428027293373082</v>
      </c>
      <c r="J57" s="19">
        <v>0.9</v>
      </c>
      <c r="K57" s="16">
        <f>ROUND(I57*J57,1)</f>
        <v>12.1</v>
      </c>
      <c r="L57" s="28">
        <f t="shared" si="34"/>
        <v>5.4884676769999998E-3</v>
      </c>
      <c r="M57" s="16">
        <f>'58'!H4</f>
        <v>492.64346683248118</v>
      </c>
      <c r="N57" s="18">
        <f t="shared" ref="N57" si="37">M57*2.2046226218</f>
        <v>1086.0929314608661</v>
      </c>
      <c r="O57" s="19">
        <v>0.5</v>
      </c>
      <c r="P57" s="18">
        <f>ROUND(N57*O57,1)</f>
        <v>543</v>
      </c>
      <c r="Q57" s="28">
        <f t="shared" si="35"/>
        <v>0.24630065691</v>
      </c>
    </row>
    <row r="58" spans="1:21" s="21" customFormat="1" ht="26.4" x14ac:dyDescent="0.25">
      <c r="A58" s="16" t="s">
        <v>108</v>
      </c>
      <c r="B58" s="17" t="s">
        <v>141</v>
      </c>
      <c r="C58" s="17" t="s">
        <v>144</v>
      </c>
      <c r="D58" s="17" t="s">
        <v>6</v>
      </c>
      <c r="E58" s="47" t="s">
        <v>6</v>
      </c>
      <c r="F58" s="11" t="s">
        <v>50</v>
      </c>
      <c r="G58" s="11" t="s">
        <v>159</v>
      </c>
      <c r="H58" s="27" t="s">
        <v>6</v>
      </c>
      <c r="I58" s="27" t="s">
        <v>6</v>
      </c>
      <c r="J58" s="39" t="s">
        <v>6</v>
      </c>
      <c r="K58" s="27" t="s">
        <v>6</v>
      </c>
      <c r="L58" s="30" t="s">
        <v>6</v>
      </c>
      <c r="M58" s="27" t="s">
        <v>6</v>
      </c>
      <c r="N58" s="27" t="s">
        <v>6</v>
      </c>
      <c r="O58" s="39" t="s">
        <v>6</v>
      </c>
      <c r="P58" s="47" t="s">
        <v>6</v>
      </c>
      <c r="Q58" s="30" t="s">
        <v>6</v>
      </c>
    </row>
    <row r="59" spans="1:21" s="21" customFormat="1" ht="39.6" x14ac:dyDescent="0.25">
      <c r="A59" s="16" t="s">
        <v>109</v>
      </c>
      <c r="B59" s="17" t="s">
        <v>142</v>
      </c>
      <c r="C59" s="17" t="s">
        <v>148</v>
      </c>
      <c r="D59" s="17" t="s">
        <v>6</v>
      </c>
      <c r="E59" s="49" t="s">
        <v>6</v>
      </c>
      <c r="F59" s="11" t="s">
        <v>50</v>
      </c>
      <c r="G59" s="11" t="s">
        <v>159</v>
      </c>
      <c r="H59" s="27" t="s">
        <v>6</v>
      </c>
      <c r="I59" s="27" t="s">
        <v>6</v>
      </c>
      <c r="J59" s="39" t="s">
        <v>6</v>
      </c>
      <c r="K59" s="7">
        <v>0</v>
      </c>
      <c r="L59" s="28">
        <f t="shared" ref="L59:L60" si="38">K59*0.00045359237</f>
        <v>0</v>
      </c>
      <c r="M59" s="27" t="s">
        <v>6</v>
      </c>
      <c r="N59" s="27" t="s">
        <v>6</v>
      </c>
      <c r="O59" s="39" t="s">
        <v>6</v>
      </c>
      <c r="P59" s="24">
        <f>ROUND((119*12.6)*(1-0.67),1)</f>
        <v>494.8</v>
      </c>
      <c r="Q59" s="28">
        <f t="shared" si="35"/>
        <v>0.22443750467599999</v>
      </c>
    </row>
    <row r="60" spans="1:21" s="21" customFormat="1" ht="39.6" x14ac:dyDescent="0.25">
      <c r="A60" s="16" t="s">
        <v>110</v>
      </c>
      <c r="B60" s="17" t="s">
        <v>143</v>
      </c>
      <c r="C60" s="17" t="s">
        <v>149</v>
      </c>
      <c r="D60" s="17" t="s">
        <v>6</v>
      </c>
      <c r="E60" s="49" t="s">
        <v>6</v>
      </c>
      <c r="F60" s="11" t="s">
        <v>50</v>
      </c>
      <c r="G60" s="11" t="s">
        <v>159</v>
      </c>
      <c r="H60" s="27" t="s">
        <v>6</v>
      </c>
      <c r="I60" s="27" t="s">
        <v>6</v>
      </c>
      <c r="J60" s="39" t="s">
        <v>6</v>
      </c>
      <c r="K60" s="45"/>
      <c r="L60" s="28">
        <f t="shared" si="38"/>
        <v>0</v>
      </c>
      <c r="M60" s="27" t="s">
        <v>6</v>
      </c>
      <c r="N60" s="27" t="s">
        <v>6</v>
      </c>
      <c r="O60" s="39" t="s">
        <v>6</v>
      </c>
      <c r="P60" s="44"/>
      <c r="Q60" s="28">
        <f t="shared" si="35"/>
        <v>0</v>
      </c>
    </row>
    <row r="62" spans="1:21" x14ac:dyDescent="0.3">
      <c r="J62" s="40" t="s">
        <v>48</v>
      </c>
      <c r="K62" s="5">
        <f>SUM(K3:K60)+K2</f>
        <v>9648.6</v>
      </c>
      <c r="L62" s="50">
        <f>SUM(L3:L60)+L2</f>
        <v>4.3765313411819999</v>
      </c>
      <c r="M62" s="5"/>
      <c r="N62" s="5"/>
      <c r="O62" s="42"/>
      <c r="P62" s="5">
        <f>SUM(P3:P60)+P2</f>
        <v>17669.099999999999</v>
      </c>
      <c r="Q62" s="50">
        <f>SUM(Q3:Q60)+Q2</f>
        <v>8.0145689447669994</v>
      </c>
    </row>
  </sheetData>
  <pageMargins left="0.7" right="0.7" top="0.75" bottom="0.75" header="0.3" footer="0.3"/>
  <pageSetup scale="85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7474-FA97-4CB2-AF23-7667792211AE}">
  <dimension ref="A1:H4"/>
  <sheetViews>
    <sheetView workbookViewId="0">
      <selection activeCell="C2" sqref="C2:C4"/>
    </sheetView>
  </sheetViews>
  <sheetFormatPr defaultRowHeight="14.4" x14ac:dyDescent="0.3"/>
  <sheetData>
    <row r="1" spans="1:8" x14ac:dyDescent="0.3">
      <c r="A1" s="103" t="s">
        <v>163</v>
      </c>
      <c r="B1" s="103" t="s">
        <v>164</v>
      </c>
      <c r="C1" s="103" t="s">
        <v>165</v>
      </c>
      <c r="F1" s="73" t="s">
        <v>163</v>
      </c>
      <c r="G1" s="73" t="s">
        <v>164</v>
      </c>
      <c r="H1" s="73" t="s">
        <v>165</v>
      </c>
    </row>
    <row r="2" spans="1:8" x14ac:dyDescent="0.3">
      <c r="A2" s="104">
        <v>1</v>
      </c>
      <c r="B2" s="104">
        <v>174</v>
      </c>
      <c r="C2" s="105">
        <v>0.33082467798297716</v>
      </c>
      <c r="F2" s="74">
        <v>1</v>
      </c>
      <c r="G2" s="74">
        <v>174</v>
      </c>
      <c r="H2" s="75">
        <v>4.6935999582327437</v>
      </c>
    </row>
    <row r="3" spans="1:8" x14ac:dyDescent="0.3">
      <c r="A3" s="143">
        <v>1</v>
      </c>
      <c r="B3" s="143">
        <v>174</v>
      </c>
      <c r="C3" s="144">
        <v>6.7456820862476494</v>
      </c>
      <c r="F3" s="123">
        <v>1</v>
      </c>
      <c r="G3" s="123">
        <v>174</v>
      </c>
      <c r="H3" s="124">
        <v>93.344598324872933</v>
      </c>
    </row>
    <row r="4" spans="1:8" x14ac:dyDescent="0.3">
      <c r="C4">
        <f>SUM(C2:C3)</f>
        <v>7.0765067642306265</v>
      </c>
      <c r="H4">
        <f>SUM(H2:H3)</f>
        <v>98.038198283105672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76CF-2E67-4A2D-9A46-F5827FCA246E}">
  <dimension ref="A1:H4"/>
  <sheetViews>
    <sheetView workbookViewId="0">
      <selection activeCell="C2" sqref="C2:C4"/>
    </sheetView>
  </sheetViews>
  <sheetFormatPr defaultRowHeight="14.4" x14ac:dyDescent="0.3"/>
  <sheetData>
    <row r="1" spans="1:8" x14ac:dyDescent="0.3">
      <c r="A1" s="106" t="s">
        <v>163</v>
      </c>
      <c r="B1" s="106" t="s">
        <v>164</v>
      </c>
      <c r="C1" s="106" t="s">
        <v>165</v>
      </c>
      <c r="F1" s="76" t="s">
        <v>163</v>
      </c>
      <c r="G1" s="76" t="s">
        <v>164</v>
      </c>
      <c r="H1" s="76" t="s">
        <v>165</v>
      </c>
    </row>
    <row r="2" spans="1:8" x14ac:dyDescent="0.3">
      <c r="A2" s="107">
        <v>1</v>
      </c>
      <c r="B2" s="107">
        <v>186</v>
      </c>
      <c r="C2" s="108">
        <v>7.6944463968865611</v>
      </c>
      <c r="F2" s="77">
        <v>1</v>
      </c>
      <c r="G2" s="77">
        <v>186</v>
      </c>
      <c r="H2" s="78">
        <v>183.33653195909312</v>
      </c>
    </row>
    <row r="3" spans="1:8" x14ac:dyDescent="0.3">
      <c r="A3" s="145">
        <v>1</v>
      </c>
      <c r="B3" s="145">
        <v>186</v>
      </c>
      <c r="C3" s="146">
        <v>10.232946228255308</v>
      </c>
      <c r="F3" s="125">
        <v>1</v>
      </c>
      <c r="G3" s="125">
        <v>186</v>
      </c>
      <c r="H3" s="126">
        <v>104.95112379537738</v>
      </c>
    </row>
    <row r="4" spans="1:8" x14ac:dyDescent="0.3">
      <c r="C4">
        <f>SUM(C2:C3)</f>
        <v>17.92739262514187</v>
      </c>
      <c r="H4">
        <f>SUM(H2:H3)</f>
        <v>288.28765575447051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379C6-3AF1-48D6-ADC5-6A2A78D5C4C3}">
  <dimension ref="A1:H4"/>
  <sheetViews>
    <sheetView workbookViewId="0">
      <selection activeCell="C2" sqref="C2:C4"/>
    </sheetView>
  </sheetViews>
  <sheetFormatPr defaultRowHeight="14.4" x14ac:dyDescent="0.3"/>
  <sheetData>
    <row r="1" spans="1:8" x14ac:dyDescent="0.3">
      <c r="A1" s="109" t="s">
        <v>163</v>
      </c>
      <c r="B1" s="109" t="s">
        <v>164</v>
      </c>
      <c r="C1" s="109" t="s">
        <v>165</v>
      </c>
      <c r="F1" s="79" t="s">
        <v>163</v>
      </c>
      <c r="G1" s="79" t="s">
        <v>164</v>
      </c>
      <c r="H1" s="79" t="s">
        <v>165</v>
      </c>
    </row>
    <row r="2" spans="1:8" x14ac:dyDescent="0.3">
      <c r="A2" s="110">
        <v>1</v>
      </c>
      <c r="B2" s="110">
        <v>52</v>
      </c>
      <c r="C2" s="111">
        <v>0.10919479855287774</v>
      </c>
      <c r="F2" s="80">
        <v>1</v>
      </c>
      <c r="G2" s="80">
        <v>52</v>
      </c>
      <c r="H2" s="81">
        <v>13.150219708045601</v>
      </c>
    </row>
    <row r="3" spans="1:8" x14ac:dyDescent="0.3">
      <c r="A3" s="147">
        <v>1</v>
      </c>
      <c r="B3" s="147">
        <v>52</v>
      </c>
      <c r="C3" s="148">
        <v>0.42329527509823722</v>
      </c>
      <c r="F3" s="127">
        <v>1</v>
      </c>
      <c r="G3" s="127">
        <v>52</v>
      </c>
      <c r="H3" s="128">
        <v>4.7920965558801658</v>
      </c>
    </row>
    <row r="4" spans="1:8" x14ac:dyDescent="0.3">
      <c r="C4">
        <f>SUM(C2:C3)</f>
        <v>0.532490073651115</v>
      </c>
      <c r="H4">
        <f>SUM(H2:H3)</f>
        <v>17.942316263925768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E459E-AD9F-4B53-A566-5E950089FBF3}">
  <dimension ref="A1:H4"/>
  <sheetViews>
    <sheetView workbookViewId="0">
      <selection activeCell="C2" sqref="C2:C4"/>
    </sheetView>
  </sheetViews>
  <sheetFormatPr defaultRowHeight="14.4" x14ac:dyDescent="0.3"/>
  <sheetData>
    <row r="1" spans="1:8" x14ac:dyDescent="0.3">
      <c r="A1" s="112" t="s">
        <v>163</v>
      </c>
      <c r="B1" s="112" t="s">
        <v>164</v>
      </c>
      <c r="C1" s="112" t="s">
        <v>165</v>
      </c>
      <c r="F1" s="82" t="s">
        <v>163</v>
      </c>
      <c r="G1" s="82" t="s">
        <v>164</v>
      </c>
      <c r="H1" s="82" t="s">
        <v>165</v>
      </c>
    </row>
    <row r="2" spans="1:8" x14ac:dyDescent="0.3">
      <c r="A2" s="113">
        <v>1</v>
      </c>
      <c r="B2" s="113">
        <v>42</v>
      </c>
      <c r="C2" s="114">
        <v>1.7201892699864927</v>
      </c>
      <c r="F2" s="83">
        <v>1</v>
      </c>
      <c r="G2" s="83">
        <v>42</v>
      </c>
      <c r="H2" s="84">
        <v>316.0745600059293</v>
      </c>
    </row>
    <row r="3" spans="1:8" x14ac:dyDescent="0.3">
      <c r="A3" s="149">
        <v>1</v>
      </c>
      <c r="B3" s="149">
        <v>42</v>
      </c>
      <c r="C3" s="150">
        <v>4.3706614545740452</v>
      </c>
      <c r="F3" s="129">
        <v>1</v>
      </c>
      <c r="G3" s="129">
        <v>42</v>
      </c>
      <c r="H3" s="130">
        <v>176.56890682655191</v>
      </c>
    </row>
    <row r="4" spans="1:8" x14ac:dyDescent="0.3">
      <c r="C4">
        <f>SUM(C2:C3)</f>
        <v>6.0908507245605374</v>
      </c>
      <c r="H4">
        <f>SUM(H2:H3)</f>
        <v>492.64346683248118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activeCell="G19" sqref="G19"/>
    </sheetView>
  </sheetViews>
  <sheetFormatPr defaultRowHeight="14.4" x14ac:dyDescent="0.3"/>
  <cols>
    <col min="1" max="1" width="17.44140625" customWidth="1"/>
  </cols>
  <sheetData>
    <row r="1" spans="1:3" x14ac:dyDescent="0.3">
      <c r="A1" s="6" t="s">
        <v>8</v>
      </c>
    </row>
    <row r="2" spans="1:3" x14ac:dyDescent="0.3">
      <c r="A2" t="s">
        <v>34</v>
      </c>
      <c r="B2">
        <v>14.07</v>
      </c>
      <c r="C2" t="s">
        <v>35</v>
      </c>
    </row>
    <row r="3" spans="1:3" x14ac:dyDescent="0.3">
      <c r="A3" t="s">
        <v>36</v>
      </c>
      <c r="B3" s="10">
        <f>(ROUND(44.53+6.146*LN(B2)+0.145*(LN(B2)^2),1))/100</f>
        <v>0.61799999999999999</v>
      </c>
      <c r="C3" s="10"/>
    </row>
    <row r="4" spans="1:3" x14ac:dyDescent="0.3">
      <c r="A4" t="s">
        <v>37</v>
      </c>
      <c r="B4" s="10">
        <f>(ROUND((43.75*B2)/(4.38+B2),1))/100</f>
        <v>0.33399999999999996</v>
      </c>
      <c r="C4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5AAB-1C98-4F5D-A8C3-B9D412C88BA3}">
  <dimension ref="A1:H108"/>
  <sheetViews>
    <sheetView topLeftCell="A98" workbookViewId="0">
      <selection activeCell="H2" sqref="H2:H108"/>
    </sheetView>
  </sheetViews>
  <sheetFormatPr defaultRowHeight="14.4" x14ac:dyDescent="0.3"/>
  <cols>
    <col min="1" max="1" width="10.44140625" bestFit="1" customWidth="1"/>
    <col min="2" max="2" width="8.6640625" bestFit="1" customWidth="1"/>
    <col min="3" max="3" width="13.33203125" bestFit="1" customWidth="1"/>
    <col min="6" max="6" width="10.44140625" bestFit="1" customWidth="1"/>
    <col min="7" max="7" width="8.6640625" bestFit="1" customWidth="1"/>
    <col min="8" max="8" width="13.44140625" bestFit="1" customWidth="1"/>
  </cols>
  <sheetData>
    <row r="1" spans="1:8" x14ac:dyDescent="0.3">
      <c r="A1" s="151" t="s">
        <v>167</v>
      </c>
      <c r="B1" s="151" t="s">
        <v>168</v>
      </c>
      <c r="C1" s="151" t="s">
        <v>170</v>
      </c>
      <c r="F1" s="151" t="s">
        <v>167</v>
      </c>
      <c r="G1" s="151" t="s">
        <v>168</v>
      </c>
      <c r="H1" s="151" t="s">
        <v>169</v>
      </c>
    </row>
    <row r="2" spans="1:8" x14ac:dyDescent="0.3">
      <c r="A2" s="152" t="s">
        <v>172</v>
      </c>
      <c r="B2" s="152" t="s">
        <v>171</v>
      </c>
      <c r="C2" s="152">
        <v>6.8858356649520167E-6</v>
      </c>
      <c r="F2" s="152" t="s">
        <v>172</v>
      </c>
      <c r="G2" s="152" t="s">
        <v>171</v>
      </c>
      <c r="H2" s="152">
        <v>6.8858356649520167E-6</v>
      </c>
    </row>
    <row r="3" spans="1:8" x14ac:dyDescent="0.3">
      <c r="A3" s="152" t="s">
        <v>172</v>
      </c>
      <c r="B3" s="152" t="s">
        <v>171</v>
      </c>
      <c r="C3" s="152">
        <v>33.792117415672053</v>
      </c>
      <c r="F3" s="152" t="s">
        <v>172</v>
      </c>
      <c r="G3" s="152" t="s">
        <v>171</v>
      </c>
      <c r="H3" s="152">
        <v>33.792117415672053</v>
      </c>
    </row>
    <row r="4" spans="1:8" x14ac:dyDescent="0.3">
      <c r="A4" s="152" t="s">
        <v>172</v>
      </c>
      <c r="B4" s="152" t="s">
        <v>171</v>
      </c>
      <c r="C4" s="152">
        <v>3248.0052125157031</v>
      </c>
      <c r="F4" s="152" t="s">
        <v>172</v>
      </c>
      <c r="G4" s="152" t="s">
        <v>171</v>
      </c>
      <c r="H4" s="152">
        <v>3248.0052125157031</v>
      </c>
    </row>
    <row r="5" spans="1:8" x14ac:dyDescent="0.3">
      <c r="A5" s="152" t="s">
        <v>172</v>
      </c>
      <c r="B5" s="152" t="s">
        <v>171</v>
      </c>
      <c r="C5" s="152">
        <v>0.44076124020451013</v>
      </c>
      <c r="F5" s="152" t="s">
        <v>172</v>
      </c>
      <c r="G5" s="152" t="s">
        <v>171</v>
      </c>
      <c r="H5" s="152">
        <v>0.44076124020451013</v>
      </c>
    </row>
    <row r="6" spans="1:8" x14ac:dyDescent="0.3">
      <c r="A6" s="152" t="s">
        <v>172</v>
      </c>
      <c r="B6" s="152" t="s">
        <v>171</v>
      </c>
      <c r="C6" s="152">
        <v>28.093634053801622</v>
      </c>
      <c r="F6" s="152" t="s">
        <v>172</v>
      </c>
      <c r="G6" s="152" t="s">
        <v>171</v>
      </c>
      <c r="H6" s="152">
        <v>28.093634053801622</v>
      </c>
    </row>
    <row r="7" spans="1:8" x14ac:dyDescent="0.3">
      <c r="A7" s="152" t="s">
        <v>172</v>
      </c>
      <c r="B7" s="152" t="s">
        <v>171</v>
      </c>
      <c r="C7" s="152">
        <v>904.96383573422349</v>
      </c>
      <c r="F7" s="152" t="s">
        <v>172</v>
      </c>
      <c r="G7" s="152" t="s">
        <v>171</v>
      </c>
      <c r="H7" s="152">
        <v>904.96383573422349</v>
      </c>
    </row>
    <row r="8" spans="1:8" x14ac:dyDescent="0.3">
      <c r="A8" s="152" t="s">
        <v>172</v>
      </c>
      <c r="B8" s="152" t="s">
        <v>171</v>
      </c>
      <c r="C8" s="152">
        <v>69.683502612098238</v>
      </c>
      <c r="F8" s="152" t="s">
        <v>172</v>
      </c>
      <c r="G8" s="152" t="s">
        <v>171</v>
      </c>
      <c r="H8" s="152">
        <v>69.683502612098238</v>
      </c>
    </row>
    <row r="9" spans="1:8" x14ac:dyDescent="0.3">
      <c r="A9" s="152" t="s">
        <v>172</v>
      </c>
      <c r="B9" s="152" t="s">
        <v>171</v>
      </c>
      <c r="C9" s="152">
        <v>13440.506769387399</v>
      </c>
      <c r="F9" s="152" t="s">
        <v>172</v>
      </c>
      <c r="G9" s="152" t="s">
        <v>171</v>
      </c>
      <c r="H9" s="152">
        <v>13440.506769387399</v>
      </c>
    </row>
    <row r="10" spans="1:8" x14ac:dyDescent="0.3">
      <c r="A10" s="152" t="s">
        <v>172</v>
      </c>
      <c r="B10" s="152" t="s">
        <v>171</v>
      </c>
      <c r="C10" s="152">
        <v>41081.993464400206</v>
      </c>
      <c r="F10" s="152" t="s">
        <v>172</v>
      </c>
      <c r="G10" s="152" t="s">
        <v>171</v>
      </c>
      <c r="H10" s="152">
        <v>41081.993464400206</v>
      </c>
    </row>
    <row r="11" spans="1:8" x14ac:dyDescent="0.3">
      <c r="A11" s="152" t="s">
        <v>172</v>
      </c>
      <c r="B11" s="152" t="s">
        <v>171</v>
      </c>
      <c r="C11" s="152">
        <v>1319.5066440989394</v>
      </c>
      <c r="F11" s="152" t="s">
        <v>172</v>
      </c>
      <c r="G11" s="152" t="s">
        <v>171</v>
      </c>
      <c r="H11" s="152">
        <v>1319.5066440989394</v>
      </c>
    </row>
    <row r="12" spans="1:8" x14ac:dyDescent="0.3">
      <c r="A12" s="152" t="s">
        <v>172</v>
      </c>
      <c r="B12" s="152" t="s">
        <v>171</v>
      </c>
      <c r="C12" s="152">
        <v>863.92427555388508</v>
      </c>
      <c r="F12" s="152" t="s">
        <v>172</v>
      </c>
      <c r="G12" s="152" t="s">
        <v>171</v>
      </c>
      <c r="H12" s="152">
        <v>863.92427555388508</v>
      </c>
    </row>
    <row r="13" spans="1:8" x14ac:dyDescent="0.3">
      <c r="A13" s="152" t="s">
        <v>172</v>
      </c>
      <c r="B13" s="152" t="s">
        <v>171</v>
      </c>
      <c r="C13" s="152">
        <v>101.47778833047758</v>
      </c>
      <c r="F13" s="152" t="s">
        <v>172</v>
      </c>
      <c r="G13" s="152" t="s">
        <v>171</v>
      </c>
      <c r="H13" s="152">
        <v>101.47778833047758</v>
      </c>
    </row>
    <row r="14" spans="1:8" x14ac:dyDescent="0.3">
      <c r="A14" s="152" t="s">
        <v>172</v>
      </c>
      <c r="B14" s="152" t="s">
        <v>171</v>
      </c>
      <c r="C14" s="152">
        <v>92.465411769145277</v>
      </c>
      <c r="F14" s="152" t="s">
        <v>172</v>
      </c>
      <c r="G14" s="152" t="s">
        <v>171</v>
      </c>
      <c r="H14" s="152">
        <v>92.465411769145277</v>
      </c>
    </row>
    <row r="15" spans="1:8" x14ac:dyDescent="0.3">
      <c r="A15" s="152" t="s">
        <v>172</v>
      </c>
      <c r="B15" s="152" t="s">
        <v>171</v>
      </c>
      <c r="C15" s="152">
        <v>92.536711339495056</v>
      </c>
      <c r="F15" s="152" t="s">
        <v>172</v>
      </c>
      <c r="G15" s="152" t="s">
        <v>171</v>
      </c>
      <c r="H15" s="152">
        <v>92.536711339495056</v>
      </c>
    </row>
    <row r="16" spans="1:8" x14ac:dyDescent="0.3">
      <c r="A16" s="152" t="s">
        <v>172</v>
      </c>
      <c r="B16" s="152" t="s">
        <v>171</v>
      </c>
      <c r="C16" s="152">
        <v>379.10898982628396</v>
      </c>
      <c r="F16" s="152" t="s">
        <v>172</v>
      </c>
      <c r="G16" s="152" t="s">
        <v>171</v>
      </c>
      <c r="H16" s="152">
        <v>379.10898982628396</v>
      </c>
    </row>
    <row r="17" spans="1:8" x14ac:dyDescent="0.3">
      <c r="A17" s="152" t="s">
        <v>172</v>
      </c>
      <c r="B17" s="152" t="s">
        <v>171</v>
      </c>
      <c r="C17" s="152">
        <v>68.320643822132482</v>
      </c>
      <c r="F17" s="152" t="s">
        <v>172</v>
      </c>
      <c r="G17" s="152" t="s">
        <v>171</v>
      </c>
      <c r="H17" s="152">
        <v>68.320643822132482</v>
      </c>
    </row>
    <row r="18" spans="1:8" x14ac:dyDescent="0.3">
      <c r="A18" s="152" t="s">
        <v>172</v>
      </c>
      <c r="B18" s="152" t="s">
        <v>171</v>
      </c>
      <c r="C18" s="152">
        <v>65.605330140899298</v>
      </c>
      <c r="F18" s="152" t="s">
        <v>172</v>
      </c>
      <c r="G18" s="152" t="s">
        <v>171</v>
      </c>
      <c r="H18" s="152">
        <v>65.605330140899298</v>
      </c>
    </row>
    <row r="19" spans="1:8" x14ac:dyDescent="0.3">
      <c r="A19" s="152" t="s">
        <v>172</v>
      </c>
      <c r="B19" s="152" t="s">
        <v>171</v>
      </c>
      <c r="C19" s="152">
        <v>438.83839414551971</v>
      </c>
      <c r="F19" s="152" t="s">
        <v>172</v>
      </c>
      <c r="G19" s="152" t="s">
        <v>171</v>
      </c>
      <c r="H19" s="152">
        <v>438.83839414551971</v>
      </c>
    </row>
    <row r="20" spans="1:8" x14ac:dyDescent="0.3">
      <c r="A20" s="152" t="s">
        <v>172</v>
      </c>
      <c r="B20" s="152" t="s">
        <v>171</v>
      </c>
      <c r="C20" s="152">
        <v>37.857819412553702</v>
      </c>
      <c r="F20" s="152" t="s">
        <v>172</v>
      </c>
      <c r="G20" s="152" t="s">
        <v>171</v>
      </c>
      <c r="H20" s="152">
        <v>37.857819412553702</v>
      </c>
    </row>
    <row r="21" spans="1:8" x14ac:dyDescent="0.3">
      <c r="A21" s="152" t="s">
        <v>172</v>
      </c>
      <c r="B21" s="152" t="s">
        <v>171</v>
      </c>
      <c r="C21" s="152">
        <v>0.12536280382019202</v>
      </c>
      <c r="F21" s="152" t="s">
        <v>172</v>
      </c>
      <c r="G21" s="152" t="s">
        <v>171</v>
      </c>
      <c r="H21" s="152">
        <v>0.12536280382019202</v>
      </c>
    </row>
    <row r="22" spans="1:8" x14ac:dyDescent="0.3">
      <c r="A22" s="152" t="s">
        <v>172</v>
      </c>
      <c r="B22" s="152" t="s">
        <v>171</v>
      </c>
      <c r="C22" s="152">
        <v>5.5906433579564617E-2</v>
      </c>
      <c r="F22" s="152" t="s">
        <v>172</v>
      </c>
      <c r="G22" s="152" t="s">
        <v>171</v>
      </c>
      <c r="H22" s="152">
        <v>5.5906433579564617E-2</v>
      </c>
    </row>
    <row r="23" spans="1:8" x14ac:dyDescent="0.3">
      <c r="A23" s="152" t="s">
        <v>172</v>
      </c>
      <c r="B23" s="152" t="s">
        <v>171</v>
      </c>
      <c r="C23" s="152">
        <v>23.731679778592824</v>
      </c>
      <c r="F23" s="152" t="s">
        <v>172</v>
      </c>
      <c r="G23" s="152" t="s">
        <v>171</v>
      </c>
      <c r="H23" s="152">
        <v>23.731679778592824</v>
      </c>
    </row>
    <row r="24" spans="1:8" x14ac:dyDescent="0.3">
      <c r="A24" s="152" t="s">
        <v>172</v>
      </c>
      <c r="B24" s="152" t="s">
        <v>171</v>
      </c>
      <c r="C24" s="152">
        <v>6.231856650480128</v>
      </c>
      <c r="F24" s="152" t="s">
        <v>172</v>
      </c>
      <c r="G24" s="152" t="s">
        <v>171</v>
      </c>
      <c r="H24" s="152">
        <v>6.231856650480128</v>
      </c>
    </row>
    <row r="25" spans="1:8" x14ac:dyDescent="0.3">
      <c r="A25" s="152" t="s">
        <v>172</v>
      </c>
      <c r="B25" s="152" t="s">
        <v>171</v>
      </c>
      <c r="C25" s="152">
        <v>1.5601358565197736</v>
      </c>
      <c r="F25" s="152" t="s">
        <v>172</v>
      </c>
      <c r="G25" s="152" t="s">
        <v>171</v>
      </c>
      <c r="H25" s="152">
        <v>1.5601358565197736</v>
      </c>
    </row>
    <row r="26" spans="1:8" x14ac:dyDescent="0.3">
      <c r="A26" s="152" t="s">
        <v>172</v>
      </c>
      <c r="B26" s="152" t="s">
        <v>171</v>
      </c>
      <c r="C26" s="152">
        <v>17.907115723895068</v>
      </c>
      <c r="F26" s="152" t="s">
        <v>172</v>
      </c>
      <c r="G26" s="152" t="s">
        <v>171</v>
      </c>
      <c r="H26" s="152">
        <v>17.907115723895068</v>
      </c>
    </row>
    <row r="27" spans="1:8" x14ac:dyDescent="0.3">
      <c r="A27" s="152" t="s">
        <v>172</v>
      </c>
      <c r="B27" s="152" t="s">
        <v>171</v>
      </c>
      <c r="C27" s="152">
        <v>3.0434599700749101</v>
      </c>
      <c r="F27" s="152" t="s">
        <v>172</v>
      </c>
      <c r="G27" s="152" t="s">
        <v>171</v>
      </c>
      <c r="H27" s="152">
        <v>3.0434599700749101</v>
      </c>
    </row>
    <row r="28" spans="1:8" x14ac:dyDescent="0.3">
      <c r="A28" s="152" t="s">
        <v>172</v>
      </c>
      <c r="B28" s="152" t="s">
        <v>171</v>
      </c>
      <c r="C28" s="152">
        <v>1.3644115950226114</v>
      </c>
      <c r="F28" s="152" t="s">
        <v>172</v>
      </c>
      <c r="G28" s="152" t="s">
        <v>171</v>
      </c>
      <c r="H28" s="152">
        <v>1.3644115950226114</v>
      </c>
    </row>
    <row r="29" spans="1:8" x14ac:dyDescent="0.3">
      <c r="A29" s="152" t="s">
        <v>172</v>
      </c>
      <c r="B29" s="152" t="s">
        <v>171</v>
      </c>
      <c r="C29" s="152">
        <v>1.4845079642322692</v>
      </c>
      <c r="F29" s="152" t="s">
        <v>172</v>
      </c>
      <c r="G29" s="152" t="s">
        <v>171</v>
      </c>
      <c r="H29" s="152">
        <v>1.4845079642322692</v>
      </c>
    </row>
    <row r="30" spans="1:8" x14ac:dyDescent="0.3">
      <c r="A30" s="152" t="s">
        <v>172</v>
      </c>
      <c r="B30" s="152" t="s">
        <v>171</v>
      </c>
      <c r="C30" s="152">
        <v>209.98366963769192</v>
      </c>
      <c r="F30" s="152" t="s">
        <v>172</v>
      </c>
      <c r="G30" s="152" t="s">
        <v>171</v>
      </c>
      <c r="H30" s="152">
        <v>209.98366963769192</v>
      </c>
    </row>
    <row r="31" spans="1:8" x14ac:dyDescent="0.3">
      <c r="A31" s="152" t="s">
        <v>172</v>
      </c>
      <c r="B31" s="152" t="s">
        <v>171</v>
      </c>
      <c r="C31" s="152">
        <v>96.091821538796651</v>
      </c>
      <c r="F31" s="152" t="s">
        <v>172</v>
      </c>
      <c r="G31" s="152" t="s">
        <v>171</v>
      </c>
      <c r="H31" s="152">
        <v>96.091821538796651</v>
      </c>
    </row>
    <row r="32" spans="1:8" x14ac:dyDescent="0.3">
      <c r="A32" s="152" t="s">
        <v>172</v>
      </c>
      <c r="B32" s="152" t="s">
        <v>171</v>
      </c>
      <c r="C32" s="152">
        <v>1.3754277015348177E-3</v>
      </c>
      <c r="F32" s="152" t="s">
        <v>172</v>
      </c>
      <c r="G32" s="152" t="s">
        <v>171</v>
      </c>
      <c r="H32" s="152">
        <v>1.3754277015348177E-3</v>
      </c>
    </row>
    <row r="33" spans="1:8" x14ac:dyDescent="0.3">
      <c r="A33" s="152" t="s">
        <v>172</v>
      </c>
      <c r="B33" s="152" t="s">
        <v>171</v>
      </c>
      <c r="C33" s="152">
        <v>0.17259884784069324</v>
      </c>
      <c r="F33" s="152" t="s">
        <v>172</v>
      </c>
      <c r="G33" s="152" t="s">
        <v>171</v>
      </c>
      <c r="H33" s="152">
        <v>0.17259884784069324</v>
      </c>
    </row>
    <row r="34" spans="1:8" x14ac:dyDescent="0.3">
      <c r="A34" s="152" t="s">
        <v>172</v>
      </c>
      <c r="B34" s="152" t="s">
        <v>171</v>
      </c>
      <c r="C34" s="152">
        <v>831.37928449456365</v>
      </c>
      <c r="F34" s="152" t="s">
        <v>172</v>
      </c>
      <c r="G34" s="152" t="s">
        <v>171</v>
      </c>
      <c r="H34" s="152">
        <v>831.37928449456365</v>
      </c>
    </row>
    <row r="35" spans="1:8" x14ac:dyDescent="0.3">
      <c r="A35" s="152" t="s">
        <v>172</v>
      </c>
      <c r="B35" s="152" t="s">
        <v>171</v>
      </c>
      <c r="C35" s="152">
        <v>37.304145742365293</v>
      </c>
      <c r="F35" s="152" t="s">
        <v>172</v>
      </c>
      <c r="G35" s="152" t="s">
        <v>171</v>
      </c>
      <c r="H35" s="152">
        <v>37.304145742365293</v>
      </c>
    </row>
    <row r="36" spans="1:8" x14ac:dyDescent="0.3">
      <c r="A36" s="152" t="s">
        <v>172</v>
      </c>
      <c r="B36" s="152" t="s">
        <v>171</v>
      </c>
      <c r="C36" s="152">
        <v>12.431973712494527</v>
      </c>
      <c r="F36" s="152" t="s">
        <v>172</v>
      </c>
      <c r="G36" s="152" t="s">
        <v>171</v>
      </c>
      <c r="H36" s="152">
        <v>12.431973712494527</v>
      </c>
    </row>
    <row r="37" spans="1:8" x14ac:dyDescent="0.3">
      <c r="A37" s="152" t="s">
        <v>172</v>
      </c>
      <c r="B37" s="152" t="s">
        <v>171</v>
      </c>
      <c r="C37" s="152">
        <v>263.79386336165987</v>
      </c>
      <c r="F37" s="152" t="s">
        <v>172</v>
      </c>
      <c r="G37" s="152" t="s">
        <v>171</v>
      </c>
      <c r="H37" s="152">
        <v>263.79386336165987</v>
      </c>
    </row>
    <row r="38" spans="1:8" x14ac:dyDescent="0.3">
      <c r="A38" s="152" t="s">
        <v>172</v>
      </c>
      <c r="B38" s="152" t="s">
        <v>171</v>
      </c>
      <c r="C38" s="152">
        <v>28.632291494756846</v>
      </c>
      <c r="F38" s="152" t="s">
        <v>172</v>
      </c>
      <c r="G38" s="152" t="s">
        <v>171</v>
      </c>
      <c r="H38" s="152">
        <v>28.632291494756846</v>
      </c>
    </row>
    <row r="39" spans="1:8" x14ac:dyDescent="0.3">
      <c r="A39" s="152" t="s">
        <v>172</v>
      </c>
      <c r="B39" s="152" t="s">
        <v>171</v>
      </c>
      <c r="C39" s="152">
        <v>2.0624808448638184E-2</v>
      </c>
      <c r="F39" s="152" t="s">
        <v>172</v>
      </c>
      <c r="G39" s="152" t="s">
        <v>171</v>
      </c>
      <c r="H39" s="152">
        <v>2.0624808448638184E-2</v>
      </c>
    </row>
    <row r="40" spans="1:8" x14ac:dyDescent="0.3">
      <c r="A40" s="152" t="s">
        <v>172</v>
      </c>
      <c r="B40" s="152" t="s">
        <v>171</v>
      </c>
      <c r="C40" s="152">
        <v>86.684713990264299</v>
      </c>
      <c r="F40" s="152" t="s">
        <v>172</v>
      </c>
      <c r="G40" s="152" t="s">
        <v>171</v>
      </c>
      <c r="H40" s="152">
        <v>86.684713990264299</v>
      </c>
    </row>
    <row r="41" spans="1:8" x14ac:dyDescent="0.3">
      <c r="A41" s="152" t="s">
        <v>172</v>
      </c>
      <c r="B41" s="152" t="s">
        <v>171</v>
      </c>
      <c r="C41" s="152">
        <v>0.23778354784172429</v>
      </c>
      <c r="F41" s="152" t="s">
        <v>172</v>
      </c>
      <c r="G41" s="152" t="s">
        <v>171</v>
      </c>
      <c r="H41" s="152">
        <v>0.23778354784172429</v>
      </c>
    </row>
    <row r="42" spans="1:8" x14ac:dyDescent="0.3">
      <c r="A42" s="152" t="s">
        <v>172</v>
      </c>
      <c r="B42" s="152" t="s">
        <v>171</v>
      </c>
      <c r="C42" s="152">
        <v>5.843703365712944</v>
      </c>
      <c r="F42" s="152" t="s">
        <v>172</v>
      </c>
      <c r="G42" s="152" t="s">
        <v>171</v>
      </c>
      <c r="H42" s="152">
        <v>5.843703365712944</v>
      </c>
    </row>
    <row r="43" spans="1:8" x14ac:dyDescent="0.3">
      <c r="A43" s="152" t="s">
        <v>172</v>
      </c>
      <c r="B43" s="152" t="s">
        <v>171</v>
      </c>
      <c r="C43" s="152">
        <v>1.0283200758309663</v>
      </c>
      <c r="F43" s="152" t="s">
        <v>172</v>
      </c>
      <c r="G43" s="152" t="s">
        <v>171</v>
      </c>
      <c r="H43" s="152">
        <v>1.0283200758309663</v>
      </c>
    </row>
    <row r="44" spans="1:8" x14ac:dyDescent="0.3">
      <c r="A44" s="152" t="s">
        <v>172</v>
      </c>
      <c r="B44" s="152" t="s">
        <v>171</v>
      </c>
      <c r="C44" s="152">
        <v>0.63590591078801451</v>
      </c>
      <c r="F44" s="152" t="s">
        <v>172</v>
      </c>
      <c r="G44" s="152" t="s">
        <v>171</v>
      </c>
      <c r="H44" s="152">
        <v>0.63590591078801451</v>
      </c>
    </row>
    <row r="45" spans="1:8" x14ac:dyDescent="0.3">
      <c r="A45" s="152" t="s">
        <v>172</v>
      </c>
      <c r="B45" s="152" t="s">
        <v>171</v>
      </c>
      <c r="C45" s="152">
        <v>0.13489163432042736</v>
      </c>
      <c r="F45" s="152" t="s">
        <v>172</v>
      </c>
      <c r="G45" s="152" t="s">
        <v>171</v>
      </c>
      <c r="H45" s="152">
        <v>0.13489163432042736</v>
      </c>
    </row>
    <row r="46" spans="1:8" x14ac:dyDescent="0.3">
      <c r="A46" s="152" t="s">
        <v>172</v>
      </c>
      <c r="B46" s="152" t="s">
        <v>171</v>
      </c>
      <c r="C46" s="152">
        <v>246.69491880483679</v>
      </c>
      <c r="F46" s="152" t="s">
        <v>172</v>
      </c>
      <c r="G46" s="152" t="s">
        <v>171</v>
      </c>
      <c r="H46" s="152">
        <v>246.69491880483679</v>
      </c>
    </row>
    <row r="47" spans="1:8" x14ac:dyDescent="0.3">
      <c r="A47" s="152" t="s">
        <v>172</v>
      </c>
      <c r="B47" s="152" t="s">
        <v>171</v>
      </c>
      <c r="C47" s="152">
        <v>8.2875287643861597</v>
      </c>
      <c r="F47" s="152" t="s">
        <v>172</v>
      </c>
      <c r="G47" s="152" t="s">
        <v>171</v>
      </c>
      <c r="H47" s="152">
        <v>8.2875287643861597</v>
      </c>
    </row>
    <row r="48" spans="1:8" x14ac:dyDescent="0.3">
      <c r="A48" s="152" t="s">
        <v>172</v>
      </c>
      <c r="B48" s="152" t="s">
        <v>171</v>
      </c>
      <c r="C48" s="152">
        <v>3.7297258594460292</v>
      </c>
      <c r="F48" s="152" t="s">
        <v>172</v>
      </c>
      <c r="G48" s="152" t="s">
        <v>171</v>
      </c>
      <c r="H48" s="152">
        <v>3.7297258594460292</v>
      </c>
    </row>
    <row r="49" spans="1:8" x14ac:dyDescent="0.3">
      <c r="A49" s="152" t="s">
        <v>172</v>
      </c>
      <c r="B49" s="152" t="s">
        <v>171</v>
      </c>
      <c r="C49" s="152">
        <v>6.215977971249238</v>
      </c>
      <c r="F49" s="152" t="s">
        <v>172</v>
      </c>
      <c r="G49" s="152" t="s">
        <v>171</v>
      </c>
      <c r="H49" s="152">
        <v>6.215977971249238</v>
      </c>
    </row>
    <row r="50" spans="1:8" x14ac:dyDescent="0.3">
      <c r="A50" s="152" t="s">
        <v>172</v>
      </c>
      <c r="B50" s="152" t="s">
        <v>171</v>
      </c>
      <c r="C50" s="152">
        <v>92.23681818321127</v>
      </c>
      <c r="F50" s="152" t="s">
        <v>172</v>
      </c>
      <c r="G50" s="152" t="s">
        <v>171</v>
      </c>
      <c r="H50" s="152">
        <v>92.23681818321127</v>
      </c>
    </row>
    <row r="51" spans="1:8" x14ac:dyDescent="0.3">
      <c r="A51" s="152" t="s">
        <v>172</v>
      </c>
      <c r="B51" s="152" t="s">
        <v>171</v>
      </c>
      <c r="C51" s="152">
        <v>4.2950991323973948</v>
      </c>
      <c r="F51" s="152" t="s">
        <v>172</v>
      </c>
      <c r="G51" s="152" t="s">
        <v>171</v>
      </c>
      <c r="H51" s="152">
        <v>4.2950991323973948</v>
      </c>
    </row>
    <row r="52" spans="1:8" x14ac:dyDescent="0.3">
      <c r="A52" s="152" t="s">
        <v>172</v>
      </c>
      <c r="B52" s="152" t="s">
        <v>171</v>
      </c>
      <c r="C52" s="152">
        <v>112.17559591169712</v>
      </c>
      <c r="F52" s="152" t="s">
        <v>172</v>
      </c>
      <c r="G52" s="152" t="s">
        <v>171</v>
      </c>
      <c r="H52" s="152">
        <v>112.17559591169712</v>
      </c>
    </row>
    <row r="53" spans="1:8" x14ac:dyDescent="0.3">
      <c r="A53" s="152" t="s">
        <v>172</v>
      </c>
      <c r="B53" s="152" t="s">
        <v>171</v>
      </c>
      <c r="C53" s="152">
        <v>86.923291748811437</v>
      </c>
      <c r="F53" s="152" t="s">
        <v>172</v>
      </c>
      <c r="G53" s="152" t="s">
        <v>171</v>
      </c>
      <c r="H53" s="152">
        <v>86.923291748811437</v>
      </c>
    </row>
    <row r="54" spans="1:8" x14ac:dyDescent="0.3">
      <c r="A54" s="152" t="s">
        <v>172</v>
      </c>
      <c r="B54" s="152" t="s">
        <v>171</v>
      </c>
      <c r="C54" s="152">
        <v>12.456870262772291</v>
      </c>
      <c r="F54" s="152" t="s">
        <v>172</v>
      </c>
      <c r="G54" s="152" t="s">
        <v>171</v>
      </c>
      <c r="H54" s="152">
        <v>12.456870262772291</v>
      </c>
    </row>
    <row r="55" spans="1:8" x14ac:dyDescent="0.3">
      <c r="A55" s="152" t="s">
        <v>172</v>
      </c>
      <c r="B55" s="152" t="s">
        <v>171</v>
      </c>
      <c r="C55" s="152">
        <v>5.4689991026151085E-6</v>
      </c>
      <c r="F55" s="152" t="s">
        <v>172</v>
      </c>
      <c r="G55" s="152" t="s">
        <v>171</v>
      </c>
      <c r="H55" s="152">
        <v>4.6728600177774819E-5</v>
      </c>
    </row>
    <row r="56" spans="1:8" x14ac:dyDescent="0.3">
      <c r="A56" s="152" t="s">
        <v>172</v>
      </c>
      <c r="B56" s="152" t="s">
        <v>171</v>
      </c>
      <c r="C56" s="152">
        <v>1.2811690363361792</v>
      </c>
      <c r="F56" s="152" t="s">
        <v>172</v>
      </c>
      <c r="G56" s="152" t="s">
        <v>171</v>
      </c>
      <c r="H56" s="152">
        <v>26.664355158527624</v>
      </c>
    </row>
    <row r="57" spans="1:8" x14ac:dyDescent="0.3">
      <c r="A57" s="152" t="s">
        <v>172</v>
      </c>
      <c r="B57" s="152" t="s">
        <v>171</v>
      </c>
      <c r="C57" s="152">
        <v>131.83411332064148</v>
      </c>
      <c r="F57" s="152" t="s">
        <v>172</v>
      </c>
      <c r="G57" s="152" t="s">
        <v>171</v>
      </c>
      <c r="H57" s="152">
        <v>2630.0846703130196</v>
      </c>
    </row>
    <row r="58" spans="1:8" x14ac:dyDescent="0.3">
      <c r="A58" s="152" t="s">
        <v>172</v>
      </c>
      <c r="B58" s="152" t="s">
        <v>171</v>
      </c>
      <c r="C58" s="152">
        <v>0.5851325697116424</v>
      </c>
      <c r="F58" s="152" t="s">
        <v>172</v>
      </c>
      <c r="G58" s="152" t="s">
        <v>171</v>
      </c>
      <c r="H58" s="152">
        <v>3.1963020483624915</v>
      </c>
    </row>
    <row r="59" spans="1:8" x14ac:dyDescent="0.3">
      <c r="A59" s="152" t="s">
        <v>172</v>
      </c>
      <c r="B59" s="152" t="s">
        <v>171</v>
      </c>
      <c r="C59" s="152">
        <v>0.79897018896920968</v>
      </c>
      <c r="F59" s="152" t="s">
        <v>172</v>
      </c>
      <c r="G59" s="152" t="s">
        <v>171</v>
      </c>
      <c r="H59" s="152">
        <v>10.691400874956999</v>
      </c>
    </row>
    <row r="60" spans="1:8" x14ac:dyDescent="0.3">
      <c r="A60" s="152" t="s">
        <v>172</v>
      </c>
      <c r="B60" s="152" t="s">
        <v>171</v>
      </c>
      <c r="C60" s="152">
        <v>101.18162044083351</v>
      </c>
      <c r="F60" s="152" t="s">
        <v>172</v>
      </c>
      <c r="G60" s="152" t="s">
        <v>171</v>
      </c>
      <c r="H60" s="152">
        <v>1010.9672152988896</v>
      </c>
    </row>
    <row r="61" spans="1:8" x14ac:dyDescent="0.3">
      <c r="A61" s="152" t="s">
        <v>172</v>
      </c>
      <c r="B61" s="152" t="s">
        <v>171</v>
      </c>
      <c r="C61" s="152">
        <v>6.9093513698811071</v>
      </c>
      <c r="F61" s="152" t="s">
        <v>172</v>
      </c>
      <c r="G61" s="152" t="s">
        <v>171</v>
      </c>
      <c r="H61" s="152">
        <v>76.186443230168535</v>
      </c>
    </row>
    <row r="62" spans="1:8" x14ac:dyDescent="0.3">
      <c r="A62" s="152" t="s">
        <v>172</v>
      </c>
      <c r="B62" s="152" t="s">
        <v>171</v>
      </c>
      <c r="C62" s="152">
        <v>99.921862402889346</v>
      </c>
      <c r="F62" s="152" t="s">
        <v>172</v>
      </c>
      <c r="G62" s="152" t="s">
        <v>171</v>
      </c>
      <c r="H62" s="152">
        <v>2885.2072306366604</v>
      </c>
    </row>
    <row r="63" spans="1:8" x14ac:dyDescent="0.3">
      <c r="A63" s="152" t="s">
        <v>172</v>
      </c>
      <c r="B63" s="152" t="s">
        <v>171</v>
      </c>
      <c r="C63" s="152">
        <v>1536.4507826417719</v>
      </c>
      <c r="F63" s="152" t="s">
        <v>172</v>
      </c>
      <c r="G63" s="152" t="s">
        <v>171</v>
      </c>
      <c r="H63" s="152">
        <v>23321.823106034684</v>
      </c>
    </row>
    <row r="64" spans="1:8" x14ac:dyDescent="0.3">
      <c r="A64" s="152" t="s">
        <v>172</v>
      </c>
      <c r="B64" s="152" t="s">
        <v>171</v>
      </c>
      <c r="C64" s="152">
        <v>4.9491739833513755</v>
      </c>
      <c r="F64" s="152" t="s">
        <v>172</v>
      </c>
      <c r="G64" s="152" t="s">
        <v>171</v>
      </c>
      <c r="H64" s="152">
        <v>83.880749091770582</v>
      </c>
    </row>
    <row r="65" spans="1:8" x14ac:dyDescent="0.3">
      <c r="A65" s="152" t="s">
        <v>172</v>
      </c>
      <c r="B65" s="152" t="s">
        <v>171</v>
      </c>
      <c r="C65" s="152">
        <v>128.79187377393802</v>
      </c>
      <c r="F65" s="152" t="s">
        <v>172</v>
      </c>
      <c r="G65" s="152" t="s">
        <v>171</v>
      </c>
      <c r="H65" s="152">
        <v>1097.5925302316427</v>
      </c>
    </row>
    <row r="66" spans="1:8" x14ac:dyDescent="0.3">
      <c r="A66" s="152" t="s">
        <v>172</v>
      </c>
      <c r="B66" s="152" t="s">
        <v>171</v>
      </c>
      <c r="C66" s="152">
        <v>1.720869739077413</v>
      </c>
      <c r="F66" s="152" t="s">
        <v>172</v>
      </c>
      <c r="G66" s="152" t="s">
        <v>171</v>
      </c>
      <c r="H66" s="152">
        <v>9.3129390280193629</v>
      </c>
    </row>
    <row r="67" spans="1:8" x14ac:dyDescent="0.3">
      <c r="A67" s="152" t="s">
        <v>172</v>
      </c>
      <c r="B67" s="152" t="s">
        <v>171</v>
      </c>
      <c r="C67" s="152">
        <v>51.967684506670523</v>
      </c>
      <c r="F67" s="152" t="s">
        <v>172</v>
      </c>
      <c r="G67" s="152" t="s">
        <v>171</v>
      </c>
      <c r="H67" s="152">
        <v>391.58720568141808</v>
      </c>
    </row>
    <row r="68" spans="1:8" x14ac:dyDescent="0.3">
      <c r="A68" s="152" t="s">
        <v>172</v>
      </c>
      <c r="B68" s="152" t="s">
        <v>171</v>
      </c>
      <c r="C68" s="152">
        <v>17.788955062373606</v>
      </c>
      <c r="F68" s="152" t="s">
        <v>172</v>
      </c>
      <c r="G68" s="152" t="s">
        <v>171</v>
      </c>
      <c r="H68" s="152">
        <v>108.57776171198203</v>
      </c>
    </row>
    <row r="69" spans="1:8" x14ac:dyDescent="0.3">
      <c r="A69" s="152" t="s">
        <v>172</v>
      </c>
      <c r="B69" s="152" t="s">
        <v>171</v>
      </c>
      <c r="C69" s="152">
        <v>260.97229938795073</v>
      </c>
      <c r="F69" s="152" t="s">
        <v>172</v>
      </c>
      <c r="G69" s="152" t="s">
        <v>171</v>
      </c>
      <c r="H69" s="152">
        <v>1541.7713355212497</v>
      </c>
    </row>
    <row r="70" spans="1:8" x14ac:dyDescent="0.3">
      <c r="A70" s="152" t="s">
        <v>172</v>
      </c>
      <c r="B70" s="152" t="s">
        <v>171</v>
      </c>
      <c r="C70" s="152">
        <v>48.930118044517272</v>
      </c>
      <c r="F70" s="152" t="s">
        <v>172</v>
      </c>
      <c r="G70" s="152" t="s">
        <v>171</v>
      </c>
      <c r="H70" s="152">
        <v>329.22349157501213</v>
      </c>
    </row>
    <row r="71" spans="1:8" x14ac:dyDescent="0.3">
      <c r="A71" s="152" t="s">
        <v>172</v>
      </c>
      <c r="B71" s="152" t="s">
        <v>171</v>
      </c>
      <c r="C71" s="152">
        <v>46.00398674474711</v>
      </c>
      <c r="F71" s="152" t="s">
        <v>172</v>
      </c>
      <c r="G71" s="152" t="s">
        <v>171</v>
      </c>
      <c r="H71" s="152">
        <v>333.26549783410888</v>
      </c>
    </row>
    <row r="72" spans="1:8" x14ac:dyDescent="0.3">
      <c r="A72" s="152" t="s">
        <v>172</v>
      </c>
      <c r="B72" s="152" t="s">
        <v>171</v>
      </c>
      <c r="C72" s="152">
        <v>1205.3754977920723</v>
      </c>
      <c r="F72" s="152" t="s">
        <v>172</v>
      </c>
      <c r="G72" s="152" t="s">
        <v>171</v>
      </c>
      <c r="H72" s="152">
        <v>5896.302588914692</v>
      </c>
    </row>
    <row r="73" spans="1:8" x14ac:dyDescent="0.3">
      <c r="A73" s="152" t="s">
        <v>172</v>
      </c>
      <c r="B73" s="152" t="s">
        <v>171</v>
      </c>
      <c r="C73" s="152">
        <v>141.94906988723795</v>
      </c>
      <c r="F73" s="152" t="s">
        <v>172</v>
      </c>
      <c r="G73" s="152" t="s">
        <v>171</v>
      </c>
      <c r="H73" s="152">
        <v>677.97439550981392</v>
      </c>
    </row>
    <row r="74" spans="1:8" x14ac:dyDescent="0.3">
      <c r="A74" s="152" t="s">
        <v>172</v>
      </c>
      <c r="B74" s="152" t="s">
        <v>171</v>
      </c>
      <c r="C74" s="152">
        <v>29.182675818224858</v>
      </c>
      <c r="F74" s="152" t="s">
        <v>172</v>
      </c>
      <c r="G74" s="152" t="s">
        <v>171</v>
      </c>
      <c r="H74" s="152">
        <v>138.00013583278198</v>
      </c>
    </row>
    <row r="75" spans="1:8" x14ac:dyDescent="0.3">
      <c r="A75" s="152" t="s">
        <v>172</v>
      </c>
      <c r="B75" s="152" t="s">
        <v>171</v>
      </c>
      <c r="C75" s="152">
        <v>0.38712854904395189</v>
      </c>
      <c r="F75" s="152" t="s">
        <v>172</v>
      </c>
      <c r="G75" s="152" t="s">
        <v>171</v>
      </c>
      <c r="H75" s="152">
        <v>8.6896413231322711</v>
      </c>
    </row>
    <row r="76" spans="1:8" x14ac:dyDescent="0.3">
      <c r="A76" s="152" t="s">
        <v>172</v>
      </c>
      <c r="B76" s="152" t="s">
        <v>171</v>
      </c>
      <c r="C76" s="152">
        <v>2.0400252437803599</v>
      </c>
      <c r="F76" s="152" t="s">
        <v>172</v>
      </c>
      <c r="G76" s="152" t="s">
        <v>171</v>
      </c>
      <c r="H76" s="152">
        <v>11.237746017311535</v>
      </c>
    </row>
    <row r="77" spans="1:8" x14ac:dyDescent="0.3">
      <c r="A77" s="152" t="s">
        <v>172</v>
      </c>
      <c r="B77" s="152" t="s">
        <v>171</v>
      </c>
      <c r="C77" s="152">
        <v>84.238584714193053</v>
      </c>
      <c r="F77" s="152" t="s">
        <v>172</v>
      </c>
      <c r="G77" s="152" t="s">
        <v>171</v>
      </c>
      <c r="H77" s="152">
        <v>408.02340601885669</v>
      </c>
    </row>
    <row r="78" spans="1:8" x14ac:dyDescent="0.3">
      <c r="A78" s="152" t="s">
        <v>172</v>
      </c>
      <c r="B78" s="152" t="s">
        <v>171</v>
      </c>
      <c r="C78" s="152">
        <v>112.6312195829391</v>
      </c>
      <c r="F78" s="152" t="s">
        <v>172</v>
      </c>
      <c r="G78" s="152" t="s">
        <v>171</v>
      </c>
      <c r="H78" s="152">
        <v>494.36471430226624</v>
      </c>
    </row>
    <row r="79" spans="1:8" x14ac:dyDescent="0.3">
      <c r="A79" s="152" t="s">
        <v>172</v>
      </c>
      <c r="B79" s="152" t="s">
        <v>171</v>
      </c>
      <c r="C79" s="152">
        <v>4.454243204777387</v>
      </c>
      <c r="F79" s="152" t="s">
        <v>172</v>
      </c>
      <c r="G79" s="152" t="s">
        <v>171</v>
      </c>
      <c r="H79" s="152">
        <v>21.10419183082006</v>
      </c>
    </row>
    <row r="80" spans="1:8" x14ac:dyDescent="0.3">
      <c r="A80" s="152" t="s">
        <v>172</v>
      </c>
      <c r="B80" s="152" t="s">
        <v>171</v>
      </c>
      <c r="C80" s="152">
        <v>1.6120329477214752</v>
      </c>
      <c r="F80" s="152" t="s">
        <v>172</v>
      </c>
      <c r="G80" s="152" t="s">
        <v>171</v>
      </c>
      <c r="H80" s="152">
        <v>1.2482027715617046</v>
      </c>
    </row>
    <row r="81" spans="1:8" x14ac:dyDescent="0.3">
      <c r="A81" s="152" t="s">
        <v>172</v>
      </c>
      <c r="B81" s="152" t="s">
        <v>171</v>
      </c>
      <c r="C81" s="152">
        <v>0.40440609371820907</v>
      </c>
      <c r="F81" s="152" t="s">
        <v>172</v>
      </c>
      <c r="G81" s="152" t="s">
        <v>171</v>
      </c>
      <c r="H81" s="152">
        <v>0.17499897422609439</v>
      </c>
    </row>
    <row r="82" spans="1:8" x14ac:dyDescent="0.3">
      <c r="A82" s="152" t="s">
        <v>172</v>
      </c>
      <c r="B82" s="152" t="s">
        <v>171</v>
      </c>
      <c r="C82" s="152">
        <v>2.2639816400945985</v>
      </c>
      <c r="F82" s="152" t="s">
        <v>172</v>
      </c>
      <c r="G82" s="152" t="s">
        <v>171</v>
      </c>
      <c r="H82" s="152">
        <v>7.0706011892392366</v>
      </c>
    </row>
    <row r="83" spans="1:8" x14ac:dyDescent="0.3">
      <c r="A83" s="152" t="s">
        <v>172</v>
      </c>
      <c r="B83" s="152" t="s">
        <v>171</v>
      </c>
      <c r="C83" s="152">
        <v>117.60578988228413</v>
      </c>
      <c r="F83" s="152" t="s">
        <v>172</v>
      </c>
      <c r="G83" s="152" t="s">
        <v>171</v>
      </c>
      <c r="H83" s="152">
        <v>638.05037453942748</v>
      </c>
    </row>
    <row r="84" spans="1:8" x14ac:dyDescent="0.3">
      <c r="A84" s="152" t="s">
        <v>172</v>
      </c>
      <c r="B84" s="152" t="s">
        <v>171</v>
      </c>
      <c r="C84" s="152">
        <v>161.03675515143831</v>
      </c>
      <c r="F84" s="152" t="s">
        <v>172</v>
      </c>
      <c r="G84" s="152" t="s">
        <v>171</v>
      </c>
      <c r="H84" s="152">
        <v>802.175416345082</v>
      </c>
    </row>
    <row r="85" spans="1:8" x14ac:dyDescent="0.3">
      <c r="A85" s="152" t="s">
        <v>172</v>
      </c>
      <c r="B85" s="152" t="s">
        <v>171</v>
      </c>
      <c r="C85" s="152">
        <v>3.7441271412842453E-2</v>
      </c>
      <c r="F85" s="152" t="s">
        <v>172</v>
      </c>
      <c r="G85" s="152" t="s">
        <v>171</v>
      </c>
      <c r="H85" s="152">
        <v>3.5540488371974564E-2</v>
      </c>
    </row>
    <row r="86" spans="1:8" x14ac:dyDescent="0.3">
      <c r="A86" s="152" t="s">
        <v>172</v>
      </c>
      <c r="B86" s="152" t="s">
        <v>171</v>
      </c>
      <c r="C86" s="152">
        <v>0.28373043021043004</v>
      </c>
      <c r="F86" s="152" t="s">
        <v>172</v>
      </c>
      <c r="G86" s="152" t="s">
        <v>171</v>
      </c>
      <c r="H86" s="152">
        <v>2.4238382270232348</v>
      </c>
    </row>
    <row r="87" spans="1:8" x14ac:dyDescent="0.3">
      <c r="A87" s="152" t="s">
        <v>172</v>
      </c>
      <c r="B87" s="152" t="s">
        <v>171</v>
      </c>
      <c r="C87" s="152">
        <v>168.73077764721185</v>
      </c>
      <c r="F87" s="152" t="s">
        <v>172</v>
      </c>
      <c r="G87" s="152" t="s">
        <v>171</v>
      </c>
      <c r="H87" s="152">
        <v>1332.7407784625682</v>
      </c>
    </row>
    <row r="88" spans="1:8" x14ac:dyDescent="0.3">
      <c r="A88" s="152" t="s">
        <v>172</v>
      </c>
      <c r="B88" s="152" t="s">
        <v>171</v>
      </c>
      <c r="C88" s="152">
        <v>46.008458530727545</v>
      </c>
      <c r="F88" s="152" t="s">
        <v>172</v>
      </c>
      <c r="G88" s="152" t="s">
        <v>171</v>
      </c>
      <c r="H88" s="152">
        <v>260.17596502387084</v>
      </c>
    </row>
    <row r="89" spans="1:8" x14ac:dyDescent="0.3">
      <c r="A89" s="152" t="s">
        <v>172</v>
      </c>
      <c r="B89" s="152" t="s">
        <v>171</v>
      </c>
      <c r="C89" s="152">
        <v>0.1650362737633356</v>
      </c>
      <c r="F89" s="152" t="s">
        <v>172</v>
      </c>
      <c r="G89" s="152" t="s">
        <v>171</v>
      </c>
      <c r="H89" s="152">
        <v>1.5295206784988562</v>
      </c>
    </row>
    <row r="90" spans="1:8" x14ac:dyDescent="0.3">
      <c r="A90" s="152" t="s">
        <v>172</v>
      </c>
      <c r="B90" s="152" t="s">
        <v>171</v>
      </c>
      <c r="C90" s="152">
        <v>210.1941444656826</v>
      </c>
      <c r="F90" s="152" t="s">
        <v>172</v>
      </c>
      <c r="G90" s="152" t="s">
        <v>171</v>
      </c>
      <c r="H90" s="152">
        <v>1113.4231323268384</v>
      </c>
    </row>
    <row r="91" spans="1:8" x14ac:dyDescent="0.3">
      <c r="A91" s="152" t="s">
        <v>172</v>
      </c>
      <c r="B91" s="152" t="s">
        <v>171</v>
      </c>
      <c r="C91" s="152">
        <v>36.701595965876855</v>
      </c>
      <c r="F91" s="152" t="s">
        <v>172</v>
      </c>
      <c r="G91" s="152" t="s">
        <v>171</v>
      </c>
      <c r="H91" s="152">
        <v>164.72741854786079</v>
      </c>
    </row>
    <row r="92" spans="1:8" x14ac:dyDescent="0.3">
      <c r="A92" s="152" t="s">
        <v>172</v>
      </c>
      <c r="B92" s="152" t="s">
        <v>171</v>
      </c>
      <c r="C92" s="152">
        <v>0.33626742683002309</v>
      </c>
      <c r="F92" s="152" t="s">
        <v>172</v>
      </c>
      <c r="G92" s="152" t="s">
        <v>171</v>
      </c>
      <c r="H92" s="152">
        <v>0.49087625915421862</v>
      </c>
    </row>
    <row r="93" spans="1:8" x14ac:dyDescent="0.3">
      <c r="A93" s="152" t="s">
        <v>172</v>
      </c>
      <c r="B93" s="152" t="s">
        <v>171</v>
      </c>
      <c r="C93" s="152">
        <v>42.825366824022801</v>
      </c>
      <c r="F93" s="152" t="s">
        <v>172</v>
      </c>
      <c r="G93" s="152" t="s">
        <v>171</v>
      </c>
      <c r="H93" s="152">
        <v>182.50051297351655</v>
      </c>
    </row>
    <row r="94" spans="1:8" x14ac:dyDescent="0.3">
      <c r="A94" s="152" t="s">
        <v>172</v>
      </c>
      <c r="B94" s="152" t="s">
        <v>171</v>
      </c>
      <c r="C94" s="152">
        <v>7.9597069010698476E-2</v>
      </c>
      <c r="F94" s="152" t="s">
        <v>172</v>
      </c>
      <c r="G94" s="152" t="s">
        <v>171</v>
      </c>
      <c r="H94" s="152">
        <v>0.33268933563358499</v>
      </c>
    </row>
    <row r="95" spans="1:8" x14ac:dyDescent="0.3">
      <c r="A95" s="152" t="s">
        <v>172</v>
      </c>
      <c r="B95" s="152" t="s">
        <v>171</v>
      </c>
      <c r="C95" s="152">
        <v>6.6650217456745864</v>
      </c>
      <c r="F95" s="152" t="s">
        <v>172</v>
      </c>
      <c r="G95" s="152" t="s">
        <v>171</v>
      </c>
      <c r="H95" s="152">
        <v>29.689674264517407</v>
      </c>
    </row>
    <row r="96" spans="1:8" x14ac:dyDescent="0.3">
      <c r="A96" s="152" t="s">
        <v>172</v>
      </c>
      <c r="B96" s="152" t="s">
        <v>171</v>
      </c>
      <c r="C96" s="152">
        <v>0.24330140041789378</v>
      </c>
      <c r="F96" s="152" t="s">
        <v>172</v>
      </c>
      <c r="G96" s="152" t="s">
        <v>171</v>
      </c>
      <c r="H96" s="152">
        <v>2.3859501187702126</v>
      </c>
    </row>
    <row r="97" spans="1:8" x14ac:dyDescent="0.3">
      <c r="A97" s="152" t="s">
        <v>172</v>
      </c>
      <c r="B97" s="152" t="s">
        <v>171</v>
      </c>
      <c r="C97" s="152">
        <v>2.9424720131084667</v>
      </c>
      <c r="F97" s="152" t="s">
        <v>172</v>
      </c>
      <c r="G97" s="152" t="s">
        <v>171</v>
      </c>
      <c r="H97" s="152">
        <v>16.304690145319665</v>
      </c>
    </row>
    <row r="98" spans="1:8" x14ac:dyDescent="0.3">
      <c r="A98" s="152" t="s">
        <v>172</v>
      </c>
      <c r="B98" s="152" t="s">
        <v>171</v>
      </c>
      <c r="C98" s="152">
        <v>14.543776375228582</v>
      </c>
      <c r="F98" s="152" t="s">
        <v>172</v>
      </c>
      <c r="G98" s="152" t="s">
        <v>171</v>
      </c>
      <c r="H98" s="152">
        <v>100.41838178211698</v>
      </c>
    </row>
    <row r="99" spans="1:8" x14ac:dyDescent="0.3">
      <c r="A99" s="152" t="s">
        <v>172</v>
      </c>
      <c r="B99" s="152" t="s">
        <v>171</v>
      </c>
      <c r="C99" s="152">
        <v>125.23417394447408</v>
      </c>
      <c r="F99" s="152" t="s">
        <v>172</v>
      </c>
      <c r="G99" s="152" t="s">
        <v>171</v>
      </c>
      <c r="H99" s="152">
        <v>732.82316023560156</v>
      </c>
    </row>
    <row r="100" spans="1:8" x14ac:dyDescent="0.3">
      <c r="A100" s="152" t="s">
        <v>172</v>
      </c>
      <c r="B100" s="152" t="s">
        <v>171</v>
      </c>
      <c r="C100" s="152">
        <v>6.0251024322436036E-2</v>
      </c>
      <c r="F100" s="152" t="s">
        <v>172</v>
      </c>
      <c r="G100" s="152" t="s">
        <v>171</v>
      </c>
      <c r="H100" s="152">
        <v>0.53994785701965942</v>
      </c>
    </row>
    <row r="101" spans="1:8" x14ac:dyDescent="0.3">
      <c r="A101" s="152" t="s">
        <v>172</v>
      </c>
      <c r="B101" s="152" t="s">
        <v>171</v>
      </c>
      <c r="C101" s="152">
        <v>3.0027385252735646</v>
      </c>
      <c r="F101" s="152" t="s">
        <v>172</v>
      </c>
      <c r="G101" s="152" t="s">
        <v>171</v>
      </c>
      <c r="H101" s="152">
        <v>27.413796317447911</v>
      </c>
    </row>
    <row r="102" spans="1:8" x14ac:dyDescent="0.3">
      <c r="A102" s="152" t="s">
        <v>172</v>
      </c>
      <c r="B102" s="152" t="s">
        <v>171</v>
      </c>
      <c r="C102" s="152">
        <v>9.1949522452459043</v>
      </c>
      <c r="F102" s="152" t="s">
        <v>172</v>
      </c>
      <c r="G102" s="152" t="s">
        <v>171</v>
      </c>
      <c r="H102" s="152">
        <v>61.958586514287177</v>
      </c>
    </row>
    <row r="103" spans="1:8" x14ac:dyDescent="0.3">
      <c r="A103" s="152" t="s">
        <v>172</v>
      </c>
      <c r="B103" s="152" t="s">
        <v>171</v>
      </c>
      <c r="C103" s="152">
        <v>13.448171303597618</v>
      </c>
      <c r="F103" s="152" t="s">
        <v>172</v>
      </c>
      <c r="G103" s="152" t="s">
        <v>171</v>
      </c>
      <c r="H103" s="152">
        <v>92.227250949339606</v>
      </c>
    </row>
    <row r="104" spans="1:8" x14ac:dyDescent="0.3">
      <c r="A104" s="152" t="s">
        <v>172</v>
      </c>
      <c r="B104" s="152" t="s">
        <v>171</v>
      </c>
      <c r="C104" s="152">
        <v>1.7430522144542862</v>
      </c>
      <c r="F104" s="152" t="s">
        <v>172</v>
      </c>
      <c r="G104" s="152" t="s">
        <v>171</v>
      </c>
      <c r="H104" s="152">
        <v>9.8033985532210242</v>
      </c>
    </row>
    <row r="105" spans="1:8" x14ac:dyDescent="0.3">
      <c r="A105" s="152" t="s">
        <v>172</v>
      </c>
      <c r="B105" s="152" t="s">
        <v>171</v>
      </c>
      <c r="C105" s="152">
        <v>22.10610517303078</v>
      </c>
      <c r="F105" s="152" t="s">
        <v>172</v>
      </c>
      <c r="G105" s="152" t="s">
        <v>171</v>
      </c>
      <c r="H105" s="152">
        <v>127.2374286169072</v>
      </c>
    </row>
    <row r="106" spans="1:8" x14ac:dyDescent="0.3">
      <c r="A106" s="152" t="s">
        <v>172</v>
      </c>
      <c r="B106" s="152" t="s">
        <v>171</v>
      </c>
      <c r="C106" s="152">
        <v>12.67947057354279</v>
      </c>
      <c r="F106" s="152" t="s">
        <v>172</v>
      </c>
      <c r="G106" s="152" t="s">
        <v>171</v>
      </c>
      <c r="H106" s="152">
        <v>73.115836909134629</v>
      </c>
    </row>
    <row r="107" spans="1:8" x14ac:dyDescent="0.3">
      <c r="A107" s="152" t="s">
        <v>172</v>
      </c>
      <c r="B107" s="152" t="s">
        <v>171</v>
      </c>
      <c r="C107" s="152">
        <v>0.76879570928508101</v>
      </c>
      <c r="F107" s="152" t="s">
        <v>172</v>
      </c>
      <c r="G107" s="152" t="s">
        <v>171</v>
      </c>
      <c r="H107" s="152">
        <v>8.2591789956506449</v>
      </c>
    </row>
    <row r="108" spans="1:8" x14ac:dyDescent="0.3">
      <c r="C108">
        <f>SUM(C2:C107)</f>
        <v>69491.282621033199</v>
      </c>
      <c r="H108">
        <f>SUM(H2:H107)</f>
        <v>111775.02479184153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E0749-957B-4A44-8E40-88CF950182A9}">
  <dimension ref="A1:H4"/>
  <sheetViews>
    <sheetView workbookViewId="0">
      <selection activeCell="C2" sqref="C2:C4"/>
    </sheetView>
  </sheetViews>
  <sheetFormatPr defaultRowHeight="14.4" x14ac:dyDescent="0.3"/>
  <sheetData>
    <row r="1" spans="1:8" x14ac:dyDescent="0.3">
      <c r="A1" s="85" t="s">
        <v>163</v>
      </c>
      <c r="B1" s="85" t="s">
        <v>164</v>
      </c>
      <c r="C1" s="85" t="s">
        <v>165</v>
      </c>
      <c r="F1" s="55" t="s">
        <v>163</v>
      </c>
      <c r="G1" s="55" t="s">
        <v>164</v>
      </c>
      <c r="H1" s="55" t="s">
        <v>165</v>
      </c>
    </row>
    <row r="2" spans="1:8" x14ac:dyDescent="0.3">
      <c r="A2" s="86">
        <v>1</v>
      </c>
      <c r="B2" s="86">
        <v>4</v>
      </c>
      <c r="C2" s="87">
        <v>2.0982118947058636E-4</v>
      </c>
      <c r="F2" s="56">
        <v>1</v>
      </c>
      <c r="G2" s="56">
        <v>4</v>
      </c>
      <c r="H2" s="57">
        <v>4.5044175367666431E-2</v>
      </c>
    </row>
    <row r="3" spans="1:8" x14ac:dyDescent="0.3">
      <c r="A3" s="131">
        <v>1</v>
      </c>
      <c r="B3" s="131">
        <v>4</v>
      </c>
      <c r="C3" s="132">
        <v>0.11830651938805616</v>
      </c>
      <c r="F3">
        <v>1</v>
      </c>
      <c r="G3">
        <v>4</v>
      </c>
      <c r="H3">
        <v>0.62375987099999997</v>
      </c>
    </row>
    <row r="4" spans="1:8" x14ac:dyDescent="0.3">
      <c r="C4">
        <f>SUM(C2:C3)</f>
        <v>0.11851634057752675</v>
      </c>
      <c r="H4">
        <f>SUM(H2:H3)</f>
        <v>0.66880404636766644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515B5-C562-4567-9F61-2792C7A18356}">
  <dimension ref="A1:H4"/>
  <sheetViews>
    <sheetView workbookViewId="0">
      <selection activeCell="C2" sqref="C2:C4"/>
    </sheetView>
  </sheetViews>
  <sheetFormatPr defaultRowHeight="14.4" x14ac:dyDescent="0.3"/>
  <sheetData>
    <row r="1" spans="1:8" x14ac:dyDescent="0.3">
      <c r="A1" s="88" t="s">
        <v>163</v>
      </c>
      <c r="B1" s="88" t="s">
        <v>164</v>
      </c>
      <c r="C1" s="88" t="s">
        <v>165</v>
      </c>
      <c r="F1" s="58" t="s">
        <v>163</v>
      </c>
      <c r="G1" s="58" t="s">
        <v>164</v>
      </c>
      <c r="H1" s="58" t="s">
        <v>165</v>
      </c>
    </row>
    <row r="2" spans="1:8" x14ac:dyDescent="0.3">
      <c r="A2" s="89">
        <v>1</v>
      </c>
      <c r="B2" s="89">
        <v>4</v>
      </c>
      <c r="C2" s="90">
        <v>2.0982118947058636E-4</v>
      </c>
      <c r="F2" s="59">
        <v>1</v>
      </c>
      <c r="G2" s="59">
        <v>4</v>
      </c>
      <c r="H2" s="60">
        <v>4.5044175367666431E-2</v>
      </c>
    </row>
    <row r="3" spans="1:8" x14ac:dyDescent="0.3">
      <c r="A3" s="133">
        <v>1</v>
      </c>
      <c r="B3" s="133">
        <v>4</v>
      </c>
      <c r="C3" s="134">
        <v>0.11830652785027733</v>
      </c>
      <c r="F3" s="115">
        <v>1</v>
      </c>
      <c r="G3" s="115">
        <v>4</v>
      </c>
      <c r="H3" s="116">
        <v>0.6237599022939283</v>
      </c>
    </row>
    <row r="4" spans="1:8" x14ac:dyDescent="0.3">
      <c r="C4">
        <f>SUM(C2:C3)</f>
        <v>0.11851634903974792</v>
      </c>
      <c r="H4">
        <f>SUM(H2:H3)</f>
        <v>0.66880407766159478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35849-B807-4A8F-8438-7634D068A40B}">
  <dimension ref="A1:H4"/>
  <sheetViews>
    <sheetView workbookViewId="0">
      <selection activeCell="C2" sqref="C2:C4"/>
    </sheetView>
  </sheetViews>
  <sheetFormatPr defaultRowHeight="14.4" x14ac:dyDescent="0.3"/>
  <sheetData>
    <row r="1" spans="1:8" x14ac:dyDescent="0.3">
      <c r="A1" s="91" t="s">
        <v>163</v>
      </c>
      <c r="B1" s="91" t="s">
        <v>164</v>
      </c>
      <c r="C1" s="91" t="s">
        <v>165</v>
      </c>
      <c r="F1" s="61" t="s">
        <v>163</v>
      </c>
      <c r="G1" s="61" t="s">
        <v>164</v>
      </c>
      <c r="H1" s="61" t="s">
        <v>165</v>
      </c>
    </row>
    <row r="2" spans="1:8" x14ac:dyDescent="0.3">
      <c r="A2" s="92">
        <v>1</v>
      </c>
      <c r="B2" s="92">
        <v>4</v>
      </c>
      <c r="C2" s="93">
        <v>2.0982118947058636E-4</v>
      </c>
      <c r="F2" s="62">
        <v>1</v>
      </c>
      <c r="G2" s="62">
        <v>4</v>
      </c>
      <c r="H2" s="63">
        <v>4.5044175367666431E-2</v>
      </c>
    </row>
    <row r="3" spans="1:8" x14ac:dyDescent="0.3">
      <c r="A3" s="135">
        <v>1</v>
      </c>
      <c r="B3" s="135">
        <v>4</v>
      </c>
      <c r="C3" s="136">
        <v>0.11830652785027733</v>
      </c>
      <c r="F3" s="115">
        <v>1</v>
      </c>
      <c r="G3" s="115">
        <v>4</v>
      </c>
      <c r="H3" s="116">
        <v>0.6237599022939283</v>
      </c>
    </row>
    <row r="4" spans="1:8" x14ac:dyDescent="0.3">
      <c r="C4">
        <f>SUM(C2:C3)</f>
        <v>0.11851634903974792</v>
      </c>
      <c r="H4">
        <f>SUM(H2:H3)</f>
        <v>0.66880407766159478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B1E75-50AC-43A6-826E-0263F9318D0A}">
  <dimension ref="A1:H4"/>
  <sheetViews>
    <sheetView workbookViewId="0">
      <selection activeCell="C2" sqref="C2:C4"/>
    </sheetView>
  </sheetViews>
  <sheetFormatPr defaultRowHeight="14.4" x14ac:dyDescent="0.3"/>
  <sheetData>
    <row r="1" spans="1:8" x14ac:dyDescent="0.3">
      <c r="A1" s="94" t="s">
        <v>163</v>
      </c>
      <c r="B1" s="94" t="s">
        <v>164</v>
      </c>
      <c r="C1" s="94" t="s">
        <v>165</v>
      </c>
      <c r="F1" s="64" t="s">
        <v>163</v>
      </c>
      <c r="G1" s="64" t="s">
        <v>164</v>
      </c>
      <c r="H1" s="64" t="s">
        <v>165</v>
      </c>
    </row>
    <row r="2" spans="1:8" x14ac:dyDescent="0.3">
      <c r="A2" s="95">
        <v>1</v>
      </c>
      <c r="B2" s="95">
        <v>29</v>
      </c>
      <c r="C2" s="96">
        <v>5.2116601129712579E-2</v>
      </c>
      <c r="F2" s="65">
        <v>1</v>
      </c>
      <c r="G2" s="65">
        <v>29</v>
      </c>
      <c r="H2" s="66">
        <v>0.69736280308757914</v>
      </c>
    </row>
    <row r="3" spans="1:8" x14ac:dyDescent="0.3">
      <c r="A3" s="137">
        <v>1</v>
      </c>
      <c r="B3" s="137">
        <v>29</v>
      </c>
      <c r="C3" s="138">
        <v>7.8131573690635125</v>
      </c>
      <c r="F3" s="117">
        <v>1</v>
      </c>
      <c r="G3" s="117">
        <v>29</v>
      </c>
      <c r="H3" s="118">
        <v>11.988927724748686</v>
      </c>
    </row>
    <row r="4" spans="1:8" x14ac:dyDescent="0.3">
      <c r="C4">
        <f>SUM(C2:C3)</f>
        <v>7.8652739701932255</v>
      </c>
      <c r="H4">
        <f>SUM(H2:H3)</f>
        <v>12.686290527836265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6C94B-3324-4DA4-B45F-976D32173B32}">
  <dimension ref="A1:H4"/>
  <sheetViews>
    <sheetView workbookViewId="0">
      <selection activeCell="C2" sqref="C2:C4"/>
    </sheetView>
  </sheetViews>
  <sheetFormatPr defaultRowHeight="14.4" x14ac:dyDescent="0.3"/>
  <sheetData>
    <row r="1" spans="1:8" x14ac:dyDescent="0.3">
      <c r="A1" s="97" t="s">
        <v>163</v>
      </c>
      <c r="B1" s="97" t="s">
        <v>164</v>
      </c>
      <c r="C1" s="97" t="s">
        <v>165</v>
      </c>
      <c r="F1" s="67" t="s">
        <v>163</v>
      </c>
      <c r="G1" s="67" t="s">
        <v>164</v>
      </c>
      <c r="H1" s="67" t="s">
        <v>165</v>
      </c>
    </row>
    <row r="2" spans="1:8" x14ac:dyDescent="0.3">
      <c r="A2" s="98">
        <v>1</v>
      </c>
      <c r="B2" s="98">
        <v>24</v>
      </c>
      <c r="C2" s="99">
        <v>0.99341573725558197</v>
      </c>
      <c r="F2" s="68">
        <v>1</v>
      </c>
      <c r="G2" s="68">
        <v>24</v>
      </c>
      <c r="H2" s="69">
        <v>200.40604894282347</v>
      </c>
    </row>
    <row r="3" spans="1:8" x14ac:dyDescent="0.3">
      <c r="A3" s="139">
        <v>1</v>
      </c>
      <c r="B3" s="139">
        <v>24</v>
      </c>
      <c r="C3" s="140">
        <v>0.87618541018901763</v>
      </c>
      <c r="F3" s="119">
        <v>1</v>
      </c>
      <c r="G3" s="119">
        <v>24</v>
      </c>
      <c r="H3" s="120">
        <v>46.442372554341006</v>
      </c>
    </row>
    <row r="4" spans="1:8" x14ac:dyDescent="0.3">
      <c r="C4">
        <f>SUM(C2:C3)</f>
        <v>1.8696011474445995</v>
      </c>
      <c r="H4">
        <f>SUM(H2:H3)</f>
        <v>246.84842149716448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3C0F7-0BFB-49A6-9A0E-58720043BFE3}">
  <dimension ref="A1:H4"/>
  <sheetViews>
    <sheetView workbookViewId="0">
      <selection activeCell="C2" sqref="C2:C4"/>
    </sheetView>
  </sheetViews>
  <sheetFormatPr defaultRowHeight="14.4" x14ac:dyDescent="0.3"/>
  <sheetData>
    <row r="1" spans="1:8" x14ac:dyDescent="0.3">
      <c r="A1" s="100" t="s">
        <v>163</v>
      </c>
      <c r="B1" s="100" t="s">
        <v>164</v>
      </c>
      <c r="C1" s="100" t="s">
        <v>165</v>
      </c>
      <c r="F1" s="70" t="s">
        <v>163</v>
      </c>
      <c r="G1" s="70" t="s">
        <v>164</v>
      </c>
      <c r="H1" s="70" t="s">
        <v>165</v>
      </c>
    </row>
    <row r="2" spans="1:8" x14ac:dyDescent="0.3">
      <c r="A2" s="101">
        <v>1</v>
      </c>
      <c r="B2" s="101">
        <v>103</v>
      </c>
      <c r="C2" s="102">
        <v>4.3432094245537067</v>
      </c>
      <c r="F2" s="71">
        <v>1</v>
      </c>
      <c r="G2" s="71">
        <v>103</v>
      </c>
      <c r="H2" s="72">
        <v>681.26875343150436</v>
      </c>
    </row>
    <row r="3" spans="1:8" x14ac:dyDescent="0.3">
      <c r="A3" s="141">
        <v>1</v>
      </c>
      <c r="B3" s="141">
        <v>103</v>
      </c>
      <c r="C3" s="142">
        <v>2.3458493193891266</v>
      </c>
      <c r="F3" s="121">
        <v>1</v>
      </c>
      <c r="G3" s="121">
        <v>103</v>
      </c>
      <c r="H3" s="122">
        <v>28.620697449633564</v>
      </c>
    </row>
    <row r="4" spans="1:8" x14ac:dyDescent="0.3">
      <c r="C4">
        <f>SUM(C2:C3)</f>
        <v>6.6890587439428337</v>
      </c>
      <c r="H4">
        <f>SUM(H2:H3)</f>
        <v>709.88945088113792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Summary</vt:lpstr>
      <vt:lpstr>Wet detention pond calcs</vt:lpstr>
      <vt:lpstr>01</vt:lpstr>
      <vt:lpstr>20</vt:lpstr>
      <vt:lpstr>21</vt:lpstr>
      <vt:lpstr>22</vt:lpstr>
      <vt:lpstr>23</vt:lpstr>
      <vt:lpstr>25</vt:lpstr>
      <vt:lpstr>26</vt:lpstr>
      <vt:lpstr>27</vt:lpstr>
      <vt:lpstr>28</vt:lpstr>
      <vt:lpstr>47</vt:lpstr>
      <vt:lpstr>58</vt:lpstr>
      <vt:lpstr>Summary!Print_Titles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cp:lastPrinted>2014-02-16T20:30:01Z</cp:lastPrinted>
  <dcterms:created xsi:type="dcterms:W3CDTF">2013-09-17T19:44:31Z</dcterms:created>
  <dcterms:modified xsi:type="dcterms:W3CDTF">2020-01-10T17:57:20Z</dcterms:modified>
</cp:coreProperties>
</file>