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marcy.frick\Documents\Projects\FDEP Facilitation\Lake Okeechobee\Project Collection\01 Credit\"/>
    </mc:Choice>
  </mc:AlternateContent>
  <xr:revisionPtr revIDLastSave="0" documentId="13_ncr:1_{B6290443-B905-4EAD-B16E-6720E2EB2DA3}" xr6:coauthVersionLast="36" xr6:coauthVersionMax="36" xr10:uidLastSave="{00000000-0000-0000-0000-000000000000}"/>
  <bookViews>
    <workbookView xWindow="0" yWindow="0" windowWidth="28800" windowHeight="12432" xr2:uid="{00000000-000D-0000-FFFF-FFFF00000000}"/>
  </bookViews>
  <sheets>
    <sheet name="Summary" sheetId="1" r:id="rId1"/>
    <sheet name="Wet detention pond calcs" sheetId="2" r:id="rId2"/>
    <sheet name="Retention calcs" sheetId="3" r:id="rId3"/>
    <sheet name="Reuse calcs" sheetId="4" r:id="rId4"/>
    <sheet name="01" sheetId="5" r:id="rId5"/>
    <sheet name="02" sheetId="6" r:id="rId6"/>
    <sheet name="03" sheetId="7" r:id="rId7"/>
    <sheet name="04" sheetId="8" r:id="rId8"/>
    <sheet name="05" sheetId="9" r:id="rId9"/>
    <sheet name="06" sheetId="10" r:id="rId10"/>
    <sheet name="07" sheetId="11" r:id="rId11"/>
    <sheet name="08" sheetId="12" r:id="rId12"/>
    <sheet name="09" sheetId="13" r:id="rId13"/>
    <sheet name="10" sheetId="38" r:id="rId14"/>
    <sheet name="11" sheetId="37" r:id="rId15"/>
    <sheet name="12" sheetId="15" r:id="rId16"/>
    <sheet name="13" sheetId="16" r:id="rId17"/>
    <sheet name="14" sheetId="17" r:id="rId18"/>
    <sheet name="15" sheetId="18" r:id="rId19"/>
    <sheet name="16" sheetId="19" r:id="rId20"/>
    <sheet name="17" sheetId="20" r:id="rId21"/>
    <sheet name="18" sheetId="21" r:id="rId22"/>
    <sheet name="19" sheetId="22" r:id="rId23"/>
    <sheet name="20" sheetId="23" r:id="rId24"/>
    <sheet name="22" sheetId="25" r:id="rId25"/>
    <sheet name="23" sheetId="26" r:id="rId26"/>
    <sheet name="24" sheetId="27" r:id="rId27"/>
    <sheet name="25" sheetId="28" r:id="rId28"/>
    <sheet name="26" sheetId="29" r:id="rId29"/>
    <sheet name="27" sheetId="30" r:id="rId30"/>
    <sheet name="28" sheetId="31" r:id="rId31"/>
    <sheet name="29" sheetId="32" r:id="rId32"/>
    <sheet name="30" sheetId="33" r:id="rId33"/>
    <sheet name="31" sheetId="34" r:id="rId34"/>
    <sheet name="32" sheetId="35" r:id="rId35"/>
    <sheet name="33" sheetId="36" r:id="rId36"/>
  </sheets>
  <definedNames>
    <definedName name="_xlnm._FilterDatabase" localSheetId="0" hidden="1">Summary!$A$1:$R$33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11" i="1" l="1"/>
  <c r="H11" i="1"/>
  <c r="H98" i="38"/>
  <c r="C98" i="38"/>
  <c r="M12" i="1" l="1"/>
  <c r="H12" i="1"/>
  <c r="C20" i="37"/>
  <c r="H20" i="37"/>
  <c r="M34" i="1" l="1"/>
  <c r="H34" i="1"/>
  <c r="M33" i="1"/>
  <c r="H33" i="1"/>
  <c r="M32" i="1"/>
  <c r="H32" i="1"/>
  <c r="M31" i="1"/>
  <c r="H31" i="1"/>
  <c r="M30" i="1"/>
  <c r="H30" i="1"/>
  <c r="M29" i="1"/>
  <c r="H29" i="1"/>
  <c r="M28" i="1"/>
  <c r="H28" i="1"/>
  <c r="M27" i="1"/>
  <c r="H27" i="1"/>
  <c r="M26" i="1"/>
  <c r="H26" i="1"/>
  <c r="M25" i="1"/>
  <c r="H25" i="1"/>
  <c r="M24" i="1"/>
  <c r="H24" i="1"/>
  <c r="M23" i="1"/>
  <c r="H23" i="1"/>
  <c r="C4" i="36" l="1"/>
  <c r="C4" i="35"/>
  <c r="C4" i="34"/>
  <c r="C4" i="33"/>
  <c r="C4" i="32"/>
  <c r="C4" i="31"/>
  <c r="C4" i="30"/>
  <c r="C4" i="29"/>
  <c r="C4" i="28"/>
  <c r="C4" i="27"/>
  <c r="C4" i="26"/>
  <c r="C4" i="25"/>
  <c r="H4" i="36"/>
  <c r="H4" i="35"/>
  <c r="H4" i="34"/>
  <c r="H4" i="33"/>
  <c r="H4" i="32"/>
  <c r="H4" i="31"/>
  <c r="H4" i="30"/>
  <c r="H4" i="29"/>
  <c r="H4" i="28"/>
  <c r="H4" i="27"/>
  <c r="H4" i="26"/>
  <c r="H4" i="25"/>
  <c r="M21" i="1"/>
  <c r="I21" i="1"/>
  <c r="M20" i="1"/>
  <c r="I20" i="1"/>
  <c r="M19" i="1"/>
  <c r="I19" i="1"/>
  <c r="M18" i="1"/>
  <c r="I18" i="1"/>
  <c r="M17" i="1"/>
  <c r="I17" i="1"/>
  <c r="M16" i="1"/>
  <c r="I16" i="1"/>
  <c r="M15" i="1"/>
  <c r="I15" i="1"/>
  <c r="M14" i="1"/>
  <c r="I14" i="1"/>
  <c r="M13" i="1"/>
  <c r="I13" i="1"/>
  <c r="C4" i="23"/>
  <c r="C4" i="22"/>
  <c r="C4" i="21"/>
  <c r="C4" i="20"/>
  <c r="C4" i="19"/>
  <c r="C4" i="18"/>
  <c r="C4" i="17"/>
  <c r="C4" i="16"/>
  <c r="C4" i="15"/>
  <c r="H4" i="23"/>
  <c r="H4" i="22"/>
  <c r="H4" i="21"/>
  <c r="H4" i="20"/>
  <c r="H4" i="19"/>
  <c r="H4" i="18"/>
  <c r="H4" i="17"/>
  <c r="H4" i="16"/>
  <c r="H4" i="15"/>
  <c r="M10" i="1"/>
  <c r="M9" i="1"/>
  <c r="M8" i="1"/>
  <c r="M7" i="1"/>
  <c r="M6" i="1"/>
  <c r="H10" i="1"/>
  <c r="H9" i="1"/>
  <c r="H8" i="1"/>
  <c r="H7" i="1"/>
  <c r="I7" i="1" s="1"/>
  <c r="H6" i="1"/>
  <c r="I6" i="1" s="1"/>
  <c r="H5" i="1"/>
  <c r="I5" i="1" s="1"/>
  <c r="H4" i="1"/>
  <c r="I4" i="1" s="1"/>
  <c r="H3" i="1"/>
  <c r="I3" i="1" s="1"/>
  <c r="H2" i="1"/>
  <c r="I2" i="1" s="1"/>
  <c r="M5" i="1"/>
  <c r="M4" i="1"/>
  <c r="M3" i="1"/>
  <c r="M2" i="1"/>
  <c r="C4" i="13"/>
  <c r="C4" i="12"/>
  <c r="C4" i="11"/>
  <c r="C4" i="10"/>
  <c r="C4" i="9"/>
  <c r="C4" i="8"/>
  <c r="C4" i="7"/>
  <c r="C4" i="6"/>
  <c r="C4" i="5"/>
  <c r="H4" i="13"/>
  <c r="H4" i="12"/>
  <c r="H4" i="11"/>
  <c r="H4" i="10"/>
  <c r="H4" i="9"/>
  <c r="H4" i="8"/>
  <c r="H4" i="7"/>
  <c r="H4" i="6"/>
  <c r="H4" i="5"/>
  <c r="P22" i="1" l="1"/>
  <c r="K22" i="1"/>
  <c r="Q22" i="1" l="1"/>
  <c r="N3" i="1"/>
  <c r="N4" i="1"/>
  <c r="N5" i="1"/>
  <c r="N6" i="1"/>
  <c r="N7" i="1"/>
  <c r="N8" i="1"/>
  <c r="N9" i="1"/>
  <c r="N10" i="1"/>
  <c r="N11" i="1"/>
  <c r="N12" i="1"/>
  <c r="N13" i="1"/>
  <c r="N14" i="1"/>
  <c r="N15" i="1"/>
  <c r="N16" i="1"/>
  <c r="N17" i="1"/>
  <c r="N18" i="1"/>
  <c r="N19" i="1"/>
  <c r="N20" i="1"/>
  <c r="N21" i="1"/>
  <c r="N23" i="1"/>
  <c r="N24" i="1"/>
  <c r="P24" i="1" s="1"/>
  <c r="N25" i="1"/>
  <c r="P25" i="1" s="1"/>
  <c r="Q25" i="1" s="1"/>
  <c r="N26" i="1"/>
  <c r="P26" i="1" s="1"/>
  <c r="Q26" i="1" s="1"/>
  <c r="N27" i="1"/>
  <c r="P27" i="1" s="1"/>
  <c r="Q27" i="1" s="1"/>
  <c r="N28" i="1"/>
  <c r="P28" i="1" s="1"/>
  <c r="Q28" i="1" s="1"/>
  <c r="N29" i="1"/>
  <c r="P29" i="1" s="1"/>
  <c r="Q29" i="1" s="1"/>
  <c r="N30" i="1"/>
  <c r="N31" i="1"/>
  <c r="N32" i="1"/>
  <c r="N33" i="1"/>
  <c r="N34" i="1"/>
  <c r="P34" i="1" s="1"/>
  <c r="Q34" i="1" s="1"/>
  <c r="L22" i="1"/>
  <c r="I8" i="1"/>
  <c r="I9" i="1"/>
  <c r="I10" i="1"/>
  <c r="I11" i="1"/>
  <c r="I12" i="1"/>
  <c r="I23" i="1"/>
  <c r="I24" i="1"/>
  <c r="K24" i="1" s="1"/>
  <c r="L24" i="1" s="1"/>
  <c r="I25" i="1"/>
  <c r="K25" i="1" s="1"/>
  <c r="I26" i="1"/>
  <c r="K26" i="1" s="1"/>
  <c r="L26" i="1" s="1"/>
  <c r="I27" i="1"/>
  <c r="K27" i="1" s="1"/>
  <c r="L27" i="1" s="1"/>
  <c r="I28" i="1"/>
  <c r="K28" i="1" s="1"/>
  <c r="L28" i="1" s="1"/>
  <c r="I29" i="1"/>
  <c r="K29" i="1" s="1"/>
  <c r="L29" i="1" s="1"/>
  <c r="I30" i="1"/>
  <c r="I31" i="1"/>
  <c r="I32" i="1"/>
  <c r="I33" i="1"/>
  <c r="I34" i="1"/>
  <c r="K34" i="1" s="1"/>
  <c r="N2" i="1"/>
  <c r="E3" i="1"/>
  <c r="E4" i="1"/>
  <c r="E5" i="1"/>
  <c r="E6" i="1"/>
  <c r="E7" i="1"/>
  <c r="E8" i="1"/>
  <c r="E9" i="1"/>
  <c r="E10" i="1"/>
  <c r="E11" i="1"/>
  <c r="E12" i="1"/>
  <c r="E13" i="1"/>
  <c r="E14" i="1"/>
  <c r="E15" i="1"/>
  <c r="E16" i="1"/>
  <c r="E17" i="1"/>
  <c r="E18" i="1"/>
  <c r="E19" i="1"/>
  <c r="E20" i="1"/>
  <c r="E21" i="1"/>
  <c r="E23" i="1"/>
  <c r="E24" i="1"/>
  <c r="E25" i="1"/>
  <c r="E26" i="1"/>
  <c r="E27" i="1"/>
  <c r="E28" i="1"/>
  <c r="E29" i="1"/>
  <c r="E30" i="1"/>
  <c r="E31" i="1"/>
  <c r="E32" i="1"/>
  <c r="E33" i="1"/>
  <c r="E34" i="1"/>
  <c r="E2" i="1"/>
  <c r="L34" i="1" l="1"/>
  <c r="L25" i="1"/>
  <c r="P12" i="1"/>
  <c r="Q12" i="1" s="1"/>
  <c r="Q24" i="1" l="1"/>
  <c r="P11" i="1"/>
  <c r="Q11" i="1" s="1"/>
  <c r="K12" i="1" l="1"/>
  <c r="L12" i="1" s="1"/>
  <c r="O21" i="1"/>
  <c r="P21" i="1" s="1"/>
  <c r="Q21" i="1" s="1"/>
  <c r="O20" i="1"/>
  <c r="P20" i="1" s="1"/>
  <c r="Q20" i="1" s="1"/>
  <c r="O19" i="1"/>
  <c r="P19" i="1" s="1"/>
  <c r="Q19" i="1" s="1"/>
  <c r="O18" i="1"/>
  <c r="P18" i="1" s="1"/>
  <c r="Q18" i="1" s="1"/>
  <c r="O17" i="1"/>
  <c r="P17" i="1" s="1"/>
  <c r="Q17" i="1" s="1"/>
  <c r="O16" i="1"/>
  <c r="P16" i="1" s="1"/>
  <c r="Q16" i="1" s="1"/>
  <c r="O15" i="1"/>
  <c r="P15" i="1" s="1"/>
  <c r="Q15" i="1" s="1"/>
  <c r="O14" i="1"/>
  <c r="P14" i="1" s="1"/>
  <c r="Q14" i="1" s="1"/>
  <c r="O13" i="1"/>
  <c r="P13" i="1" s="1"/>
  <c r="Q13" i="1" s="1"/>
  <c r="J21" i="1"/>
  <c r="K21" i="1" s="1"/>
  <c r="L21" i="1" s="1"/>
  <c r="J20" i="1"/>
  <c r="K20" i="1" s="1"/>
  <c r="L20" i="1" s="1"/>
  <c r="J19" i="1"/>
  <c r="K19" i="1" s="1"/>
  <c r="L19" i="1" s="1"/>
  <c r="J18" i="1"/>
  <c r="K18" i="1" s="1"/>
  <c r="L18" i="1" s="1"/>
  <c r="J17" i="1"/>
  <c r="K17" i="1" s="1"/>
  <c r="L17" i="1" s="1"/>
  <c r="J16" i="1"/>
  <c r="K16" i="1" s="1"/>
  <c r="L16" i="1" s="1"/>
  <c r="J15" i="1"/>
  <c r="K15" i="1" s="1"/>
  <c r="L15" i="1" s="1"/>
  <c r="J14" i="1"/>
  <c r="K14" i="1" s="1"/>
  <c r="L14" i="1" s="1"/>
  <c r="O33" i="1"/>
  <c r="P33" i="1" s="1"/>
  <c r="Q33" i="1" s="1"/>
  <c r="O32" i="1"/>
  <c r="P32" i="1" s="1"/>
  <c r="Q32" i="1" s="1"/>
  <c r="O31" i="1"/>
  <c r="P31" i="1" s="1"/>
  <c r="Q31" i="1" s="1"/>
  <c r="O30" i="1"/>
  <c r="P30" i="1" s="1"/>
  <c r="Q30" i="1" s="1"/>
  <c r="J33" i="1"/>
  <c r="K33" i="1" s="1"/>
  <c r="L33" i="1" s="1"/>
  <c r="J32" i="1"/>
  <c r="K32" i="1" s="1"/>
  <c r="L32" i="1" s="1"/>
  <c r="J31" i="1"/>
  <c r="K31" i="1" s="1"/>
  <c r="L31" i="1" s="1"/>
  <c r="J30" i="1"/>
  <c r="K30" i="1" s="1"/>
  <c r="L30" i="1" s="1"/>
  <c r="J13" i="1"/>
  <c r="K13" i="1" s="1"/>
  <c r="L13" i="1" s="1"/>
  <c r="K11" i="1" l="1"/>
  <c r="L11" i="1" s="1"/>
  <c r="D54" i="2"/>
  <c r="B54" i="2"/>
  <c r="D57" i="2"/>
  <c r="B57" i="2"/>
  <c r="D56" i="2" l="1"/>
  <c r="B56" i="2"/>
  <c r="F56" i="2" s="1"/>
  <c r="J23" i="1" s="1"/>
  <c r="K23" i="1" s="1"/>
  <c r="L23" i="1" s="1"/>
  <c r="F57" i="2"/>
  <c r="O23" i="1" s="1"/>
  <c r="P23" i="1" s="1"/>
  <c r="Q23" i="1" s="1"/>
  <c r="B12" i="4" l="1"/>
  <c r="C12" i="4" s="1"/>
  <c r="E12" i="4" s="1"/>
  <c r="C15" i="4"/>
  <c r="E15" i="4" s="1"/>
  <c r="B16" i="4"/>
  <c r="C16" i="4" s="1"/>
  <c r="E16" i="4" s="1"/>
  <c r="B15" i="4"/>
  <c r="B14" i="4"/>
  <c r="C14" i="4" s="1"/>
  <c r="E14" i="4" s="1"/>
  <c r="B13" i="4"/>
  <c r="C13" i="4" s="1"/>
  <c r="E13" i="4" s="1"/>
  <c r="B3" i="4"/>
  <c r="C3" i="4" s="1"/>
  <c r="E3" i="4" s="1"/>
  <c r="B7" i="4"/>
  <c r="C7" i="4" l="1"/>
  <c r="E7" i="4" s="1"/>
  <c r="B11" i="4"/>
  <c r="C11" i="4" s="1"/>
  <c r="E11" i="4" s="1"/>
  <c r="B10" i="4"/>
  <c r="C10" i="4" s="1"/>
  <c r="E10" i="4" s="1"/>
  <c r="B9" i="4"/>
  <c r="C9" i="4" s="1"/>
  <c r="E9" i="4" s="1"/>
  <c r="B8" i="4"/>
  <c r="C8" i="4" s="1"/>
  <c r="E8" i="4" s="1"/>
  <c r="B6" i="4"/>
  <c r="C6" i="4" s="1"/>
  <c r="E6" i="4" s="1"/>
  <c r="B5" i="4"/>
  <c r="C5" i="4" s="1"/>
  <c r="E5" i="4" s="1"/>
  <c r="B4" i="4"/>
  <c r="C4" i="4" s="1"/>
  <c r="E4" i="4" s="1"/>
  <c r="B2" i="4"/>
  <c r="C2" i="4" s="1"/>
  <c r="E2" i="4" s="1"/>
  <c r="D17" i="3" l="1"/>
  <c r="D18" i="3" s="1"/>
  <c r="B17" i="3"/>
  <c r="B18" i="3" s="1"/>
  <c r="D12" i="3"/>
  <c r="D13" i="3" s="1"/>
  <c r="B12" i="3"/>
  <c r="B13" i="3" s="1"/>
  <c r="D7" i="3"/>
  <c r="B7" i="3"/>
  <c r="B8" i="3" s="1"/>
  <c r="F18" i="3" l="1"/>
  <c r="P9" i="1"/>
  <c r="Q9" i="1" s="1"/>
  <c r="K9" i="1"/>
  <c r="L9" i="1" s="1"/>
  <c r="P8" i="1"/>
  <c r="Q8" i="1" s="1"/>
  <c r="K8" i="1"/>
  <c r="L8" i="1" s="1"/>
  <c r="F7" i="3"/>
  <c r="F17" i="3"/>
  <c r="F13" i="3"/>
  <c r="F12" i="3"/>
  <c r="D8" i="3"/>
  <c r="F8" i="3" s="1"/>
  <c r="P7" i="1" s="1"/>
  <c r="Q7" i="1" s="1"/>
  <c r="K7" i="1" l="1"/>
  <c r="L7" i="1" s="1"/>
  <c r="B39" i="2"/>
  <c r="B41" i="2"/>
  <c r="B42" i="2" l="1"/>
  <c r="J6" i="1" s="1"/>
  <c r="K6" i="1" s="1"/>
  <c r="L6" i="1" s="1"/>
  <c r="B43" i="2"/>
  <c r="O6" i="1" s="1"/>
  <c r="P6" i="1" s="1"/>
  <c r="Q6" i="1" s="1"/>
  <c r="F3" i="3"/>
  <c r="D2" i="3"/>
  <c r="F2" i="3" s="1"/>
  <c r="B49" i="2"/>
  <c r="J10" i="1" s="1"/>
  <c r="K10" i="1" s="1"/>
  <c r="L10" i="1" s="1"/>
  <c r="B48" i="2"/>
  <c r="O10" i="1" s="1"/>
  <c r="P10" i="1" s="1"/>
  <c r="Q10" i="1" s="1"/>
  <c r="D34" i="2"/>
  <c r="B34" i="2"/>
  <c r="D33" i="2"/>
  <c r="B33" i="2"/>
  <c r="D28" i="2"/>
  <c r="B28" i="2"/>
  <c r="D27" i="2"/>
  <c r="B27" i="2"/>
  <c r="F27" i="2" s="1"/>
  <c r="O4" i="1" s="1"/>
  <c r="P4" i="1" s="1"/>
  <c r="Q4" i="1" s="1"/>
  <c r="D22" i="2"/>
  <c r="B22" i="2"/>
  <c r="D21" i="2"/>
  <c r="B21" i="2"/>
  <c r="F21" i="2" s="1"/>
  <c r="O3" i="1" s="1"/>
  <c r="P3" i="1" s="1"/>
  <c r="Q3" i="1" s="1"/>
  <c r="D16" i="2"/>
  <c r="B16" i="2"/>
  <c r="F16" i="2" s="1"/>
  <c r="D15" i="2"/>
  <c r="B15" i="2"/>
  <c r="F15" i="2" s="1"/>
  <c r="D11" i="2"/>
  <c r="B11" i="2"/>
  <c r="F11" i="2" s="1"/>
  <c r="I11" i="2" s="1"/>
  <c r="J2" i="1" s="1"/>
  <c r="K2" i="1" s="1"/>
  <c r="D10" i="2"/>
  <c r="B10" i="2"/>
  <c r="D5" i="2"/>
  <c r="B5" i="2"/>
  <c r="D4" i="2"/>
  <c r="B4" i="2"/>
  <c r="L2" i="1" l="1"/>
  <c r="F10" i="2"/>
  <c r="I10" i="2" s="1"/>
  <c r="O2" i="1" s="1"/>
  <c r="P2" i="1" s="1"/>
  <c r="F5" i="2"/>
  <c r="F28" i="2"/>
  <c r="J4" i="1" s="1"/>
  <c r="K4" i="1" s="1"/>
  <c r="L4" i="1" s="1"/>
  <c r="F22" i="2"/>
  <c r="J3" i="1" s="1"/>
  <c r="K3" i="1" s="1"/>
  <c r="L3" i="1" s="1"/>
  <c r="F4" i="2"/>
  <c r="F34" i="2"/>
  <c r="J5" i="1" s="1"/>
  <c r="K5" i="1" s="1"/>
  <c r="L5" i="1" s="1"/>
  <c r="F33" i="2"/>
  <c r="O5" i="1" s="1"/>
  <c r="P5" i="1" s="1"/>
  <c r="Q5" i="1" s="1"/>
  <c r="G3" i="3"/>
  <c r="P35" i="1" l="1"/>
  <c r="L35" i="1"/>
  <c r="K35" i="1"/>
  <c r="Q2" i="1"/>
  <c r="Q35" i="1" s="1"/>
</calcChain>
</file>

<file path=xl/sharedStrings.xml><?xml version="1.0" encoding="utf-8"?>
<sst xmlns="http://schemas.openxmlformats.org/spreadsheetml/2006/main" count="1005" uniqueCount="179">
  <si>
    <t>Project Number</t>
  </si>
  <si>
    <t>Project Name</t>
  </si>
  <si>
    <t>Project Type</t>
  </si>
  <si>
    <t>Acres Treated</t>
  </si>
  <si>
    <t>TP Efficiency (%)</t>
  </si>
  <si>
    <t>N/A</t>
  </si>
  <si>
    <t>Total Reduction</t>
  </si>
  <si>
    <t>OSC-10</t>
  </si>
  <si>
    <t>OSC-11</t>
  </si>
  <si>
    <t>OSC-12</t>
  </si>
  <si>
    <t>OSC-13</t>
  </si>
  <si>
    <t>OSC-14</t>
  </si>
  <si>
    <t>OSC-15</t>
  </si>
  <si>
    <t>OSC-16</t>
  </si>
  <si>
    <t>OSC-17</t>
  </si>
  <si>
    <t>OSC-18</t>
  </si>
  <si>
    <t>OSC-19</t>
  </si>
  <si>
    <t>OSC-20</t>
  </si>
  <si>
    <t>OSC-21</t>
  </si>
  <si>
    <t>OSC-22</t>
  </si>
  <si>
    <t>OSC-23</t>
  </si>
  <si>
    <t>OSC-24</t>
  </si>
  <si>
    <t>OSC-25</t>
  </si>
  <si>
    <t>OSC-26</t>
  </si>
  <si>
    <t>OSC-27</t>
  </si>
  <si>
    <t>OSC-28</t>
  </si>
  <si>
    <t>OSC-29</t>
  </si>
  <si>
    <t>OSC-30</t>
  </si>
  <si>
    <t>OSC-31</t>
  </si>
  <si>
    <t>Narcoossee Rd IB Pond 2 and 3</t>
  </si>
  <si>
    <t>Narcoossee Rd III Pond C3A &amp; C3B</t>
  </si>
  <si>
    <t>Narcoossee Rd III Pond D3 Comp</t>
  </si>
  <si>
    <t>Narcoossee Rd III Pond E1 Comp</t>
  </si>
  <si>
    <t>Stewart Street Regional Pond Retrofit</t>
  </si>
  <si>
    <t>East Lake Reserve Stormwater Reuse</t>
  </si>
  <si>
    <t>Poinciana Commerce Center Reuse</t>
  </si>
  <si>
    <t>Kissimmee Bay Reuse</t>
  </si>
  <si>
    <t>Street Sweeping</t>
  </si>
  <si>
    <t>Poinciana III Swales 1, 2, and 3</t>
  </si>
  <si>
    <t>Neptune Road I - Ponds 100, 200, and 300</t>
  </si>
  <si>
    <t>Old Wilson Road Pond D002-P</t>
  </si>
  <si>
    <t>Old Wilson Road Pond D004-P</t>
  </si>
  <si>
    <t>Old Wilson Road Pond E002-P</t>
  </si>
  <si>
    <t>Provided</t>
  </si>
  <si>
    <t>Required</t>
  </si>
  <si>
    <t>Difference</t>
  </si>
  <si>
    <t>residence time</t>
  </si>
  <si>
    <t>days</t>
  </si>
  <si>
    <t>TN efficiency</t>
  </si>
  <si>
    <t>TP efficiency</t>
  </si>
  <si>
    <t>John Young Parkway</t>
  </si>
  <si>
    <t>Pond 2</t>
  </si>
  <si>
    <t>TN avg</t>
  </si>
  <si>
    <t>TP avg</t>
  </si>
  <si>
    <t>Pond 3</t>
  </si>
  <si>
    <t>Stewart Street</t>
  </si>
  <si>
    <t>required</t>
  </si>
  <si>
    <t>ac-ft</t>
  </si>
  <si>
    <t>inches</t>
  </si>
  <si>
    <t>provided</t>
  </si>
  <si>
    <t>Neptune Road I</t>
  </si>
  <si>
    <t xml:space="preserve">residence time = </t>
  </si>
  <si>
    <t>(wet pond volume)/(annual runoff)*365</t>
  </si>
  <si>
    <t>wet pond volume:</t>
  </si>
  <si>
    <t>ac-ft/yr</t>
  </si>
  <si>
    <t>annual runoff:</t>
  </si>
  <si>
    <t>2 to 4 lanes</t>
  </si>
  <si>
    <t>Basin</t>
  </si>
  <si>
    <t>Req (ac-ft)</t>
  </si>
  <si>
    <t>Prov (ac-ft)</t>
  </si>
  <si>
    <t>Acres</t>
  </si>
  <si>
    <t>D002-P</t>
  </si>
  <si>
    <t>D004-P</t>
  </si>
  <si>
    <t>E002-P</t>
  </si>
  <si>
    <t>retention</t>
  </si>
  <si>
    <t>efficiency</t>
  </si>
  <si>
    <t>Old Wilson Road D002-P</t>
  </si>
  <si>
    <t>Old Wilson Road D004-P</t>
  </si>
  <si>
    <t>Old Wilson Road E002-P</t>
  </si>
  <si>
    <t>Remington</t>
  </si>
  <si>
    <t>Eagle Lake</t>
  </si>
  <si>
    <t>La Quinta Inn</t>
  </si>
  <si>
    <t>Buenaventura Lakes Golf Course Ponds</t>
  </si>
  <si>
    <t>Slaman</t>
  </si>
  <si>
    <t>Jim Yates</t>
  </si>
  <si>
    <t>Udstad</t>
  </si>
  <si>
    <t>Proctor</t>
  </si>
  <si>
    <t>Twin Oaks</t>
  </si>
  <si>
    <t>Cherokee Point</t>
  </si>
  <si>
    <t>Encatada Resort</t>
  </si>
  <si>
    <t>Cypress Palms Condos</t>
  </si>
  <si>
    <t>Traditions at Westside</t>
  </si>
  <si>
    <t>Lake Pointe</t>
  </si>
  <si>
    <t>OSC-32</t>
  </si>
  <si>
    <t>OSC-33</t>
  </si>
  <si>
    <t>Conversion to Conservation Area</t>
  </si>
  <si>
    <t>Conversion of approximately 283 acres of upland ranching to conservation area, the remaining area was wetlands that have a restoration plan</t>
  </si>
  <si>
    <t>Conversion from ranching to Conservation Area</t>
  </si>
  <si>
    <t>East Lake Reserve</t>
  </si>
  <si>
    <t>Neptune Road</t>
  </si>
  <si>
    <t>Waterside Vista</t>
  </si>
  <si>
    <t>Bellalago &amp; Isles of Bellalago</t>
  </si>
  <si>
    <t>Poinciana Commerce Center</t>
  </si>
  <si>
    <t>Project</t>
  </si>
  <si>
    <t>Amount Used</t>
  </si>
  <si>
    <t>Kissimmee Bay (actual data)</t>
  </si>
  <si>
    <t>Capacity (gallonsyr)</t>
  </si>
  <si>
    <t>Capacity (ac-ft/yr)</t>
  </si>
  <si>
    <t>Reuse (ac-ft/yr)</t>
  </si>
  <si>
    <t>Bass Road Lanfill</t>
  </si>
  <si>
    <t>Judge Farms</t>
  </si>
  <si>
    <t>TN Efficiency (%)</t>
  </si>
  <si>
    <t>33.5%/1%</t>
  </si>
  <si>
    <t>69.9%/33.4%</t>
  </si>
  <si>
    <t>62.6%/25.4%</t>
  </si>
  <si>
    <t>New</t>
  </si>
  <si>
    <t>Existing</t>
  </si>
  <si>
    <t>Sub-Watershed</t>
  </si>
  <si>
    <t>Upper Kissimmee</t>
  </si>
  <si>
    <t>Lower Kissimee</t>
  </si>
  <si>
    <t>Conversion from cattle ranching to Conservation Area</t>
  </si>
  <si>
    <t>with Kissimmee</t>
  </si>
  <si>
    <t>TP Base Load (lbs/yr)</t>
  </si>
  <si>
    <t>TP Reduction (lbs/yr)</t>
  </si>
  <si>
    <t>TN Base Load (lbs/yr)</t>
  </si>
  <si>
    <t>TN Reduction (lbs/yr)</t>
  </si>
  <si>
    <t>OSC-01</t>
  </si>
  <si>
    <t>OSC-02</t>
  </si>
  <si>
    <t>OSC-03</t>
  </si>
  <si>
    <t>OSC-04</t>
  </si>
  <si>
    <t>OSC-05</t>
  </si>
  <si>
    <t>OSC-06</t>
  </si>
  <si>
    <t>OSC-07</t>
  </si>
  <si>
    <t>OSC-08</t>
  </si>
  <si>
    <t>OSC-09</t>
  </si>
  <si>
    <t>Narcoossee Road IB Ponds 2 and 3</t>
  </si>
  <si>
    <t>Narcoossee Road III Ponds C3A &amp; C3B</t>
  </si>
  <si>
    <t>Narcoossee Road III Pond D3</t>
  </si>
  <si>
    <t>Narcoossee Road III Pond E1</t>
  </si>
  <si>
    <t>Education and Outreach</t>
  </si>
  <si>
    <t>Neptune Rd. Stormwater Reuse</t>
  </si>
  <si>
    <t>Wet Detention Pond</t>
  </si>
  <si>
    <t>On-line Retention BMPs</t>
  </si>
  <si>
    <t>Education Efforts</t>
  </si>
  <si>
    <t>Stormwater Reuse</t>
  </si>
  <si>
    <t>Bellalago and Isles of Bellalago Stormwater Reuse</t>
  </si>
  <si>
    <t>Remington Reuse</t>
  </si>
  <si>
    <t>Eagle Lake Reuse</t>
  </si>
  <si>
    <t>La Quinta Inn Reuse</t>
  </si>
  <si>
    <t>Lake Toho Regional Water Storage Facility (Judge Farms)</t>
  </si>
  <si>
    <t>Stormwater Treatment Areas (STAs)</t>
  </si>
  <si>
    <t>Land Preservation</t>
  </si>
  <si>
    <t>Hoagland Blvd Phase III</t>
  </si>
  <si>
    <t>Hydrodynamic Separators</t>
  </si>
  <si>
    <t>Area (square feet)</t>
  </si>
  <si>
    <t>TP (kg/yr)</t>
  </si>
  <si>
    <t>TP Reduction (MT/yr)</t>
  </si>
  <si>
    <t>TN (kg/yr)</t>
  </si>
  <si>
    <t>TN Reduction (MT/yr)</t>
  </si>
  <si>
    <t>East Lake Tohopekaliga</t>
  </si>
  <si>
    <t>Lake Tohopekaliga</t>
  </si>
  <si>
    <t>Upper Reedy Creek</t>
  </si>
  <si>
    <t>Lake Kissimmee, Arbuckle Creek, Lake Tohopekaliga, Lake Myrtle, Alligator Lake, Lake Arbuckle, Lake Jackson, S-63A, Catfish Creek, Lake Conlin, Upper Reedy Creek, Lake Rosalie, Horse Creek, Lake Hart, Lake Pierce, Lower Reedy Creek, Marion Creek, Lake Marion, Tiger Lake, Lake Gentry, Lake Cypress, East Lake Tohopekaliga, Shingle Creek, Lake Hatchineha, Lake Weohyakapka</t>
  </si>
  <si>
    <t>S-65A, Kissimmee River</t>
  </si>
  <si>
    <t>Lower Reedy Creek</t>
  </si>
  <si>
    <t>Lake Tohopekaliga, Upper Reedy Creek</t>
  </si>
  <si>
    <t>Shingle Creek</t>
  </si>
  <si>
    <t>Alligator Lake</t>
  </si>
  <si>
    <t>Shingle Creek, Upper Kissimmee</t>
  </si>
  <si>
    <t>Lake Kissimmee, Lake Tohopekaliga, Lake Myrtle, Alligator Lake, Lake Jackson, S63A, Lake Conlin, Upper Reedy Creek, Horse Creek, Lake Marian, Lower Reedy Creek, Marion Creek, Lake Gentry, Lake Cypress, East Lake Tohopekaliga, Shingle Creek, Lake Hatchineha</t>
  </si>
  <si>
    <t>OBJECTID</t>
  </si>
  <si>
    <t>FREQUENCY</t>
  </si>
  <si>
    <t>SUM_Load</t>
  </si>
  <si>
    <t>COUNTIES</t>
  </si>
  <si>
    <t>LU_Type</t>
  </si>
  <si>
    <t>TN SUM_Load</t>
  </si>
  <si>
    <t>TP SUM_Load</t>
  </si>
  <si>
    <t>Urban</t>
  </si>
  <si>
    <t>Osceola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</si>
</sst>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2" x14ac:knownFonts="1">
    <font>
      <sz val="11"/>
      <color theme="1"/>
      <name val="Calibri"/>
      <family val="2"/>
      <scheme val="minor"/>
    </font>
    <font>
      <sz val="10"/>
      <name val="Arial"/>
      <family val="2"/>
    </font>
    <font>
      <b/>
      <sz val="10"/>
      <name val="Times New Roman"/>
      <family val="1"/>
    </font>
    <font>
      <b/>
      <sz val="10"/>
      <color theme="1"/>
      <name val="Times New Roman"/>
      <family val="1"/>
    </font>
    <font>
      <sz val="10"/>
      <color theme="1"/>
      <name val="Times New Roman"/>
      <family val="1"/>
    </font>
    <font>
      <b/>
      <sz val="11"/>
      <color theme="1"/>
      <name val="Calibri"/>
      <family val="2"/>
      <scheme val="minor"/>
    </font>
    <font>
      <sz val="10"/>
      <color indexed="8"/>
      <name val="Times New Roman"/>
      <family val="1"/>
    </font>
    <font>
      <sz val="10"/>
      <name val="Times New Roman"/>
      <family val="1"/>
    </font>
    <font>
      <sz val="10"/>
      <name val="Arial"/>
      <family val="2"/>
    </font>
    <font>
      <b/>
      <sz val="10"/>
      <name val="Arial"/>
      <family val="2"/>
    </font>
    <font>
      <b/>
      <sz val="10"/>
      <name val="Arial"/>
      <charset val="1"/>
    </font>
    <font>
      <sz val="10"/>
      <name val="Arial"/>
      <charset val="1"/>
    </font>
  </fonts>
  <fills count="6">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8" fillId="0" borderId="0" applyNumberFormat="0" applyFill="0" applyBorder="0" applyAlignment="0" applyProtection="0"/>
  </cellStyleXfs>
  <cellXfs count="347">
    <xf numFmtId="0" fontId="0" fillId="0" borderId="0" xfId="0"/>
    <xf numFmtId="0" fontId="4" fillId="0" borderId="0" xfId="0" applyFont="1"/>
    <xf numFmtId="0" fontId="4" fillId="0" borderId="1" xfId="0" applyFont="1" applyBorder="1"/>
    <xf numFmtId="165" fontId="4" fillId="0" borderId="1" xfId="0" applyNumberFormat="1" applyFont="1" applyBorder="1"/>
    <xf numFmtId="0" fontId="6" fillId="0" borderId="1" xfId="0" applyFont="1" applyFill="1" applyBorder="1" applyAlignment="1">
      <alignment horizontal="center" vertical="center" wrapText="1"/>
    </xf>
    <xf numFmtId="0" fontId="5" fillId="0" borderId="0" xfId="0" applyFont="1"/>
    <xf numFmtId="166" fontId="0" fillId="0" borderId="0" xfId="0" applyNumberFormat="1"/>
    <xf numFmtId="2" fontId="0" fillId="0" borderId="0" xfId="0" applyNumberFormat="1"/>
    <xf numFmtId="0" fontId="4" fillId="0" borderId="0" xfId="0" applyFont="1" applyAlignment="1">
      <alignment horizontal="center" wrapText="1"/>
    </xf>
    <xf numFmtId="165" fontId="4" fillId="0" borderId="0" xfId="0" applyNumberFormat="1" applyFont="1"/>
    <xf numFmtId="9" fontId="4" fillId="0" borderId="1" xfId="0" applyNumberFormat="1" applyFont="1" applyBorder="1"/>
    <xf numFmtId="3" fontId="4" fillId="0" borderId="1" xfId="0" applyNumberFormat="1" applyFont="1" applyFill="1" applyBorder="1"/>
    <xf numFmtId="0" fontId="3" fillId="4" borderId="1" xfId="0" applyFont="1" applyFill="1" applyBorder="1" applyAlignment="1">
      <alignment horizontal="center" wrapText="1"/>
    </xf>
    <xf numFmtId="165" fontId="3" fillId="4" borderId="1" xfId="0" applyNumberFormat="1" applyFont="1" applyFill="1" applyBorder="1" applyAlignment="1">
      <alignment horizontal="center" wrapText="1"/>
    </xf>
    <xf numFmtId="165" fontId="0" fillId="0" borderId="0" xfId="0" applyNumberFormat="1"/>
    <xf numFmtId="0" fontId="7" fillId="0" borderId="0" xfId="0" applyFont="1"/>
    <xf numFmtId="165" fontId="7" fillId="0" borderId="0" xfId="0" applyNumberFormat="1" applyFont="1"/>
    <xf numFmtId="0" fontId="7" fillId="0" borderId="0" xfId="0" applyFont="1" applyAlignment="1">
      <alignment horizontal="center" wrapText="1"/>
    </xf>
    <xf numFmtId="0" fontId="2" fillId="0" borderId="0" xfId="0" applyFont="1"/>
    <xf numFmtId="165" fontId="2" fillId="0" borderId="0" xfId="0" applyNumberFormat="1" applyFont="1"/>
    <xf numFmtId="0" fontId="2" fillId="2" borderId="1" xfId="1" applyFont="1" applyFill="1" applyBorder="1" applyAlignment="1">
      <alignment horizontal="center" wrapText="1"/>
    </xf>
    <xf numFmtId="164" fontId="2" fillId="2" borderId="1" xfId="1" applyNumberFormat="1" applyFont="1" applyFill="1" applyBorder="1" applyAlignment="1">
      <alignment horizontal="center" wrapText="1"/>
    </xf>
    <xf numFmtId="165" fontId="2" fillId="2" borderId="1" xfId="1" applyNumberFormat="1" applyFont="1" applyFill="1" applyBorder="1" applyAlignment="1">
      <alignment horizontal="center" wrapText="1"/>
    </xf>
    <xf numFmtId="165" fontId="3" fillId="3" borderId="1" xfId="0" applyNumberFormat="1" applyFont="1" applyFill="1" applyBorder="1" applyAlignment="1">
      <alignment horizontal="center" wrapText="1"/>
    </xf>
    <xf numFmtId="0" fontId="3" fillId="3" borderId="1" xfId="0" applyFont="1" applyFill="1" applyBorder="1" applyAlignment="1">
      <alignment horizontal="center" wrapText="1"/>
    </xf>
    <xf numFmtId="2" fontId="3" fillId="3" borderId="1" xfId="0" applyNumberFormat="1" applyFont="1" applyFill="1" applyBorder="1" applyAlignment="1">
      <alignment horizontal="center" wrapText="1"/>
    </xf>
    <xf numFmtId="0" fontId="7" fillId="0" borderId="1" xfId="0" applyFont="1" applyBorder="1" applyAlignment="1">
      <alignment horizontal="left"/>
    </xf>
    <xf numFmtId="165" fontId="7" fillId="0" borderId="1" xfId="0" applyNumberFormat="1" applyFont="1" applyBorder="1" applyAlignment="1">
      <alignment horizontal="left"/>
    </xf>
    <xf numFmtId="0" fontId="7" fillId="0" borderId="1" xfId="0" applyFont="1" applyBorder="1" applyAlignment="1">
      <alignment horizontal="left" wrapText="1"/>
    </xf>
    <xf numFmtId="166" fontId="7" fillId="0" borderId="1" xfId="0" applyNumberFormat="1" applyFont="1" applyBorder="1" applyAlignment="1">
      <alignment horizontal="left"/>
    </xf>
    <xf numFmtId="0" fontId="7" fillId="0" borderId="0" xfId="0" applyFont="1" applyAlignment="1">
      <alignment horizontal="left"/>
    </xf>
    <xf numFmtId="165" fontId="7" fillId="0" borderId="1" xfId="0" applyNumberFormat="1" applyFont="1" applyFill="1" applyBorder="1" applyAlignment="1">
      <alignment horizontal="left"/>
    </xf>
    <xf numFmtId="166" fontId="7" fillId="0" borderId="1" xfId="0" applyNumberFormat="1" applyFont="1" applyFill="1" applyBorder="1" applyAlignment="1">
      <alignment horizontal="left"/>
    </xf>
    <xf numFmtId="0" fontId="7" fillId="0" borderId="1" xfId="0" applyFont="1" applyFill="1" applyBorder="1" applyAlignment="1">
      <alignment horizontal="left" wrapText="1"/>
    </xf>
    <xf numFmtId="0" fontId="7" fillId="0" borderId="0" xfId="0" applyFont="1" applyAlignment="1"/>
    <xf numFmtId="165" fontId="4" fillId="0" borderId="1" xfId="0" applyNumberFormat="1" applyFont="1" applyBorder="1" applyAlignment="1">
      <alignment horizontal="left"/>
    </xf>
    <xf numFmtId="2" fontId="4" fillId="0" borderId="1" xfId="0" applyNumberFormat="1" applyFont="1" applyBorder="1" applyAlignment="1">
      <alignment horizontal="left"/>
    </xf>
    <xf numFmtId="4" fontId="2" fillId="0" borderId="0" xfId="0" applyNumberFormat="1" applyFont="1"/>
    <xf numFmtId="165" fontId="6" fillId="0" borderId="1" xfId="2" applyNumberFormat="1" applyFont="1" applyFill="1" applyBorder="1" applyAlignment="1">
      <alignment horizontal="left" wrapText="1"/>
    </xf>
    <xf numFmtId="0" fontId="7" fillId="0" borderId="1" xfId="0" applyFont="1" applyFill="1" applyBorder="1" applyAlignment="1">
      <alignment horizontal="left"/>
    </xf>
    <xf numFmtId="165" fontId="4" fillId="0" borderId="1" xfId="0" applyNumberFormat="1" applyFont="1" applyFill="1" applyBorder="1" applyAlignment="1">
      <alignment horizontal="left"/>
    </xf>
    <xf numFmtId="2" fontId="4" fillId="0" borderId="1" xfId="0" applyNumberFormat="1" applyFont="1" applyFill="1" applyBorder="1" applyAlignment="1">
      <alignment horizontal="left"/>
    </xf>
    <xf numFmtId="0" fontId="7" fillId="0" borderId="0" xfId="0" applyFont="1" applyFill="1" applyAlignment="1">
      <alignment horizontal="left"/>
    </xf>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3" applyFont="1" applyFill="1" applyBorder="1" applyAlignment="1" applyProtection="1">
      <alignment horizontal="center"/>
    </xf>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1" fontId="8" fillId="0" borderId="0" xfId="3" applyNumberFormat="1" applyFont="1" applyFill="1" applyBorder="1" applyAlignment="1" applyProtection="1"/>
    <xf numFmtId="0" fontId="8" fillId="0" borderId="0" xfId="3" applyFont="1" applyFill="1" applyBorder="1" applyAlignment="1" applyProtection="1"/>
    <xf numFmtId="0" fontId="9" fillId="5" borderId="0" xfId="0" applyFont="1" applyFill="1" applyBorder="1" applyAlignment="1" applyProtection="1">
      <alignment horizontal="center"/>
    </xf>
    <xf numFmtId="0" fontId="8" fillId="0" borderId="0" xfId="0" applyFont="1" applyFill="1" applyBorder="1" applyAlignment="1" applyProtection="1"/>
    <xf numFmtId="0" fontId="10" fillId="5" borderId="0" xfId="0" applyFont="1" applyFill="1" applyBorder="1" applyAlignment="1" applyProtection="1">
      <alignment horizontal="center"/>
    </xf>
    <xf numFmtId="0" fontId="11" fillId="0" borderId="0" xfId="0" applyFont="1" applyFill="1" applyBorder="1" applyAlignment="1" applyProtection="1"/>
  </cellXfs>
  <cellStyles count="4">
    <cellStyle name="Normal" xfId="0" builtinId="0"/>
    <cellStyle name="Normal 2" xfId="3" xr:uid="{00000000-0005-0000-0000-000031000000}"/>
    <cellStyle name="Normal 3" xfId="2" xr:uid="{5BD25CF6-3851-456E-B958-DE0F450B5C99}"/>
    <cellStyle name="Normal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
  <sheetViews>
    <sheetView tabSelected="1" zoomScale="75" zoomScaleNormal="75" workbookViewId="0">
      <pane ySplit="1" topLeftCell="A11" activePane="bottomLeft" state="frozen"/>
      <selection pane="bottomLeft" activeCell="K11" sqref="K11:L11"/>
    </sheetView>
  </sheetViews>
  <sheetFormatPr defaultColWidth="9.109375" defaultRowHeight="13.2" x14ac:dyDescent="0.25"/>
  <cols>
    <col min="1" max="1" width="9.109375" style="15"/>
    <col min="2" max="2" width="22.44140625" style="15" bestFit="1" customWidth="1"/>
    <col min="3" max="3" width="15" style="15" customWidth="1"/>
    <col min="4" max="4" width="12" style="15" customWidth="1"/>
    <col min="5" max="5" width="9.109375" style="16"/>
    <col min="6" max="6" width="15.5546875" style="17" customWidth="1"/>
    <col min="7" max="7" width="21.109375" style="17" customWidth="1"/>
    <col min="8" max="8" width="10.21875" style="17" customWidth="1"/>
    <col min="9" max="9" width="10.77734375" style="16" customWidth="1"/>
    <col min="10" max="10" width="11.5546875" style="15" customWidth="1"/>
    <col min="11" max="11" width="10.109375" style="15" customWidth="1"/>
    <col min="12" max="12" width="10.5546875" style="15" customWidth="1"/>
    <col min="13" max="13" width="10.44140625" style="15" customWidth="1"/>
    <col min="14" max="14" width="10.21875" style="15" customWidth="1"/>
    <col min="15" max="15" width="11.44140625" style="15" customWidth="1"/>
    <col min="16" max="16" width="10.6640625" style="15" customWidth="1"/>
    <col min="17" max="17" width="10.109375" style="15" customWidth="1"/>
    <col min="18" max="16384" width="9.109375" style="15"/>
  </cols>
  <sheetData>
    <row r="1" spans="1:18" s="34" customFormat="1" ht="39.6" x14ac:dyDescent="0.25">
      <c r="A1" s="20" t="s">
        <v>0</v>
      </c>
      <c r="B1" s="20" t="s">
        <v>1</v>
      </c>
      <c r="C1" s="20" t="s">
        <v>2</v>
      </c>
      <c r="D1" s="20" t="s">
        <v>154</v>
      </c>
      <c r="E1" s="22" t="s">
        <v>3</v>
      </c>
      <c r="F1" s="21" t="s">
        <v>117</v>
      </c>
      <c r="G1" s="21" t="s">
        <v>67</v>
      </c>
      <c r="H1" s="22" t="s">
        <v>155</v>
      </c>
      <c r="I1" s="23" t="s">
        <v>122</v>
      </c>
      <c r="J1" s="24" t="s">
        <v>4</v>
      </c>
      <c r="K1" s="23" t="s">
        <v>123</v>
      </c>
      <c r="L1" s="25" t="s">
        <v>156</v>
      </c>
      <c r="M1" s="23" t="s">
        <v>157</v>
      </c>
      <c r="N1" s="23" t="s">
        <v>124</v>
      </c>
      <c r="O1" s="24" t="s">
        <v>111</v>
      </c>
      <c r="P1" s="23" t="s">
        <v>125</v>
      </c>
      <c r="Q1" s="25" t="s">
        <v>158</v>
      </c>
    </row>
    <row r="2" spans="1:18" s="30" customFormat="1" ht="26.4" x14ac:dyDescent="0.25">
      <c r="A2" s="26" t="s">
        <v>126</v>
      </c>
      <c r="B2" s="33" t="s">
        <v>135</v>
      </c>
      <c r="C2" s="33" t="s">
        <v>141</v>
      </c>
      <c r="D2" s="33">
        <v>5489572.35305</v>
      </c>
      <c r="E2" s="38">
        <f t="shared" ref="E2:E34" si="0">ROUND(D2*0.000022956841139,1)</f>
        <v>126</v>
      </c>
      <c r="F2" s="28" t="s">
        <v>118</v>
      </c>
      <c r="G2" s="28" t="s">
        <v>159</v>
      </c>
      <c r="H2" s="28">
        <f>'01'!C4</f>
        <v>5.4401393476419031</v>
      </c>
      <c r="I2" s="35">
        <f t="shared" ref="I2:I34" si="1">H2*2.2046226218</f>
        <v>11.993454271555635</v>
      </c>
      <c r="J2" s="29">
        <f>'Wet detention pond calcs'!I11</f>
        <v>7.6500000000000068E-2</v>
      </c>
      <c r="K2" s="27">
        <f t="shared" ref="K2:K6" si="2">ROUND(I2*J2,1)</f>
        <v>0.9</v>
      </c>
      <c r="L2" s="36">
        <f t="shared" ref="L2:L34" si="3">K2*0.00045359237</f>
        <v>4.0823313299999999E-4</v>
      </c>
      <c r="M2" s="27">
        <f>'01'!H4</f>
        <v>92.229413582702534</v>
      </c>
      <c r="N2" s="35">
        <f t="shared" ref="N2:N34" si="4">M2*2.2046226218</f>
        <v>203.3310515797742</v>
      </c>
      <c r="O2" s="29">
        <f>'Wet detention pond calcs'!I10</f>
        <v>4.5999999999999985E-2</v>
      </c>
      <c r="P2" s="27">
        <f t="shared" ref="P2:P6" si="5">ROUND(N2*O2,1)</f>
        <v>9.4</v>
      </c>
      <c r="Q2" s="36">
        <f t="shared" ref="Q2:Q34" si="6">P2*0.00045359237</f>
        <v>4.263768278E-3</v>
      </c>
    </row>
    <row r="3" spans="1:18" s="30" customFormat="1" ht="26.4" x14ac:dyDescent="0.25">
      <c r="A3" s="26" t="s">
        <v>127</v>
      </c>
      <c r="B3" s="33" t="s">
        <v>136</v>
      </c>
      <c r="C3" s="33" t="s">
        <v>141</v>
      </c>
      <c r="D3" s="33">
        <v>1291664.0830699999</v>
      </c>
      <c r="E3" s="38">
        <f t="shared" si="0"/>
        <v>29.7</v>
      </c>
      <c r="F3" s="28" t="s">
        <v>118</v>
      </c>
      <c r="G3" s="28" t="s">
        <v>159</v>
      </c>
      <c r="H3" s="28">
        <f>'02'!C4</f>
        <v>2.155765003993849</v>
      </c>
      <c r="I3" s="35">
        <f t="shared" si="1"/>
        <v>4.7526482950896067</v>
      </c>
      <c r="J3" s="29">
        <f>'Wet detention pond calcs'!F22</f>
        <v>0.1329999999999999</v>
      </c>
      <c r="K3" s="27">
        <f t="shared" si="2"/>
        <v>0.6</v>
      </c>
      <c r="L3" s="36">
        <f t="shared" si="3"/>
        <v>2.7215542199999999E-4</v>
      </c>
      <c r="M3" s="27">
        <f>'02'!H4</f>
        <v>11.163557501839986</v>
      </c>
      <c r="N3" s="35">
        <f t="shared" si="4"/>
        <v>24.611431408321529</v>
      </c>
      <c r="O3" s="29">
        <f>'Wet detention pond calcs'!F21</f>
        <v>0.11400000000000005</v>
      </c>
      <c r="P3" s="27">
        <f t="shared" si="5"/>
        <v>2.8</v>
      </c>
      <c r="Q3" s="36">
        <f t="shared" si="6"/>
        <v>1.270058636E-3</v>
      </c>
    </row>
    <row r="4" spans="1:18" s="30" customFormat="1" ht="26.4" x14ac:dyDescent="0.25">
      <c r="A4" s="26" t="s">
        <v>128</v>
      </c>
      <c r="B4" s="33" t="s">
        <v>137</v>
      </c>
      <c r="C4" s="33" t="s">
        <v>141</v>
      </c>
      <c r="D4" s="33">
        <v>968748.06230300001</v>
      </c>
      <c r="E4" s="38">
        <f t="shared" si="0"/>
        <v>22.2</v>
      </c>
      <c r="F4" s="28" t="s">
        <v>118</v>
      </c>
      <c r="G4" s="28" t="s">
        <v>159</v>
      </c>
      <c r="H4" s="28">
        <f>'03'!C4</f>
        <v>1.9746324523401806</v>
      </c>
      <c r="I4" s="35">
        <f t="shared" si="1"/>
        <v>4.3533193741695726</v>
      </c>
      <c r="J4" s="29">
        <f>'Wet detention pond calcs'!F28</f>
        <v>0.129</v>
      </c>
      <c r="K4" s="27">
        <f t="shared" si="2"/>
        <v>0.6</v>
      </c>
      <c r="L4" s="36">
        <f t="shared" si="3"/>
        <v>2.7215542199999999E-4</v>
      </c>
      <c r="M4" s="27">
        <f>'03'!H4</f>
        <v>55.260670798469768</v>
      </c>
      <c r="N4" s="35">
        <f t="shared" si="4"/>
        <v>121.82892493814911</v>
      </c>
      <c r="O4" s="29">
        <f>'Wet detention pond calcs'!F27</f>
        <v>7.2999999999999954E-2</v>
      </c>
      <c r="P4" s="27">
        <f t="shared" si="5"/>
        <v>8.9</v>
      </c>
      <c r="Q4" s="36">
        <f t="shared" si="6"/>
        <v>4.0369720929999998E-3</v>
      </c>
    </row>
    <row r="5" spans="1:18" s="30" customFormat="1" ht="26.4" x14ac:dyDescent="0.25">
      <c r="A5" s="26" t="s">
        <v>129</v>
      </c>
      <c r="B5" s="33" t="s">
        <v>138</v>
      </c>
      <c r="C5" s="33" t="s">
        <v>141</v>
      </c>
      <c r="D5" s="33">
        <v>538193.36794599995</v>
      </c>
      <c r="E5" s="38">
        <f t="shared" si="0"/>
        <v>12.4</v>
      </c>
      <c r="F5" s="28" t="s">
        <v>118</v>
      </c>
      <c r="G5" s="28" t="s">
        <v>159</v>
      </c>
      <c r="H5" s="28">
        <f>'04'!C4</f>
        <v>4.4848433195791344</v>
      </c>
      <c r="I5" s="35">
        <f t="shared" si="1"/>
        <v>9.8873870375727666</v>
      </c>
      <c r="J5" s="29">
        <f>'Wet detention pond calcs'!F34</f>
        <v>7.1000000000000063E-2</v>
      </c>
      <c r="K5" s="27">
        <f t="shared" si="2"/>
        <v>0.7</v>
      </c>
      <c r="L5" s="36">
        <f t="shared" si="3"/>
        <v>3.1751465899999999E-4</v>
      </c>
      <c r="M5" s="27">
        <f>'04'!H4</f>
        <v>46.802330053806955</v>
      </c>
      <c r="N5" s="35">
        <f t="shared" si="4"/>
        <v>103.18147558957283</v>
      </c>
      <c r="O5" s="29">
        <f>'Wet detention pond calcs'!F33</f>
        <v>4.9000000000000044E-2</v>
      </c>
      <c r="P5" s="27">
        <f t="shared" si="5"/>
        <v>5.0999999999999996</v>
      </c>
      <c r="Q5" s="36">
        <f t="shared" si="6"/>
        <v>2.3133210869999998E-3</v>
      </c>
    </row>
    <row r="6" spans="1:18" s="30" customFormat="1" ht="26.4" x14ac:dyDescent="0.25">
      <c r="A6" s="26" t="s">
        <v>130</v>
      </c>
      <c r="B6" s="33" t="s">
        <v>39</v>
      </c>
      <c r="C6" s="33" t="s">
        <v>141</v>
      </c>
      <c r="D6" s="33">
        <v>10010396.6438</v>
      </c>
      <c r="E6" s="38">
        <f t="shared" si="0"/>
        <v>229.8</v>
      </c>
      <c r="F6" s="28" t="s">
        <v>118</v>
      </c>
      <c r="G6" s="28" t="s">
        <v>160</v>
      </c>
      <c r="H6" s="28">
        <f>'05'!C4</f>
        <v>35.09200002356593</v>
      </c>
      <c r="I6" s="35">
        <f t="shared" si="1"/>
        <v>77.364617096159577</v>
      </c>
      <c r="J6" s="29">
        <f>'Wet detention pond calcs'!B42</f>
        <v>0.76700000000000002</v>
      </c>
      <c r="K6" s="27">
        <f t="shared" si="2"/>
        <v>59.3</v>
      </c>
      <c r="L6" s="36">
        <f t="shared" si="3"/>
        <v>2.6898027541E-2</v>
      </c>
      <c r="M6" s="27">
        <f>'05'!H4</f>
        <v>1437.2631003666672</v>
      </c>
      <c r="N6" s="35">
        <f t="shared" si="4"/>
        <v>3168.6227445467584</v>
      </c>
      <c r="O6" s="29">
        <f>'Wet detention pond calcs'!B43</f>
        <v>0.42100000000000004</v>
      </c>
      <c r="P6" s="27">
        <f t="shared" si="5"/>
        <v>1334</v>
      </c>
      <c r="Q6" s="36">
        <f t="shared" si="6"/>
        <v>0.60509222157999998</v>
      </c>
    </row>
    <row r="7" spans="1:18" s="30" customFormat="1" ht="26.4" x14ac:dyDescent="0.25">
      <c r="A7" s="26" t="s">
        <v>131</v>
      </c>
      <c r="B7" s="33" t="s">
        <v>40</v>
      </c>
      <c r="C7" s="33" t="s">
        <v>142</v>
      </c>
      <c r="D7" s="33">
        <v>2798605.5133199999</v>
      </c>
      <c r="E7" s="38">
        <f t="shared" si="0"/>
        <v>64.2</v>
      </c>
      <c r="F7" s="28" t="s">
        <v>118</v>
      </c>
      <c r="G7" s="28" t="s">
        <v>161</v>
      </c>
      <c r="H7" s="33">
        <f>'06'!C4</f>
        <v>9.8774905494716306E-3</v>
      </c>
      <c r="I7" s="35">
        <f t="shared" si="1"/>
        <v>2.1776139111980869E-2</v>
      </c>
      <c r="J7" s="29" t="s">
        <v>112</v>
      </c>
      <c r="K7" s="27">
        <f>ROUND(((I7/2)*'Retention calcs'!B8)+((Summary!I7/2)*'Retention calcs'!F8),1)</f>
        <v>0</v>
      </c>
      <c r="L7" s="36">
        <f t="shared" si="3"/>
        <v>0</v>
      </c>
      <c r="M7" s="27">
        <f>'06'!H4</f>
        <v>44.912669281993672</v>
      </c>
      <c r="N7" s="35">
        <f t="shared" si="4"/>
        <v>99.015486704505207</v>
      </c>
      <c r="O7" s="29" t="s">
        <v>112</v>
      </c>
      <c r="P7" s="27">
        <f>ROUND(((N7/2)*'Retention calcs'!B8)+((Summary!N7/2)*'Retention calcs'!F8),1)</f>
        <v>17.100000000000001</v>
      </c>
      <c r="Q7" s="36">
        <f t="shared" si="6"/>
        <v>7.7564295270000005E-3</v>
      </c>
      <c r="R7" s="30" t="s">
        <v>66</v>
      </c>
    </row>
    <row r="8" spans="1:18" s="30" customFormat="1" ht="26.4" x14ac:dyDescent="0.25">
      <c r="A8" s="26" t="s">
        <v>132</v>
      </c>
      <c r="B8" s="33" t="s">
        <v>41</v>
      </c>
      <c r="C8" s="33" t="s">
        <v>142</v>
      </c>
      <c r="D8" s="33">
        <v>1399302.75666</v>
      </c>
      <c r="E8" s="38">
        <f t="shared" si="0"/>
        <v>32.1</v>
      </c>
      <c r="F8" s="28" t="s">
        <v>118</v>
      </c>
      <c r="G8" s="28" t="s">
        <v>161</v>
      </c>
      <c r="H8" s="28">
        <f>'07'!C4</f>
        <v>0.3902675960641554</v>
      </c>
      <c r="I8" s="35">
        <f t="shared" si="1"/>
        <v>0.8603927708385416</v>
      </c>
      <c r="J8" s="29" t="s">
        <v>113</v>
      </c>
      <c r="K8" s="27">
        <f>((I8/2)*'Retention calcs'!B13)+((Summary!I8/2)*'Retention calcs'!F13)</f>
        <v>0.44462689596019611</v>
      </c>
      <c r="L8" s="36">
        <f t="shared" si="3"/>
        <v>2.0167936750432877E-4</v>
      </c>
      <c r="M8" s="27">
        <f>'07'!H4</f>
        <v>16.398733509917751</v>
      </c>
      <c r="N8" s="35">
        <f t="shared" si="4"/>
        <v>36.153018864834387</v>
      </c>
      <c r="O8" s="29" t="s">
        <v>113</v>
      </c>
      <c r="P8" s="27">
        <f>((N8/2)*'Retention calcs'!B13)+((Summary!N8/2)*'Retention calcs'!F13)</f>
        <v>18.68286799038928</v>
      </c>
      <c r="Q8" s="36">
        <f t="shared" si="6"/>
        <v>8.474406370157811E-3</v>
      </c>
      <c r="R8" s="30" t="s">
        <v>66</v>
      </c>
    </row>
    <row r="9" spans="1:18" s="30" customFormat="1" ht="26.4" x14ac:dyDescent="0.25">
      <c r="A9" s="26" t="s">
        <v>133</v>
      </c>
      <c r="B9" s="33" t="s">
        <v>42</v>
      </c>
      <c r="C9" s="33" t="s">
        <v>142</v>
      </c>
      <c r="D9" s="33">
        <v>1184025.4094799999</v>
      </c>
      <c r="E9" s="38">
        <f t="shared" si="0"/>
        <v>27.2</v>
      </c>
      <c r="F9" s="28" t="s">
        <v>118</v>
      </c>
      <c r="G9" s="28" t="s">
        <v>161</v>
      </c>
      <c r="H9" s="28">
        <f>'08'!C4</f>
        <v>0.64964500448500406</v>
      </c>
      <c r="I9" s="35">
        <f t="shared" si="1"/>
        <v>1.4322220730270023</v>
      </c>
      <c r="J9" s="29" t="s">
        <v>114</v>
      </c>
      <c r="K9" s="27">
        <f>((I9/2)*'Retention calcs'!B18)+((Summary!I9/2)*'Retention calcs'!F18)</f>
        <v>0.62982826752676668</v>
      </c>
      <c r="L9" s="36">
        <f t="shared" si="3"/>
        <v>2.8568529656046015E-4</v>
      </c>
      <c r="M9" s="27">
        <f>'08'!H4</f>
        <v>16.547902987927259</v>
      </c>
      <c r="N9" s="35">
        <f t="shared" si="4"/>
        <v>36.481881270536249</v>
      </c>
      <c r="O9" s="29" t="s">
        <v>114</v>
      </c>
      <c r="P9" s="27">
        <f>((N9/2)*'Retention calcs'!B18)+((Summary!N9/2)*'Retention calcs'!F18)</f>
        <v>16.043126627825572</v>
      </c>
      <c r="Q9" s="36">
        <f t="shared" si="6"/>
        <v>7.2770398293255092E-3</v>
      </c>
      <c r="R9" s="30" t="s">
        <v>66</v>
      </c>
    </row>
    <row r="10" spans="1:18" s="30" customFormat="1" ht="26.4" x14ac:dyDescent="0.25">
      <c r="A10" s="26" t="s">
        <v>134</v>
      </c>
      <c r="B10" s="33" t="s">
        <v>33</v>
      </c>
      <c r="C10" s="33" t="s">
        <v>141</v>
      </c>
      <c r="D10" s="33">
        <v>97628276.9454</v>
      </c>
      <c r="E10" s="38">
        <f t="shared" si="0"/>
        <v>2241.1999999999998</v>
      </c>
      <c r="F10" s="28" t="s">
        <v>118</v>
      </c>
      <c r="G10" s="28" t="s">
        <v>160</v>
      </c>
      <c r="H10" s="28">
        <f>'09'!C4</f>
        <v>241.95389555962902</v>
      </c>
      <c r="I10" s="35">
        <f t="shared" si="1"/>
        <v>533.41703158339271</v>
      </c>
      <c r="J10" s="29">
        <f>'Wet detention pond calcs'!B49</f>
        <v>0.63100000000000001</v>
      </c>
      <c r="K10" s="27">
        <f t="shared" ref="K10:K21" si="7">ROUND(I10*J10,1)</f>
        <v>336.6</v>
      </c>
      <c r="L10" s="36">
        <f t="shared" si="3"/>
        <v>0.15267919174200001</v>
      </c>
      <c r="M10" s="27">
        <f>'09'!H4</f>
        <v>3695.5837984151917</v>
      </c>
      <c r="N10" s="35">
        <f t="shared" si="4"/>
        <v>8147.3676427437031</v>
      </c>
      <c r="O10" s="29">
        <f>'Wet detention pond calcs'!B48</f>
        <v>0.34799999999999998</v>
      </c>
      <c r="P10" s="27">
        <f t="shared" ref="P10:P21" si="8">ROUND(N10*O10,1)</f>
        <v>2835.3</v>
      </c>
      <c r="Q10" s="36">
        <f t="shared" si="6"/>
        <v>1.286070446661</v>
      </c>
    </row>
    <row r="11" spans="1:18" s="30" customFormat="1" ht="158.4" x14ac:dyDescent="0.25">
      <c r="A11" s="26" t="s">
        <v>7</v>
      </c>
      <c r="B11" s="33" t="s">
        <v>139</v>
      </c>
      <c r="C11" s="33" t="s">
        <v>143</v>
      </c>
      <c r="D11" s="33">
        <v>3198913740.3996701</v>
      </c>
      <c r="E11" s="38">
        <f t="shared" si="0"/>
        <v>73437</v>
      </c>
      <c r="F11" s="28" t="s">
        <v>118</v>
      </c>
      <c r="G11" s="28" t="s">
        <v>169</v>
      </c>
      <c r="H11" s="33">
        <f>'10'!C98</f>
        <v>67587.682893190082</v>
      </c>
      <c r="I11" s="35">
        <f t="shared" si="1"/>
        <v>149005.33466137171</v>
      </c>
      <c r="J11" s="29">
        <v>0.06</v>
      </c>
      <c r="K11" s="27">
        <f t="shared" si="7"/>
        <v>8940.2999999999993</v>
      </c>
      <c r="L11" s="36">
        <f t="shared" si="3"/>
        <v>4.0552518655109999</v>
      </c>
      <c r="M11" s="31">
        <f>'10'!H98</f>
        <v>136217.07340216008</v>
      </c>
      <c r="N11" s="35">
        <f t="shared" si="4"/>
        <v>300307.24149779318</v>
      </c>
      <c r="O11" s="29">
        <v>0.06</v>
      </c>
      <c r="P11" s="27">
        <f t="shared" si="8"/>
        <v>18018.400000000001</v>
      </c>
      <c r="Q11" s="36">
        <f t="shared" si="6"/>
        <v>8.1730087596080008</v>
      </c>
    </row>
    <row r="12" spans="1:18" s="30" customFormat="1" x14ac:dyDescent="0.25">
      <c r="A12" s="26" t="s">
        <v>8</v>
      </c>
      <c r="B12" s="33" t="s">
        <v>139</v>
      </c>
      <c r="C12" s="33" t="s">
        <v>143</v>
      </c>
      <c r="D12" s="33">
        <v>7211791.1304750005</v>
      </c>
      <c r="E12" s="38">
        <f t="shared" si="0"/>
        <v>165.6</v>
      </c>
      <c r="F12" s="28" t="s">
        <v>119</v>
      </c>
      <c r="G12" s="28" t="s">
        <v>163</v>
      </c>
      <c r="H12" s="33">
        <f>'11'!C20</f>
        <v>31.936296654250622</v>
      </c>
      <c r="I12" s="35">
        <f t="shared" si="1"/>
        <v>70.407482060476582</v>
      </c>
      <c r="J12" s="29">
        <v>0.06</v>
      </c>
      <c r="K12" s="27">
        <f t="shared" si="7"/>
        <v>4.2</v>
      </c>
      <c r="L12" s="36">
        <f t="shared" si="3"/>
        <v>1.9050879540000001E-3</v>
      </c>
      <c r="M12" s="31">
        <f>'11'!H20</f>
        <v>95.65101159385371</v>
      </c>
      <c r="N12" s="35">
        <f t="shared" si="4"/>
        <v>210.87438395786396</v>
      </c>
      <c r="O12" s="29">
        <v>0.06</v>
      </c>
      <c r="P12" s="27">
        <f t="shared" si="8"/>
        <v>12.7</v>
      </c>
      <c r="Q12" s="36">
        <f t="shared" si="6"/>
        <v>5.7606230989999995E-3</v>
      </c>
    </row>
    <row r="13" spans="1:18" s="30" customFormat="1" ht="26.4" x14ac:dyDescent="0.25">
      <c r="A13" s="26" t="s">
        <v>9</v>
      </c>
      <c r="B13" s="33" t="s">
        <v>34</v>
      </c>
      <c r="C13" s="33" t="s">
        <v>144</v>
      </c>
      <c r="D13" s="33">
        <v>5489572.35305</v>
      </c>
      <c r="E13" s="38">
        <f t="shared" si="0"/>
        <v>126</v>
      </c>
      <c r="F13" s="28" t="s">
        <v>118</v>
      </c>
      <c r="G13" s="28" t="s">
        <v>159</v>
      </c>
      <c r="H13" s="28">
        <v>16.240192368599999</v>
      </c>
      <c r="I13" s="35">
        <f>'12'!C4</f>
        <v>20.545030082548784</v>
      </c>
      <c r="J13" s="32">
        <f>'Reuse calcs'!$D$2</f>
        <v>0.9</v>
      </c>
      <c r="K13" s="27">
        <f t="shared" si="7"/>
        <v>18.5</v>
      </c>
      <c r="L13" s="36">
        <f t="shared" si="3"/>
        <v>8.3914588449999997E-3</v>
      </c>
      <c r="M13" s="27">
        <f>'12'!H4</f>
        <v>221.26369327340134</v>
      </c>
      <c r="N13" s="35">
        <f t="shared" si="4"/>
        <v>487.80294357355712</v>
      </c>
      <c r="O13" s="32">
        <f>'Reuse calcs'!$D$2</f>
        <v>0.9</v>
      </c>
      <c r="P13" s="27">
        <f t="shared" si="8"/>
        <v>439</v>
      </c>
      <c r="Q13" s="36">
        <f t="shared" si="6"/>
        <v>0.19912705043000001</v>
      </c>
    </row>
    <row r="14" spans="1:18" s="30" customFormat="1" ht="26.4" x14ac:dyDescent="0.25">
      <c r="A14" s="26" t="s">
        <v>10</v>
      </c>
      <c r="B14" s="33" t="s">
        <v>140</v>
      </c>
      <c r="C14" s="33" t="s">
        <v>144</v>
      </c>
      <c r="D14" s="33">
        <v>1506941.43025</v>
      </c>
      <c r="E14" s="38">
        <f t="shared" si="0"/>
        <v>34.6</v>
      </c>
      <c r="F14" s="28" t="s">
        <v>118</v>
      </c>
      <c r="G14" s="28" t="s">
        <v>160</v>
      </c>
      <c r="H14" s="28">
        <v>6.7990651205199999</v>
      </c>
      <c r="I14" s="35">
        <f>'13'!C4</f>
        <v>6.5492977533216301</v>
      </c>
      <c r="J14" s="32">
        <f>'Reuse calcs'!$D$4</f>
        <v>0.9</v>
      </c>
      <c r="K14" s="27">
        <f t="shared" si="7"/>
        <v>5.9</v>
      </c>
      <c r="L14" s="36">
        <f t="shared" si="3"/>
        <v>2.6761949830000002E-3</v>
      </c>
      <c r="M14" s="27">
        <f>'13'!H4</f>
        <v>62.839342517287562</v>
      </c>
      <c r="N14" s="35">
        <f t="shared" si="4"/>
        <v>138.53703605265071</v>
      </c>
      <c r="O14" s="32">
        <f>'Reuse calcs'!$D$4</f>
        <v>0.9</v>
      </c>
      <c r="P14" s="27">
        <f t="shared" si="8"/>
        <v>124.7</v>
      </c>
      <c r="Q14" s="36">
        <f t="shared" si="6"/>
        <v>5.6562968539000003E-2</v>
      </c>
    </row>
    <row r="15" spans="1:18" s="30" customFormat="1" ht="39.6" x14ac:dyDescent="0.25">
      <c r="A15" s="26" t="s">
        <v>11</v>
      </c>
      <c r="B15" s="33" t="s">
        <v>145</v>
      </c>
      <c r="C15" s="33" t="s">
        <v>144</v>
      </c>
      <c r="D15" s="33">
        <v>58985993.126900002</v>
      </c>
      <c r="E15" s="38">
        <f t="shared" si="0"/>
        <v>1354.1</v>
      </c>
      <c r="F15" s="28" t="s">
        <v>118</v>
      </c>
      <c r="G15" s="28" t="s">
        <v>160</v>
      </c>
      <c r="H15" s="28">
        <v>100.915682086</v>
      </c>
      <c r="I15" s="35">
        <f>'14'!C4</f>
        <v>131.35370709101085</v>
      </c>
      <c r="J15" s="32">
        <f>'Reuse calcs'!$D$6</f>
        <v>0.9</v>
      </c>
      <c r="K15" s="27">
        <f t="shared" si="7"/>
        <v>118.2</v>
      </c>
      <c r="L15" s="36">
        <f t="shared" si="3"/>
        <v>5.3614618134000001E-2</v>
      </c>
      <c r="M15" s="27">
        <f>'14'!H4</f>
        <v>1119.5954173987711</v>
      </c>
      <c r="N15" s="35">
        <f t="shared" si="4"/>
        <v>2468.285384460944</v>
      </c>
      <c r="O15" s="32">
        <f>'Reuse calcs'!$D$6</f>
        <v>0.9</v>
      </c>
      <c r="P15" s="27">
        <f t="shared" si="8"/>
        <v>2221.5</v>
      </c>
      <c r="Q15" s="36">
        <f t="shared" si="6"/>
        <v>1.0076554499549999</v>
      </c>
    </row>
    <row r="16" spans="1:18" s="30" customFormat="1" ht="26.4" x14ac:dyDescent="0.25">
      <c r="A16" s="26" t="s">
        <v>12</v>
      </c>
      <c r="B16" s="33" t="s">
        <v>35</v>
      </c>
      <c r="C16" s="33" t="s">
        <v>144</v>
      </c>
      <c r="D16" s="33">
        <v>322916.02076799999</v>
      </c>
      <c r="E16" s="38">
        <f t="shared" si="0"/>
        <v>7.4</v>
      </c>
      <c r="F16" s="28" t="s">
        <v>118</v>
      </c>
      <c r="G16" s="28" t="s">
        <v>164</v>
      </c>
      <c r="H16" s="28">
        <v>0.330583423376</v>
      </c>
      <c r="I16" s="35">
        <f>'15'!C4</f>
        <v>0.44026247429535237</v>
      </c>
      <c r="J16" s="32">
        <f>'Reuse calcs'!$D$7</f>
        <v>0.9</v>
      </c>
      <c r="K16" s="27">
        <f t="shared" si="7"/>
        <v>0.4</v>
      </c>
      <c r="L16" s="36">
        <f t="shared" si="3"/>
        <v>1.81436948E-4</v>
      </c>
      <c r="M16" s="27">
        <f>'15'!H4</f>
        <v>3.7551713778555467</v>
      </c>
      <c r="N16" s="35">
        <f t="shared" si="4"/>
        <v>8.2787357683562135</v>
      </c>
      <c r="O16" s="32">
        <f>'Reuse calcs'!$D$7</f>
        <v>0.9</v>
      </c>
      <c r="P16" s="27">
        <f t="shared" si="8"/>
        <v>7.5</v>
      </c>
      <c r="Q16" s="36">
        <f t="shared" si="6"/>
        <v>3.4019427749999998E-3</v>
      </c>
    </row>
    <row r="17" spans="1:18" s="30" customFormat="1" x14ac:dyDescent="0.25">
      <c r="A17" s="26" t="s">
        <v>13</v>
      </c>
      <c r="B17" s="33" t="s">
        <v>36</v>
      </c>
      <c r="C17" s="33" t="s">
        <v>144</v>
      </c>
      <c r="D17" s="33">
        <v>11624976.7476</v>
      </c>
      <c r="E17" s="38">
        <f t="shared" si="0"/>
        <v>266.89999999999998</v>
      </c>
      <c r="F17" s="28" t="s">
        <v>118</v>
      </c>
      <c r="G17" s="28" t="s">
        <v>159</v>
      </c>
      <c r="H17" s="28">
        <v>26.847616858799999</v>
      </c>
      <c r="I17" s="35">
        <f>'16'!C4</f>
        <v>30.960871178774475</v>
      </c>
      <c r="J17" s="32">
        <f>'Reuse calcs'!$D$8</f>
        <v>1</v>
      </c>
      <c r="K17" s="27">
        <f t="shared" si="7"/>
        <v>31</v>
      </c>
      <c r="L17" s="36">
        <f t="shared" si="3"/>
        <v>1.4061363469999999E-2</v>
      </c>
      <c r="M17" s="27">
        <f>'16'!H4</f>
        <v>200.45682856225724</v>
      </c>
      <c r="N17" s="35">
        <f t="shared" si="4"/>
        <v>441.93165894263672</v>
      </c>
      <c r="O17" s="32">
        <f>'Reuse calcs'!$D$8</f>
        <v>1</v>
      </c>
      <c r="P17" s="27">
        <f t="shared" si="8"/>
        <v>441.9</v>
      </c>
      <c r="Q17" s="36">
        <f t="shared" si="6"/>
        <v>0.20044246830299997</v>
      </c>
    </row>
    <row r="18" spans="1:18" s="30" customFormat="1" x14ac:dyDescent="0.25">
      <c r="A18" s="26" t="s">
        <v>14</v>
      </c>
      <c r="B18" s="33" t="s">
        <v>146</v>
      </c>
      <c r="C18" s="33" t="s">
        <v>144</v>
      </c>
      <c r="D18" s="33">
        <v>7427068.4776600003</v>
      </c>
      <c r="E18" s="38">
        <f t="shared" si="0"/>
        <v>170.5</v>
      </c>
      <c r="F18" s="28" t="s">
        <v>118</v>
      </c>
      <c r="G18" s="28" t="s">
        <v>159</v>
      </c>
      <c r="H18" s="28">
        <v>12.4674421325</v>
      </c>
      <c r="I18" s="35">
        <f>'17'!C4</f>
        <v>12.712181041723667</v>
      </c>
      <c r="J18" s="32">
        <f>'Reuse calcs'!$D$9</f>
        <v>0.9</v>
      </c>
      <c r="K18" s="27">
        <f t="shared" si="7"/>
        <v>11.4</v>
      </c>
      <c r="L18" s="36">
        <f t="shared" si="3"/>
        <v>5.1709530179999998E-3</v>
      </c>
      <c r="M18" s="27">
        <f>'17'!H4</f>
        <v>103.3192988952521</v>
      </c>
      <c r="N18" s="35">
        <f t="shared" si="4"/>
        <v>227.78006361298853</v>
      </c>
      <c r="O18" s="32">
        <f>'Reuse calcs'!$D$9</f>
        <v>0.9</v>
      </c>
      <c r="P18" s="27">
        <f t="shared" si="8"/>
        <v>205</v>
      </c>
      <c r="Q18" s="36">
        <f t="shared" si="6"/>
        <v>9.2986435849999993E-2</v>
      </c>
    </row>
    <row r="19" spans="1:18" s="30" customFormat="1" ht="26.4" x14ac:dyDescent="0.25">
      <c r="A19" s="26" t="s">
        <v>15</v>
      </c>
      <c r="B19" s="33" t="s">
        <v>147</v>
      </c>
      <c r="C19" s="33" t="s">
        <v>144</v>
      </c>
      <c r="D19" s="33">
        <v>18621490.530900002</v>
      </c>
      <c r="E19" s="38">
        <f t="shared" si="0"/>
        <v>427.5</v>
      </c>
      <c r="F19" s="28" t="s">
        <v>118</v>
      </c>
      <c r="G19" s="28" t="s">
        <v>165</v>
      </c>
      <c r="H19" s="28">
        <v>45.5575779825</v>
      </c>
      <c r="I19" s="35">
        <f>'18'!C4</f>
        <v>54.340912025415641</v>
      </c>
      <c r="J19" s="32">
        <f>'Reuse calcs'!$D$10</f>
        <v>0.9</v>
      </c>
      <c r="K19" s="27">
        <f t="shared" si="7"/>
        <v>48.9</v>
      </c>
      <c r="L19" s="36">
        <f t="shared" si="3"/>
        <v>2.2180666892999999E-2</v>
      </c>
      <c r="M19" s="27">
        <f>'18'!H4</f>
        <v>449.67645978172402</v>
      </c>
      <c r="N19" s="35">
        <f t="shared" si="4"/>
        <v>991.36689572572664</v>
      </c>
      <c r="O19" s="32">
        <f>'Reuse calcs'!$D$10</f>
        <v>0.9</v>
      </c>
      <c r="P19" s="27">
        <f t="shared" si="8"/>
        <v>892.2</v>
      </c>
      <c r="Q19" s="36">
        <f t="shared" si="6"/>
        <v>0.40469511251400003</v>
      </c>
    </row>
    <row r="20" spans="1:18" s="30" customFormat="1" x14ac:dyDescent="0.25">
      <c r="A20" s="26" t="s">
        <v>16</v>
      </c>
      <c r="B20" s="33" t="s">
        <v>148</v>
      </c>
      <c r="C20" s="33" t="s">
        <v>144</v>
      </c>
      <c r="D20" s="33">
        <v>753470.71512499999</v>
      </c>
      <c r="E20" s="38">
        <f t="shared" si="0"/>
        <v>17.3</v>
      </c>
      <c r="F20" s="28" t="s">
        <v>118</v>
      </c>
      <c r="G20" s="28" t="s">
        <v>166</v>
      </c>
      <c r="H20" s="28">
        <v>3.7423271536799998</v>
      </c>
      <c r="I20" s="35">
        <f>'19'!C4</f>
        <v>2.6487058068421869</v>
      </c>
      <c r="J20" s="32">
        <f>'Reuse calcs'!$D$11</f>
        <v>0.9</v>
      </c>
      <c r="K20" s="27">
        <f t="shared" si="7"/>
        <v>2.4</v>
      </c>
      <c r="L20" s="36">
        <f t="shared" si="3"/>
        <v>1.088621688E-3</v>
      </c>
      <c r="M20" s="27">
        <f>'19'!H4</f>
        <v>24.877499370475586</v>
      </c>
      <c r="N20" s="35">
        <f t="shared" si="4"/>
        <v>54.845497885965734</v>
      </c>
      <c r="O20" s="32">
        <f>'Reuse calcs'!$D$11</f>
        <v>0.9</v>
      </c>
      <c r="P20" s="27">
        <f t="shared" si="8"/>
        <v>49.4</v>
      </c>
      <c r="Q20" s="36">
        <f t="shared" si="6"/>
        <v>2.2407463077999998E-2</v>
      </c>
    </row>
    <row r="21" spans="1:18" s="30" customFormat="1" ht="39.6" x14ac:dyDescent="0.25">
      <c r="A21" s="26" t="s">
        <v>17</v>
      </c>
      <c r="B21" s="33" t="s">
        <v>149</v>
      </c>
      <c r="C21" s="33" t="s">
        <v>150</v>
      </c>
      <c r="D21" s="33">
        <v>256502959.16299999</v>
      </c>
      <c r="E21" s="38">
        <f t="shared" si="0"/>
        <v>5888.5</v>
      </c>
      <c r="F21" s="33" t="s">
        <v>118</v>
      </c>
      <c r="G21" s="33" t="s">
        <v>160</v>
      </c>
      <c r="H21" s="33">
        <v>872.53318573900003</v>
      </c>
      <c r="I21" s="35">
        <f>'20'!C4</f>
        <v>934.59788358547587</v>
      </c>
      <c r="J21" s="32">
        <f>'Reuse calcs'!$D$12</f>
        <v>0.8</v>
      </c>
      <c r="K21" s="31">
        <f t="shared" si="7"/>
        <v>747.7</v>
      </c>
      <c r="L21" s="36">
        <f t="shared" si="3"/>
        <v>0.33915101504900003</v>
      </c>
      <c r="M21" s="31">
        <f>'20'!H4</f>
        <v>11575.129657326936</v>
      </c>
      <c r="N21" s="35">
        <f t="shared" si="4"/>
        <v>25518.792692811043</v>
      </c>
      <c r="O21" s="32">
        <f>'Reuse calcs'!$D$12</f>
        <v>0.8</v>
      </c>
      <c r="P21" s="31">
        <f t="shared" si="8"/>
        <v>20415</v>
      </c>
      <c r="Q21" s="36">
        <f t="shared" si="6"/>
        <v>9.2600882335500003</v>
      </c>
      <c r="R21" s="30" t="s">
        <v>121</v>
      </c>
    </row>
    <row r="22" spans="1:18" s="42" customFormat="1" ht="237.6" x14ac:dyDescent="0.25">
      <c r="A22" s="39" t="s">
        <v>18</v>
      </c>
      <c r="B22" s="33" t="s">
        <v>37</v>
      </c>
      <c r="C22" s="33" t="s">
        <v>37</v>
      </c>
      <c r="D22" s="33" t="s">
        <v>5</v>
      </c>
      <c r="E22" s="38" t="s">
        <v>5</v>
      </c>
      <c r="F22" s="33" t="s">
        <v>118</v>
      </c>
      <c r="G22" s="33" t="s">
        <v>162</v>
      </c>
      <c r="H22" s="33" t="s">
        <v>5</v>
      </c>
      <c r="I22" s="40" t="s">
        <v>5</v>
      </c>
      <c r="J22" s="32" t="s">
        <v>5</v>
      </c>
      <c r="K22" s="31">
        <f>ROUND(74.1*(1-0.47),1)</f>
        <v>39.299999999999997</v>
      </c>
      <c r="L22" s="41">
        <f t="shared" si="3"/>
        <v>1.7826180140999997E-2</v>
      </c>
      <c r="M22" s="31" t="s">
        <v>5</v>
      </c>
      <c r="N22" s="40" t="s">
        <v>5</v>
      </c>
      <c r="O22" s="32" t="s">
        <v>5</v>
      </c>
      <c r="P22" s="31">
        <f>ROUND(115.6*(1-0.67),1)</f>
        <v>38.1</v>
      </c>
      <c r="Q22" s="41">
        <f t="shared" si="6"/>
        <v>1.7281869296999999E-2</v>
      </c>
    </row>
    <row r="23" spans="1:18" s="30" customFormat="1" ht="26.4" x14ac:dyDescent="0.25">
      <c r="A23" s="26" t="s">
        <v>19</v>
      </c>
      <c r="B23" s="33" t="s">
        <v>82</v>
      </c>
      <c r="C23" s="33" t="s">
        <v>141</v>
      </c>
      <c r="D23" s="33">
        <v>22604121.453699999</v>
      </c>
      <c r="E23" s="38">
        <f t="shared" si="0"/>
        <v>518.9</v>
      </c>
      <c r="F23" s="28" t="s">
        <v>118</v>
      </c>
      <c r="G23" s="28" t="s">
        <v>160</v>
      </c>
      <c r="H23" s="28">
        <f>'22'!C4</f>
        <v>82.226797171085366</v>
      </c>
      <c r="I23" s="35">
        <f t="shared" si="1"/>
        <v>181.27905716153504</v>
      </c>
      <c r="J23" s="29">
        <f>'Wet detention pond calcs'!F56</f>
        <v>2.0999999999999908E-2</v>
      </c>
      <c r="K23" s="27">
        <f>ROUND(I23*J23,1)</f>
        <v>3.8</v>
      </c>
      <c r="L23" s="36">
        <f t="shared" si="3"/>
        <v>1.7236510059999998E-3</v>
      </c>
      <c r="M23" s="27">
        <f>'22'!H4</f>
        <v>616.06076656114976</v>
      </c>
      <c r="N23" s="35">
        <f t="shared" si="4"/>
        <v>1358.1815023641598</v>
      </c>
      <c r="O23" s="29">
        <f>'Wet detention pond calcs'!F57</f>
        <v>4.0000000000000591E-3</v>
      </c>
      <c r="P23" s="31">
        <f>ROUND(N23*O23,1)</f>
        <v>5.4</v>
      </c>
      <c r="Q23" s="36">
        <f t="shared" si="6"/>
        <v>2.449398798E-3</v>
      </c>
    </row>
    <row r="24" spans="1:18" s="30" customFormat="1" x14ac:dyDescent="0.25">
      <c r="A24" s="26" t="s">
        <v>20</v>
      </c>
      <c r="B24" s="33" t="s">
        <v>83</v>
      </c>
      <c r="C24" s="33" t="s">
        <v>151</v>
      </c>
      <c r="D24" s="33">
        <v>1291664.0830699999</v>
      </c>
      <c r="E24" s="38">
        <f t="shared" si="0"/>
        <v>29.7</v>
      </c>
      <c r="F24" s="28" t="s">
        <v>118</v>
      </c>
      <c r="G24" s="28" t="s">
        <v>167</v>
      </c>
      <c r="H24" s="28">
        <f>'23'!C4</f>
        <v>1.3635618737967869</v>
      </c>
      <c r="I24" s="35">
        <f t="shared" si="1"/>
        <v>3.0061393531963931</v>
      </c>
      <c r="J24" s="29">
        <v>1</v>
      </c>
      <c r="K24" s="27">
        <f t="shared" ref="K24:K29" si="9">ROUND(I24*J24,1)</f>
        <v>3</v>
      </c>
      <c r="L24" s="36">
        <f t="shared" si="3"/>
        <v>1.3607771100000001E-3</v>
      </c>
      <c r="M24" s="27">
        <f>'23'!H4</f>
        <v>8.4052763601086813</v>
      </c>
      <c r="N24" s="35">
        <f t="shared" si="4"/>
        <v>18.530462405976362</v>
      </c>
      <c r="O24" s="29">
        <v>1</v>
      </c>
      <c r="P24" s="31">
        <f t="shared" ref="P24:P29" si="10">ROUND(N24*O24,1)</f>
        <v>18.5</v>
      </c>
      <c r="Q24" s="36">
        <f t="shared" si="6"/>
        <v>8.3914588449999997E-3</v>
      </c>
      <c r="R24" s="30" t="s">
        <v>95</v>
      </c>
    </row>
    <row r="25" spans="1:18" s="30" customFormat="1" x14ac:dyDescent="0.25">
      <c r="A25" s="26" t="s">
        <v>21</v>
      </c>
      <c r="B25" s="33" t="s">
        <v>84</v>
      </c>
      <c r="C25" s="33" t="s">
        <v>151</v>
      </c>
      <c r="D25" s="33">
        <v>5489572.35305</v>
      </c>
      <c r="E25" s="38">
        <f t="shared" si="0"/>
        <v>126</v>
      </c>
      <c r="F25" s="28" t="s">
        <v>118</v>
      </c>
      <c r="G25" s="28" t="s">
        <v>159</v>
      </c>
      <c r="H25" s="33">
        <f>'24'!C4</f>
        <v>20.545029872290289</v>
      </c>
      <c r="I25" s="35">
        <f t="shared" si="1"/>
        <v>45.294037622007934</v>
      </c>
      <c r="J25" s="29">
        <v>1</v>
      </c>
      <c r="K25" s="27">
        <f t="shared" si="9"/>
        <v>45.3</v>
      </c>
      <c r="L25" s="36">
        <f t="shared" si="3"/>
        <v>2.0547734360999999E-2</v>
      </c>
      <c r="M25" s="27">
        <f>'24'!H4</f>
        <v>221.26368934322562</v>
      </c>
      <c r="N25" s="35">
        <f t="shared" si="4"/>
        <v>487.80293490900277</v>
      </c>
      <c r="O25" s="29">
        <v>1</v>
      </c>
      <c r="P25" s="31">
        <f t="shared" si="10"/>
        <v>487.8</v>
      </c>
      <c r="Q25" s="36">
        <f t="shared" si="6"/>
        <v>0.221262358086</v>
      </c>
      <c r="R25" s="30" t="s">
        <v>120</v>
      </c>
    </row>
    <row r="26" spans="1:18" s="30" customFormat="1" x14ac:dyDescent="0.25">
      <c r="A26" s="26" t="s">
        <v>22</v>
      </c>
      <c r="B26" s="33" t="s">
        <v>85</v>
      </c>
      <c r="C26" s="33" t="s">
        <v>151</v>
      </c>
      <c r="D26" s="33">
        <v>215277.347178</v>
      </c>
      <c r="E26" s="38">
        <f t="shared" si="0"/>
        <v>4.9000000000000004</v>
      </c>
      <c r="F26" s="28" t="s">
        <v>118</v>
      </c>
      <c r="G26" s="28" t="s">
        <v>166</v>
      </c>
      <c r="H26" s="28">
        <f>'25'!C4</f>
        <v>1.0637655234106842</v>
      </c>
      <c r="I26" s="35">
        <f t="shared" si="1"/>
        <v>2.345201537202112</v>
      </c>
      <c r="J26" s="29">
        <v>1</v>
      </c>
      <c r="K26" s="27">
        <f t="shared" si="9"/>
        <v>2.2999999999999998</v>
      </c>
      <c r="L26" s="36">
        <f t="shared" si="3"/>
        <v>1.0432624509999998E-3</v>
      </c>
      <c r="M26" s="27">
        <f>'25'!H4</f>
        <v>5.5391671535798395</v>
      </c>
      <c r="N26" s="35">
        <f t="shared" si="4"/>
        <v>12.211773212713629</v>
      </c>
      <c r="O26" s="29">
        <v>1</v>
      </c>
      <c r="P26" s="31">
        <f t="shared" si="10"/>
        <v>12.2</v>
      </c>
      <c r="Q26" s="36">
        <f t="shared" si="6"/>
        <v>5.5338269139999993E-3</v>
      </c>
      <c r="R26" s="30" t="s">
        <v>95</v>
      </c>
    </row>
    <row r="27" spans="1:18" s="30" customFormat="1" x14ac:dyDescent="0.25">
      <c r="A27" s="26" t="s">
        <v>23</v>
      </c>
      <c r="B27" s="33" t="s">
        <v>86</v>
      </c>
      <c r="C27" s="33" t="s">
        <v>151</v>
      </c>
      <c r="D27" s="33">
        <v>1506941.43025</v>
      </c>
      <c r="E27" s="38">
        <f t="shared" si="0"/>
        <v>34.6</v>
      </c>
      <c r="F27" s="28" t="s">
        <v>118</v>
      </c>
      <c r="G27" s="28" t="s">
        <v>160</v>
      </c>
      <c r="H27" s="33">
        <f>'26'!C4</f>
        <v>6.5680377475483152</v>
      </c>
      <c r="I27" s="35">
        <f t="shared" si="1"/>
        <v>14.480044599081333</v>
      </c>
      <c r="J27" s="29">
        <v>1</v>
      </c>
      <c r="K27" s="27">
        <f t="shared" si="9"/>
        <v>14.5</v>
      </c>
      <c r="L27" s="36">
        <f t="shared" si="3"/>
        <v>6.5770893650000002E-3</v>
      </c>
      <c r="M27" s="27">
        <f>'26'!H4</f>
        <v>62.839344589555438</v>
      </c>
      <c r="N27" s="35">
        <f t="shared" si="4"/>
        <v>138.53704062121935</v>
      </c>
      <c r="O27" s="29">
        <v>1</v>
      </c>
      <c r="P27" s="31">
        <f t="shared" si="10"/>
        <v>138.5</v>
      </c>
      <c r="Q27" s="36">
        <f t="shared" si="6"/>
        <v>6.2822543245000001E-2</v>
      </c>
      <c r="R27" s="30" t="s">
        <v>95</v>
      </c>
    </row>
    <row r="28" spans="1:18" s="30" customFormat="1" x14ac:dyDescent="0.25">
      <c r="A28" s="26" t="s">
        <v>24</v>
      </c>
      <c r="B28" s="33" t="s">
        <v>87</v>
      </c>
      <c r="C28" s="33" t="s">
        <v>151</v>
      </c>
      <c r="D28" s="33">
        <v>107638.673589</v>
      </c>
      <c r="E28" s="38">
        <f t="shared" si="0"/>
        <v>2.5</v>
      </c>
      <c r="F28" s="28" t="s">
        <v>118</v>
      </c>
      <c r="G28" s="28" t="s">
        <v>159</v>
      </c>
      <c r="H28" s="28">
        <f>'27'!C4</f>
        <v>0.23667155906250392</v>
      </c>
      <c r="I28" s="35">
        <f t="shared" si="1"/>
        <v>0.5217714730458709</v>
      </c>
      <c r="J28" s="29">
        <v>1</v>
      </c>
      <c r="K28" s="27">
        <f t="shared" si="9"/>
        <v>0.5</v>
      </c>
      <c r="L28" s="36">
        <f t="shared" si="3"/>
        <v>2.2679618499999999E-4</v>
      </c>
      <c r="M28" s="27">
        <f>'27'!H4</f>
        <v>1.8299681978016937</v>
      </c>
      <c r="N28" s="35">
        <f t="shared" si="4"/>
        <v>4.0343892860481914</v>
      </c>
      <c r="O28" s="29">
        <v>1</v>
      </c>
      <c r="P28" s="31">
        <f t="shared" si="10"/>
        <v>4</v>
      </c>
      <c r="Q28" s="36">
        <f t="shared" si="6"/>
        <v>1.81436948E-3</v>
      </c>
      <c r="R28" s="30" t="s">
        <v>96</v>
      </c>
    </row>
    <row r="29" spans="1:18" s="30" customFormat="1" ht="26.4" x14ac:dyDescent="0.25">
      <c r="A29" s="26" t="s">
        <v>25</v>
      </c>
      <c r="B29" s="33" t="s">
        <v>88</v>
      </c>
      <c r="C29" s="33" t="s">
        <v>151</v>
      </c>
      <c r="D29" s="33">
        <v>58985993.126900002</v>
      </c>
      <c r="E29" s="38">
        <f t="shared" si="0"/>
        <v>1354.1</v>
      </c>
      <c r="F29" s="28" t="s">
        <v>118</v>
      </c>
      <c r="G29" s="28" t="s">
        <v>165</v>
      </c>
      <c r="H29" s="28">
        <f>'28'!C4</f>
        <v>131.35371140922388</v>
      </c>
      <c r="I29" s="35">
        <f t="shared" si="1"/>
        <v>289.58536363016373</v>
      </c>
      <c r="J29" s="29">
        <v>1</v>
      </c>
      <c r="K29" s="27">
        <f t="shared" si="9"/>
        <v>289.60000000000002</v>
      </c>
      <c r="L29" s="36">
        <f t="shared" si="3"/>
        <v>0.131360350352</v>
      </c>
      <c r="M29" s="27">
        <f>'28'!H4</f>
        <v>1119.5954272151166</v>
      </c>
      <c r="N29" s="35">
        <f t="shared" si="4"/>
        <v>2468.2854061022813</v>
      </c>
      <c r="O29" s="29">
        <v>1</v>
      </c>
      <c r="P29" s="31">
        <f t="shared" si="10"/>
        <v>2468.3000000000002</v>
      </c>
      <c r="Q29" s="36">
        <f t="shared" si="6"/>
        <v>1.119602046871</v>
      </c>
      <c r="R29" s="30" t="s">
        <v>97</v>
      </c>
    </row>
    <row r="30" spans="1:18" s="30" customFormat="1" x14ac:dyDescent="0.25">
      <c r="A30" s="26" t="s">
        <v>26</v>
      </c>
      <c r="B30" s="33" t="s">
        <v>89</v>
      </c>
      <c r="C30" s="33" t="s">
        <v>144</v>
      </c>
      <c r="D30" s="33">
        <v>2475689.4925500001</v>
      </c>
      <c r="E30" s="38">
        <f t="shared" si="0"/>
        <v>56.8</v>
      </c>
      <c r="F30" s="28" t="s">
        <v>118</v>
      </c>
      <c r="G30" s="28" t="s">
        <v>161</v>
      </c>
      <c r="H30" s="28">
        <f>'29'!C4</f>
        <v>0.9885912007885006</v>
      </c>
      <c r="I30" s="35">
        <f t="shared" si="1"/>
        <v>2.1794705249707542</v>
      </c>
      <c r="J30" s="32">
        <f>'Reuse calcs'!$D$13</f>
        <v>0.8</v>
      </c>
      <c r="K30" s="27">
        <f>ROUND(I30*J30,1)</f>
        <v>1.7</v>
      </c>
      <c r="L30" s="36">
        <f t="shared" si="3"/>
        <v>7.7110702899999993E-4</v>
      </c>
      <c r="M30" s="27">
        <f>'29'!H4</f>
        <v>31.518593397686299</v>
      </c>
      <c r="N30" s="35">
        <f t="shared" si="4"/>
        <v>69.486604011855334</v>
      </c>
      <c r="O30" s="32">
        <f>'Reuse calcs'!$D$13</f>
        <v>0.8</v>
      </c>
      <c r="P30" s="27">
        <f>ROUND(N30*O30,1)</f>
        <v>55.6</v>
      </c>
      <c r="Q30" s="36">
        <f t="shared" si="6"/>
        <v>2.5219735771999999E-2</v>
      </c>
    </row>
    <row r="31" spans="1:18" s="30" customFormat="1" x14ac:dyDescent="0.25">
      <c r="A31" s="26" t="s">
        <v>27</v>
      </c>
      <c r="B31" s="33" t="s">
        <v>90</v>
      </c>
      <c r="C31" s="33" t="s">
        <v>144</v>
      </c>
      <c r="D31" s="33">
        <v>538193.36794599995</v>
      </c>
      <c r="E31" s="38">
        <f t="shared" si="0"/>
        <v>12.4</v>
      </c>
      <c r="F31" s="28" t="s">
        <v>118</v>
      </c>
      <c r="G31" s="28" t="s">
        <v>166</v>
      </c>
      <c r="H31" s="28">
        <f>'30'!C4</f>
        <v>0.6454309102047</v>
      </c>
      <c r="I31" s="35">
        <f t="shared" si="1"/>
        <v>1.4229315854462461</v>
      </c>
      <c r="J31" s="32">
        <f>'Reuse calcs'!$D$14</f>
        <v>0.8</v>
      </c>
      <c r="K31" s="27">
        <f t="shared" ref="K31:K34" si="11">ROUND(I31*J31,1)</f>
        <v>1.1000000000000001</v>
      </c>
      <c r="L31" s="36">
        <f t="shared" si="3"/>
        <v>4.9895160700000004E-4</v>
      </c>
      <c r="M31" s="27">
        <f>'30'!H4</f>
        <v>7.3464327240870482</v>
      </c>
      <c r="N31" s="35">
        <f t="shared" si="4"/>
        <v>16.196111773054103</v>
      </c>
      <c r="O31" s="32">
        <f>'Reuse calcs'!$D$14</f>
        <v>0.8</v>
      </c>
      <c r="P31" s="27">
        <f t="shared" ref="P31:P34" si="12">ROUND(N31*O31,1)</f>
        <v>13</v>
      </c>
      <c r="Q31" s="36">
        <f t="shared" si="6"/>
        <v>5.8967008099999997E-3</v>
      </c>
    </row>
    <row r="32" spans="1:18" s="30" customFormat="1" x14ac:dyDescent="0.25">
      <c r="A32" s="26" t="s">
        <v>28</v>
      </c>
      <c r="B32" s="33" t="s">
        <v>92</v>
      </c>
      <c r="C32" s="33" t="s">
        <v>144</v>
      </c>
      <c r="D32" s="33">
        <v>538193.36794599995</v>
      </c>
      <c r="E32" s="38">
        <f t="shared" si="0"/>
        <v>12.4</v>
      </c>
      <c r="F32" s="28" t="s">
        <v>118</v>
      </c>
      <c r="G32" s="28" t="s">
        <v>159</v>
      </c>
      <c r="H32" s="28">
        <f>'31'!C4</f>
        <v>23.463230749536073</v>
      </c>
      <c r="I32" s="35">
        <f t="shared" si="1"/>
        <v>51.7275692909406</v>
      </c>
      <c r="J32" s="32">
        <f>'Reuse calcs'!$D$15</f>
        <v>0.8</v>
      </c>
      <c r="K32" s="27">
        <f t="shared" si="11"/>
        <v>41.4</v>
      </c>
      <c r="L32" s="36">
        <f t="shared" si="3"/>
        <v>1.8778724117999999E-2</v>
      </c>
      <c r="M32" s="27">
        <f>'31'!H4</f>
        <v>159.23812988534559</v>
      </c>
      <c r="N32" s="35">
        <f t="shared" si="4"/>
        <v>351.05998339835952</v>
      </c>
      <c r="O32" s="32">
        <f>'Reuse calcs'!$D$15</f>
        <v>0.8</v>
      </c>
      <c r="P32" s="27">
        <f t="shared" si="12"/>
        <v>280.8</v>
      </c>
      <c r="Q32" s="36">
        <f t="shared" si="6"/>
        <v>0.127368737496</v>
      </c>
    </row>
    <row r="33" spans="1:17" s="30" customFormat="1" x14ac:dyDescent="0.25">
      <c r="A33" s="26" t="s">
        <v>93</v>
      </c>
      <c r="B33" s="33" t="s">
        <v>91</v>
      </c>
      <c r="C33" s="33" t="s">
        <v>144</v>
      </c>
      <c r="D33" s="33">
        <v>1184025.4094799999</v>
      </c>
      <c r="E33" s="38">
        <f t="shared" si="0"/>
        <v>27.2</v>
      </c>
      <c r="F33" s="28" t="s">
        <v>118</v>
      </c>
      <c r="G33" s="28" t="s">
        <v>161</v>
      </c>
      <c r="H33" s="28">
        <f>'32'!C4</f>
        <v>0.63976151701863315</v>
      </c>
      <c r="I33" s="35">
        <f t="shared" si="1"/>
        <v>1.4104327129763643</v>
      </c>
      <c r="J33" s="32">
        <f>'Reuse calcs'!$D$16</f>
        <v>0.8</v>
      </c>
      <c r="K33" s="27">
        <f t="shared" si="11"/>
        <v>1.1000000000000001</v>
      </c>
      <c r="L33" s="36">
        <f t="shared" si="3"/>
        <v>4.9895160700000004E-4</v>
      </c>
      <c r="M33" s="27">
        <f>'32'!H4</f>
        <v>5.713919272888532</v>
      </c>
      <c r="N33" s="35">
        <f t="shared" si="4"/>
        <v>12.597035688149065</v>
      </c>
      <c r="O33" s="32">
        <f>'Reuse calcs'!$D$16</f>
        <v>0.8</v>
      </c>
      <c r="P33" s="27">
        <f t="shared" si="12"/>
        <v>10.1</v>
      </c>
      <c r="Q33" s="36">
        <f t="shared" si="6"/>
        <v>4.581282937E-3</v>
      </c>
    </row>
    <row r="34" spans="1:17" s="30" customFormat="1" ht="26.4" x14ac:dyDescent="0.25">
      <c r="A34" s="26" t="s">
        <v>94</v>
      </c>
      <c r="B34" s="33" t="s">
        <v>152</v>
      </c>
      <c r="C34" s="33" t="s">
        <v>153</v>
      </c>
      <c r="D34" s="33">
        <v>322916.02076799999</v>
      </c>
      <c r="E34" s="38">
        <f t="shared" si="0"/>
        <v>7.4</v>
      </c>
      <c r="F34" s="28" t="s">
        <v>118</v>
      </c>
      <c r="G34" s="28" t="s">
        <v>168</v>
      </c>
      <c r="H34" s="33">
        <f>'33'!C4</f>
        <v>1.9579269454748587</v>
      </c>
      <c r="I34" s="35">
        <f t="shared" si="1"/>
        <v>4.3164900358256491</v>
      </c>
      <c r="J34" s="32">
        <v>0.1</v>
      </c>
      <c r="K34" s="27">
        <f t="shared" si="11"/>
        <v>0.4</v>
      </c>
      <c r="L34" s="36">
        <f t="shared" si="3"/>
        <v>1.81436948E-4</v>
      </c>
      <c r="M34" s="31">
        <f>'33'!H4</f>
        <v>14.668174321792657</v>
      </c>
      <c r="N34" s="35">
        <f t="shared" si="4"/>
        <v>32.337788930329964</v>
      </c>
      <c r="O34" s="32">
        <v>0</v>
      </c>
      <c r="P34" s="27">
        <f t="shared" si="12"/>
        <v>0</v>
      </c>
      <c r="Q34" s="36">
        <f t="shared" si="6"/>
        <v>0</v>
      </c>
    </row>
    <row r="35" spans="1:17" x14ac:dyDescent="0.25">
      <c r="J35" s="18" t="s">
        <v>6</v>
      </c>
      <c r="K35" s="19">
        <f>SUM(K2:K11)+K12+SUM(K13:K34)</f>
        <v>10772.674455163487</v>
      </c>
      <c r="L35" s="37">
        <f>SUM(L2:L11)+L12+SUM(L13:L34)</f>
        <v>4.8864029373560651</v>
      </c>
      <c r="M35" s="19"/>
      <c r="N35" s="19"/>
      <c r="O35" s="19"/>
      <c r="P35" s="19">
        <f>SUM(P2:P11)+P12+SUM(P13:P34)</f>
        <v>50606.925994618214</v>
      </c>
      <c r="Q35" s="37">
        <f>SUM(Q2:Q11)+Q12+SUM(Q13:Q34)</f>
        <v>22.954915500313483</v>
      </c>
    </row>
    <row r="37" spans="1:17" x14ac:dyDescent="0.25">
      <c r="K37" s="16"/>
      <c r="L37" s="16"/>
      <c r="M37" s="16"/>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58056-5A28-4A30-870C-2C1753BE0C0D}">
  <dimension ref="A1:H4"/>
  <sheetViews>
    <sheetView workbookViewId="0">
      <selection activeCell="C2" sqref="C2:C4"/>
    </sheetView>
  </sheetViews>
  <sheetFormatPr defaultRowHeight="14.4" x14ac:dyDescent="0.3"/>
  <sheetData>
    <row r="1" spans="1:8" x14ac:dyDescent="0.3">
      <c r="A1" s="85" t="s">
        <v>170</v>
      </c>
      <c r="B1" s="85" t="s">
        <v>171</v>
      </c>
      <c r="C1" s="85" t="s">
        <v>172</v>
      </c>
      <c r="F1" s="58" t="s">
        <v>170</v>
      </c>
      <c r="G1" s="58" t="s">
        <v>171</v>
      </c>
      <c r="H1" s="58" t="s">
        <v>172</v>
      </c>
    </row>
    <row r="2" spans="1:8" x14ac:dyDescent="0.3">
      <c r="A2" s="86">
        <v>1</v>
      </c>
      <c r="B2" s="86">
        <v>40</v>
      </c>
      <c r="C2" s="87">
        <v>4.2026392170298457E-3</v>
      </c>
      <c r="F2" s="59">
        <v>1</v>
      </c>
      <c r="G2" s="59">
        <v>40</v>
      </c>
      <c r="H2" s="60">
        <v>28.085349498150453</v>
      </c>
    </row>
    <row r="3" spans="1:8" x14ac:dyDescent="0.3">
      <c r="A3" s="125">
        <v>1</v>
      </c>
      <c r="B3" s="125">
        <v>40</v>
      </c>
      <c r="C3" s="126">
        <v>5.6748513324417858E-3</v>
      </c>
      <c r="F3" s="107">
        <v>1</v>
      </c>
      <c r="G3" s="107">
        <v>40</v>
      </c>
      <c r="H3" s="108">
        <v>16.827319783843219</v>
      </c>
    </row>
    <row r="4" spans="1:8" x14ac:dyDescent="0.3">
      <c r="C4">
        <f>SUM(C2:C3)</f>
        <v>9.8774905494716306E-3</v>
      </c>
      <c r="H4">
        <f>SUM(H2:H3)</f>
        <v>44.912669281993672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7BA5A-FC55-45F4-A09E-F9EA5EB72F68}">
  <dimension ref="A1:H4"/>
  <sheetViews>
    <sheetView workbookViewId="0">
      <selection activeCell="C2" sqref="C2:C4"/>
    </sheetView>
  </sheetViews>
  <sheetFormatPr defaultRowHeight="14.4" x14ac:dyDescent="0.3"/>
  <sheetData>
    <row r="1" spans="1:8" x14ac:dyDescent="0.3">
      <c r="A1" s="88" t="s">
        <v>170</v>
      </c>
      <c r="B1" s="88" t="s">
        <v>171</v>
      </c>
      <c r="C1" s="88" t="s">
        <v>172</v>
      </c>
      <c r="F1" s="61" t="s">
        <v>170</v>
      </c>
      <c r="G1" s="61" t="s">
        <v>171</v>
      </c>
      <c r="H1" s="61" t="s">
        <v>172</v>
      </c>
    </row>
    <row r="2" spans="1:8" x14ac:dyDescent="0.3">
      <c r="A2" s="89">
        <v>1</v>
      </c>
      <c r="B2" s="89">
        <v>29</v>
      </c>
      <c r="C2" s="90">
        <v>0.18060599393742219</v>
      </c>
      <c r="F2" s="62">
        <v>1</v>
      </c>
      <c r="G2" s="62">
        <v>29</v>
      </c>
      <c r="H2" s="63">
        <v>13.706033990892863</v>
      </c>
    </row>
    <row r="3" spans="1:8" x14ac:dyDescent="0.3">
      <c r="A3" s="127">
        <v>1</v>
      </c>
      <c r="B3" s="127">
        <v>29</v>
      </c>
      <c r="C3" s="128">
        <v>0.20966160212673318</v>
      </c>
      <c r="F3" s="109">
        <v>1</v>
      </c>
      <c r="G3" s="109">
        <v>29</v>
      </c>
      <c r="H3" s="110">
        <v>2.6926995190248881</v>
      </c>
    </row>
    <row r="4" spans="1:8" x14ac:dyDescent="0.3">
      <c r="C4">
        <f>SUM(C2:C3)</f>
        <v>0.3902675960641554</v>
      </c>
      <c r="H4">
        <f>SUM(H2:H3)</f>
        <v>16.398733509917751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66461-B982-4809-98BD-DFFB92C6FB92}">
  <dimension ref="A1:H4"/>
  <sheetViews>
    <sheetView workbookViewId="0">
      <selection activeCell="C2" sqref="C2:C4"/>
    </sheetView>
  </sheetViews>
  <sheetFormatPr defaultRowHeight="14.4" x14ac:dyDescent="0.3"/>
  <sheetData>
    <row r="1" spans="1:8" x14ac:dyDescent="0.3">
      <c r="A1" s="91" t="s">
        <v>170</v>
      </c>
      <c r="B1" s="91" t="s">
        <v>171</v>
      </c>
      <c r="C1" s="91" t="s">
        <v>172</v>
      </c>
      <c r="F1" s="64" t="s">
        <v>170</v>
      </c>
      <c r="G1" s="64" t="s">
        <v>171</v>
      </c>
      <c r="H1" s="64" t="s">
        <v>172</v>
      </c>
    </row>
    <row r="2" spans="1:8" x14ac:dyDescent="0.3">
      <c r="A2" s="92">
        <v>1</v>
      </c>
      <c r="B2" s="92">
        <v>17</v>
      </c>
      <c r="C2" s="93">
        <v>2.4820028295975817E-3</v>
      </c>
      <c r="F2" s="65">
        <v>1</v>
      </c>
      <c r="G2" s="65">
        <v>17</v>
      </c>
      <c r="H2" s="66">
        <v>6.3406296684384582</v>
      </c>
    </row>
    <row r="3" spans="1:8" x14ac:dyDescent="0.3">
      <c r="A3" s="129">
        <v>1</v>
      </c>
      <c r="B3" s="129">
        <v>17</v>
      </c>
      <c r="C3" s="130">
        <v>0.64716300165540652</v>
      </c>
      <c r="F3" s="111">
        <v>1</v>
      </c>
      <c r="G3" s="111">
        <v>17</v>
      </c>
      <c r="H3" s="112">
        <v>10.207273319488802</v>
      </c>
    </row>
    <row r="4" spans="1:8" x14ac:dyDescent="0.3">
      <c r="C4">
        <f>SUM(C2:C3)</f>
        <v>0.64964500448500406</v>
      </c>
      <c r="H4">
        <f>SUM(H2:H3)</f>
        <v>16.547902987927259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020A5-5808-4569-BA79-563CD584C134}">
  <dimension ref="A1:H4"/>
  <sheetViews>
    <sheetView workbookViewId="0">
      <selection activeCell="L11" sqref="L11"/>
    </sheetView>
  </sheetViews>
  <sheetFormatPr defaultRowHeight="14.4" x14ac:dyDescent="0.3"/>
  <sheetData>
    <row r="1" spans="1:8" x14ac:dyDescent="0.3">
      <c r="A1" s="94" t="s">
        <v>170</v>
      </c>
      <c r="B1" s="94" t="s">
        <v>171</v>
      </c>
      <c r="C1" s="94" t="s">
        <v>172</v>
      </c>
      <c r="F1" s="67" t="s">
        <v>170</v>
      </c>
      <c r="G1" s="67" t="s">
        <v>171</v>
      </c>
      <c r="H1" s="67" t="s">
        <v>172</v>
      </c>
    </row>
    <row r="2" spans="1:8" x14ac:dyDescent="0.3">
      <c r="A2" s="95">
        <v>1</v>
      </c>
      <c r="B2" s="95">
        <v>1006</v>
      </c>
      <c r="C2" s="96">
        <v>30.776466393677747</v>
      </c>
      <c r="F2" s="68">
        <v>1</v>
      </c>
      <c r="G2" s="68">
        <v>1006</v>
      </c>
      <c r="H2" s="69">
        <v>1449.0887377802546</v>
      </c>
    </row>
    <row r="3" spans="1:8" x14ac:dyDescent="0.3">
      <c r="A3" s="131">
        <v>1</v>
      </c>
      <c r="B3" s="131">
        <v>1006</v>
      </c>
      <c r="C3" s="132">
        <v>211.17742916595128</v>
      </c>
      <c r="F3" s="113">
        <v>1</v>
      </c>
      <c r="G3" s="113">
        <v>1006</v>
      </c>
      <c r="H3" s="114">
        <v>2246.4950606349371</v>
      </c>
    </row>
    <row r="4" spans="1:8" x14ac:dyDescent="0.3">
      <c r="C4">
        <f>SUM(C2:C3)</f>
        <v>241.95389555962902</v>
      </c>
      <c r="H4">
        <f>SUM(H2:H3)</f>
        <v>3695.5837984151917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9D9F5-03BA-4EB9-8B81-AA54BF2254E9}">
  <dimension ref="A1:H98"/>
  <sheetViews>
    <sheetView topLeftCell="A86" workbookViewId="0">
      <selection activeCell="H2" sqref="H2:H98"/>
    </sheetView>
  </sheetViews>
  <sheetFormatPr defaultRowHeight="14.4" x14ac:dyDescent="0.3"/>
  <sheetData>
    <row r="1" spans="1:8" x14ac:dyDescent="0.3">
      <c r="A1" s="345" t="s">
        <v>173</v>
      </c>
      <c r="B1" s="345" t="s">
        <v>174</v>
      </c>
      <c r="C1" s="345" t="s">
        <v>172</v>
      </c>
      <c r="F1" s="345" t="s">
        <v>173</v>
      </c>
      <c r="G1" s="345" t="s">
        <v>174</v>
      </c>
      <c r="H1" s="345" t="s">
        <v>172</v>
      </c>
    </row>
    <row r="2" spans="1:8" x14ac:dyDescent="0.3">
      <c r="A2" s="346" t="s">
        <v>178</v>
      </c>
      <c r="B2" s="346" t="s">
        <v>177</v>
      </c>
      <c r="C2" s="346">
        <v>2.8766717973318048E-5</v>
      </c>
      <c r="F2" s="346" t="s">
        <v>178</v>
      </c>
      <c r="G2" s="346" t="s">
        <v>177</v>
      </c>
      <c r="H2" s="346">
        <v>2.8766717973318048E-5</v>
      </c>
    </row>
    <row r="3" spans="1:8" x14ac:dyDescent="0.3">
      <c r="A3" s="346" t="s">
        <v>178</v>
      </c>
      <c r="B3" s="346" t="s">
        <v>177</v>
      </c>
      <c r="C3" s="346">
        <v>3.392783367334381E-4</v>
      </c>
      <c r="F3" s="346" t="s">
        <v>178</v>
      </c>
      <c r="G3" s="346" t="s">
        <v>177</v>
      </c>
      <c r="H3" s="346">
        <v>3.392783367334381E-4</v>
      </c>
    </row>
    <row r="4" spans="1:8" x14ac:dyDescent="0.3">
      <c r="A4" s="346" t="s">
        <v>178</v>
      </c>
      <c r="B4" s="346" t="s">
        <v>177</v>
      </c>
      <c r="C4" s="346">
        <v>6269.061498936876</v>
      </c>
      <c r="F4" s="346" t="s">
        <v>178</v>
      </c>
      <c r="G4" s="346" t="s">
        <v>177</v>
      </c>
      <c r="H4" s="346">
        <v>6269.061498936876</v>
      </c>
    </row>
    <row r="5" spans="1:8" x14ac:dyDescent="0.3">
      <c r="A5" s="346" t="s">
        <v>178</v>
      </c>
      <c r="B5" s="346" t="s">
        <v>177</v>
      </c>
      <c r="C5" s="346">
        <v>120.26925437406295</v>
      </c>
      <c r="F5" s="346" t="s">
        <v>178</v>
      </c>
      <c r="G5" s="346" t="s">
        <v>177</v>
      </c>
      <c r="H5" s="346">
        <v>120.26925437406295</v>
      </c>
    </row>
    <row r="6" spans="1:8" x14ac:dyDescent="0.3">
      <c r="A6" s="346" t="s">
        <v>178</v>
      </c>
      <c r="B6" s="346" t="s">
        <v>177</v>
      </c>
      <c r="C6" s="346">
        <v>688.302080704285</v>
      </c>
      <c r="F6" s="346" t="s">
        <v>178</v>
      </c>
      <c r="G6" s="346" t="s">
        <v>177</v>
      </c>
      <c r="H6" s="346">
        <v>688.302080704285</v>
      </c>
    </row>
    <row r="7" spans="1:8" x14ac:dyDescent="0.3">
      <c r="A7" s="346" t="s">
        <v>178</v>
      </c>
      <c r="B7" s="346" t="s">
        <v>177</v>
      </c>
      <c r="C7" s="346">
        <v>7504.1543066394852</v>
      </c>
      <c r="F7" s="346" t="s">
        <v>178</v>
      </c>
      <c r="G7" s="346" t="s">
        <v>177</v>
      </c>
      <c r="H7" s="346">
        <v>7504.1543066394852</v>
      </c>
    </row>
    <row r="8" spans="1:8" x14ac:dyDescent="0.3">
      <c r="A8" s="346" t="s">
        <v>178</v>
      </c>
      <c r="B8" s="346" t="s">
        <v>177</v>
      </c>
      <c r="C8" s="346">
        <v>33247.834312127874</v>
      </c>
      <c r="F8" s="346" t="s">
        <v>178</v>
      </c>
      <c r="G8" s="346" t="s">
        <v>177</v>
      </c>
      <c r="H8" s="346">
        <v>33247.834312127874</v>
      </c>
    </row>
    <row r="9" spans="1:8" x14ac:dyDescent="0.3">
      <c r="A9" s="346" t="s">
        <v>178</v>
      </c>
      <c r="B9" s="346" t="s">
        <v>177</v>
      </c>
      <c r="C9" s="346">
        <v>2541.6089114126739</v>
      </c>
      <c r="F9" s="346" t="s">
        <v>178</v>
      </c>
      <c r="G9" s="346" t="s">
        <v>177</v>
      </c>
      <c r="H9" s="346">
        <v>2541.6089114126739</v>
      </c>
    </row>
    <row r="10" spans="1:8" x14ac:dyDescent="0.3">
      <c r="A10" s="346" t="s">
        <v>178</v>
      </c>
      <c r="B10" s="346" t="s">
        <v>177</v>
      </c>
      <c r="C10" s="346">
        <v>5237.9689425173583</v>
      </c>
      <c r="F10" s="346" t="s">
        <v>178</v>
      </c>
      <c r="G10" s="346" t="s">
        <v>177</v>
      </c>
      <c r="H10" s="346">
        <v>5237.9689425173583</v>
      </c>
    </row>
    <row r="11" spans="1:8" x14ac:dyDescent="0.3">
      <c r="A11" s="346" t="s">
        <v>178</v>
      </c>
      <c r="B11" s="346" t="s">
        <v>177</v>
      </c>
      <c r="C11" s="346">
        <v>1973.0189234546326</v>
      </c>
      <c r="F11" s="346" t="s">
        <v>178</v>
      </c>
      <c r="G11" s="346" t="s">
        <v>177</v>
      </c>
      <c r="H11" s="346">
        <v>1973.0189234546326</v>
      </c>
    </row>
    <row r="12" spans="1:8" x14ac:dyDescent="0.3">
      <c r="A12" s="346" t="s">
        <v>178</v>
      </c>
      <c r="B12" s="346" t="s">
        <v>177</v>
      </c>
      <c r="C12" s="346">
        <v>55.58046357879865</v>
      </c>
      <c r="F12" s="346" t="s">
        <v>178</v>
      </c>
      <c r="G12" s="346" t="s">
        <v>177</v>
      </c>
      <c r="H12" s="346">
        <v>55.58046357879865</v>
      </c>
    </row>
    <row r="13" spans="1:8" x14ac:dyDescent="0.3">
      <c r="A13" s="346" t="s">
        <v>178</v>
      </c>
      <c r="B13" s="346" t="s">
        <v>177</v>
      </c>
      <c r="C13" s="346">
        <v>138.9817501704423</v>
      </c>
      <c r="F13" s="346" t="s">
        <v>178</v>
      </c>
      <c r="G13" s="346" t="s">
        <v>177</v>
      </c>
      <c r="H13" s="346">
        <v>138.9817501704423</v>
      </c>
    </row>
    <row r="14" spans="1:8" x14ac:dyDescent="0.3">
      <c r="A14" s="346" t="s">
        <v>178</v>
      </c>
      <c r="B14" s="346" t="s">
        <v>177</v>
      </c>
      <c r="C14" s="346">
        <v>363.61148802150115</v>
      </c>
      <c r="F14" s="346" t="s">
        <v>178</v>
      </c>
      <c r="G14" s="346" t="s">
        <v>177</v>
      </c>
      <c r="H14" s="346">
        <v>363.61148802150115</v>
      </c>
    </row>
    <row r="15" spans="1:8" x14ac:dyDescent="0.3">
      <c r="A15" s="346" t="s">
        <v>178</v>
      </c>
      <c r="B15" s="346" t="s">
        <v>177</v>
      </c>
      <c r="C15" s="346">
        <v>86.190816381468565</v>
      </c>
      <c r="F15" s="346" t="s">
        <v>178</v>
      </c>
      <c r="G15" s="346" t="s">
        <v>177</v>
      </c>
      <c r="H15" s="346">
        <v>86.190816381468565</v>
      </c>
    </row>
    <row r="16" spans="1:8" x14ac:dyDescent="0.3">
      <c r="A16" s="346" t="s">
        <v>178</v>
      </c>
      <c r="B16" s="346" t="s">
        <v>177</v>
      </c>
      <c r="C16" s="346">
        <v>263.28353258963108</v>
      </c>
      <c r="F16" s="346" t="s">
        <v>178</v>
      </c>
      <c r="G16" s="346" t="s">
        <v>177</v>
      </c>
      <c r="H16" s="346">
        <v>263.28353258963108</v>
      </c>
    </row>
    <row r="17" spans="1:8" x14ac:dyDescent="0.3">
      <c r="A17" s="346" t="s">
        <v>178</v>
      </c>
      <c r="B17" s="346" t="s">
        <v>177</v>
      </c>
      <c r="C17" s="346">
        <v>255.84803329503626</v>
      </c>
      <c r="F17" s="346" t="s">
        <v>178</v>
      </c>
      <c r="G17" s="346" t="s">
        <v>177</v>
      </c>
      <c r="H17" s="346">
        <v>255.84803329503626</v>
      </c>
    </row>
    <row r="18" spans="1:8" x14ac:dyDescent="0.3">
      <c r="A18" s="346" t="s">
        <v>178</v>
      </c>
      <c r="B18" s="346" t="s">
        <v>177</v>
      </c>
      <c r="C18" s="346">
        <v>6.528497817509419</v>
      </c>
      <c r="F18" s="346" t="s">
        <v>178</v>
      </c>
      <c r="G18" s="346" t="s">
        <v>177</v>
      </c>
      <c r="H18" s="346">
        <v>6.528497817509419</v>
      </c>
    </row>
    <row r="19" spans="1:8" x14ac:dyDescent="0.3">
      <c r="A19" s="346" t="s">
        <v>178</v>
      </c>
      <c r="B19" s="346" t="s">
        <v>177</v>
      </c>
      <c r="C19" s="346">
        <v>11.064381601821806</v>
      </c>
      <c r="F19" s="346" t="s">
        <v>178</v>
      </c>
      <c r="G19" s="346" t="s">
        <v>177</v>
      </c>
      <c r="H19" s="346">
        <v>11.064381601821806</v>
      </c>
    </row>
    <row r="20" spans="1:8" x14ac:dyDescent="0.3">
      <c r="A20" s="346" t="s">
        <v>178</v>
      </c>
      <c r="B20" s="346" t="s">
        <v>177</v>
      </c>
      <c r="C20" s="346">
        <v>15.087402692168888</v>
      </c>
      <c r="F20" s="346" t="s">
        <v>178</v>
      </c>
      <c r="G20" s="346" t="s">
        <v>177</v>
      </c>
      <c r="H20" s="346">
        <v>15.087402692168888</v>
      </c>
    </row>
    <row r="21" spans="1:8" x14ac:dyDescent="0.3">
      <c r="A21" s="346" t="s">
        <v>178</v>
      </c>
      <c r="B21" s="346" t="s">
        <v>177</v>
      </c>
      <c r="C21" s="346">
        <v>3.5927773110189789</v>
      </c>
      <c r="F21" s="346" t="s">
        <v>178</v>
      </c>
      <c r="G21" s="346" t="s">
        <v>177</v>
      </c>
      <c r="H21" s="346">
        <v>3.5927773110189789</v>
      </c>
    </row>
    <row r="22" spans="1:8" x14ac:dyDescent="0.3">
      <c r="A22" s="346" t="s">
        <v>178</v>
      </c>
      <c r="B22" s="346" t="s">
        <v>177</v>
      </c>
      <c r="C22" s="346">
        <v>14.509982966794157</v>
      </c>
      <c r="F22" s="346" t="s">
        <v>178</v>
      </c>
      <c r="G22" s="346" t="s">
        <v>177</v>
      </c>
      <c r="H22" s="346">
        <v>14.509982966794157</v>
      </c>
    </row>
    <row r="23" spans="1:8" x14ac:dyDescent="0.3">
      <c r="A23" s="346" t="s">
        <v>178</v>
      </c>
      <c r="B23" s="346" t="s">
        <v>177</v>
      </c>
      <c r="C23" s="346">
        <v>14.430109840154275</v>
      </c>
      <c r="F23" s="346" t="s">
        <v>178</v>
      </c>
      <c r="G23" s="346" t="s">
        <v>177</v>
      </c>
      <c r="H23" s="346">
        <v>14.430109840154275</v>
      </c>
    </row>
    <row r="24" spans="1:8" x14ac:dyDescent="0.3">
      <c r="A24" s="346" t="s">
        <v>178</v>
      </c>
      <c r="B24" s="346" t="s">
        <v>177</v>
      </c>
      <c r="C24" s="346">
        <v>0</v>
      </c>
      <c r="F24" s="346" t="s">
        <v>178</v>
      </c>
      <c r="G24" s="346" t="s">
        <v>177</v>
      </c>
      <c r="H24" s="346">
        <v>0</v>
      </c>
    </row>
    <row r="25" spans="1:8" x14ac:dyDescent="0.3">
      <c r="A25" s="346" t="s">
        <v>178</v>
      </c>
      <c r="B25" s="346" t="s">
        <v>177</v>
      </c>
      <c r="C25" s="346">
        <v>0.68429106603436229</v>
      </c>
      <c r="F25" s="346" t="s">
        <v>178</v>
      </c>
      <c r="G25" s="346" t="s">
        <v>177</v>
      </c>
      <c r="H25" s="346">
        <v>0.68429106603436229</v>
      </c>
    </row>
    <row r="26" spans="1:8" x14ac:dyDescent="0.3">
      <c r="A26" s="346" t="s">
        <v>178</v>
      </c>
      <c r="B26" s="346" t="s">
        <v>177</v>
      </c>
      <c r="C26" s="346">
        <v>1.8676089109847105</v>
      </c>
      <c r="F26" s="346" t="s">
        <v>178</v>
      </c>
      <c r="G26" s="346" t="s">
        <v>177</v>
      </c>
      <c r="H26" s="346">
        <v>1.8676089109847105</v>
      </c>
    </row>
    <row r="27" spans="1:8" x14ac:dyDescent="0.3">
      <c r="A27" s="346" t="s">
        <v>178</v>
      </c>
      <c r="B27" s="346" t="s">
        <v>177</v>
      </c>
      <c r="C27" s="346">
        <v>0</v>
      </c>
      <c r="F27" s="346" t="s">
        <v>178</v>
      </c>
      <c r="G27" s="346" t="s">
        <v>177</v>
      </c>
      <c r="H27" s="346">
        <v>0</v>
      </c>
    </row>
    <row r="28" spans="1:8" x14ac:dyDescent="0.3">
      <c r="A28" s="346" t="s">
        <v>178</v>
      </c>
      <c r="B28" s="346" t="s">
        <v>177</v>
      </c>
      <c r="C28" s="346">
        <v>94.234579758165324</v>
      </c>
      <c r="F28" s="346" t="s">
        <v>178</v>
      </c>
      <c r="G28" s="346" t="s">
        <v>177</v>
      </c>
      <c r="H28" s="346">
        <v>94.234579758165324</v>
      </c>
    </row>
    <row r="29" spans="1:8" x14ac:dyDescent="0.3">
      <c r="A29" s="346" t="s">
        <v>178</v>
      </c>
      <c r="B29" s="346" t="s">
        <v>177</v>
      </c>
      <c r="C29" s="346">
        <v>49.535899566720616</v>
      </c>
      <c r="F29" s="346" t="s">
        <v>178</v>
      </c>
      <c r="G29" s="346" t="s">
        <v>177</v>
      </c>
      <c r="H29" s="346">
        <v>49.535899566720616</v>
      </c>
    </row>
    <row r="30" spans="1:8" x14ac:dyDescent="0.3">
      <c r="A30" s="346" t="s">
        <v>178</v>
      </c>
      <c r="B30" s="346" t="s">
        <v>177</v>
      </c>
      <c r="C30" s="346">
        <v>0.13980939408422563</v>
      </c>
      <c r="F30" s="346" t="s">
        <v>178</v>
      </c>
      <c r="G30" s="346" t="s">
        <v>177</v>
      </c>
      <c r="H30" s="346">
        <v>0.13980939408422563</v>
      </c>
    </row>
    <row r="31" spans="1:8" x14ac:dyDescent="0.3">
      <c r="A31" s="346" t="s">
        <v>178</v>
      </c>
      <c r="B31" s="346" t="s">
        <v>177</v>
      </c>
      <c r="C31" s="346">
        <v>849.51506519905524</v>
      </c>
      <c r="F31" s="346" t="s">
        <v>178</v>
      </c>
      <c r="G31" s="346" t="s">
        <v>177</v>
      </c>
      <c r="H31" s="346">
        <v>849.51506519905524</v>
      </c>
    </row>
    <row r="32" spans="1:8" x14ac:dyDescent="0.3">
      <c r="A32" s="346" t="s">
        <v>178</v>
      </c>
      <c r="B32" s="346" t="s">
        <v>177</v>
      </c>
      <c r="C32" s="346">
        <v>22.146091643885249</v>
      </c>
      <c r="F32" s="346" t="s">
        <v>178</v>
      </c>
      <c r="G32" s="346" t="s">
        <v>177</v>
      </c>
      <c r="H32" s="346">
        <v>22.146091643885249</v>
      </c>
    </row>
    <row r="33" spans="1:8" x14ac:dyDescent="0.3">
      <c r="A33" s="346" t="s">
        <v>178</v>
      </c>
      <c r="B33" s="346" t="s">
        <v>177</v>
      </c>
      <c r="C33" s="346">
        <v>30.294934262341005</v>
      </c>
      <c r="F33" s="346" t="s">
        <v>178</v>
      </c>
      <c r="G33" s="346" t="s">
        <v>177</v>
      </c>
      <c r="H33" s="346">
        <v>30.294934262341005</v>
      </c>
    </row>
    <row r="34" spans="1:8" x14ac:dyDescent="0.3">
      <c r="A34" s="346" t="s">
        <v>178</v>
      </c>
      <c r="B34" s="346" t="s">
        <v>177</v>
      </c>
      <c r="C34" s="346">
        <v>306.18482533305945</v>
      </c>
      <c r="F34" s="346" t="s">
        <v>178</v>
      </c>
      <c r="G34" s="346" t="s">
        <v>177</v>
      </c>
      <c r="H34" s="346">
        <v>306.18482533305945</v>
      </c>
    </row>
    <row r="35" spans="1:8" x14ac:dyDescent="0.3">
      <c r="A35" s="346" t="s">
        <v>178</v>
      </c>
      <c r="B35" s="346" t="s">
        <v>177</v>
      </c>
      <c r="C35" s="346">
        <v>1.7751279144642496</v>
      </c>
      <c r="F35" s="346" t="s">
        <v>178</v>
      </c>
      <c r="G35" s="346" t="s">
        <v>177</v>
      </c>
      <c r="H35" s="346">
        <v>1.7751279144642496</v>
      </c>
    </row>
    <row r="36" spans="1:8" x14ac:dyDescent="0.3">
      <c r="A36" s="346" t="s">
        <v>178</v>
      </c>
      <c r="B36" s="346" t="s">
        <v>177</v>
      </c>
      <c r="C36" s="346">
        <v>276.41698776239684</v>
      </c>
      <c r="F36" s="346" t="s">
        <v>178</v>
      </c>
      <c r="G36" s="346" t="s">
        <v>177</v>
      </c>
      <c r="H36" s="346">
        <v>276.41698776239684</v>
      </c>
    </row>
    <row r="37" spans="1:8" x14ac:dyDescent="0.3">
      <c r="A37" s="346" t="s">
        <v>178</v>
      </c>
      <c r="B37" s="346" t="s">
        <v>177</v>
      </c>
      <c r="C37" s="346">
        <v>21.022275551707647</v>
      </c>
      <c r="F37" s="346" t="s">
        <v>178</v>
      </c>
      <c r="G37" s="346" t="s">
        <v>177</v>
      </c>
      <c r="H37" s="346">
        <v>21.022275551707647</v>
      </c>
    </row>
    <row r="38" spans="1:8" x14ac:dyDescent="0.3">
      <c r="A38" s="346" t="s">
        <v>178</v>
      </c>
      <c r="B38" s="346" t="s">
        <v>177</v>
      </c>
      <c r="C38" s="346">
        <v>10.692087472488938</v>
      </c>
      <c r="F38" s="346" t="s">
        <v>178</v>
      </c>
      <c r="G38" s="346" t="s">
        <v>177</v>
      </c>
      <c r="H38" s="346">
        <v>10.692087472488938</v>
      </c>
    </row>
    <row r="39" spans="1:8" x14ac:dyDescent="0.3">
      <c r="A39" s="346" t="s">
        <v>178</v>
      </c>
      <c r="B39" s="346" t="s">
        <v>177</v>
      </c>
      <c r="C39" s="346">
        <v>15.037090088768572</v>
      </c>
      <c r="F39" s="346" t="s">
        <v>178</v>
      </c>
      <c r="G39" s="346" t="s">
        <v>177</v>
      </c>
      <c r="H39" s="346">
        <v>15.037090088768572</v>
      </c>
    </row>
    <row r="40" spans="1:8" x14ac:dyDescent="0.3">
      <c r="A40" s="346" t="s">
        <v>178</v>
      </c>
      <c r="B40" s="346" t="s">
        <v>177</v>
      </c>
      <c r="C40" s="346">
        <v>38.247231486997293</v>
      </c>
      <c r="F40" s="346" t="s">
        <v>178</v>
      </c>
      <c r="G40" s="346" t="s">
        <v>177</v>
      </c>
      <c r="H40" s="346">
        <v>38.247231486997293</v>
      </c>
    </row>
    <row r="41" spans="1:8" x14ac:dyDescent="0.3">
      <c r="A41" s="346" t="s">
        <v>178</v>
      </c>
      <c r="B41" s="346" t="s">
        <v>177</v>
      </c>
      <c r="C41" s="346">
        <v>0</v>
      </c>
      <c r="F41" s="346" t="s">
        <v>178</v>
      </c>
      <c r="G41" s="346" t="s">
        <v>177</v>
      </c>
      <c r="H41" s="346">
        <v>0</v>
      </c>
    </row>
    <row r="42" spans="1:8" x14ac:dyDescent="0.3">
      <c r="A42" s="346" t="s">
        <v>178</v>
      </c>
      <c r="B42" s="346" t="s">
        <v>177</v>
      </c>
      <c r="C42" s="346">
        <v>0</v>
      </c>
      <c r="F42" s="346" t="s">
        <v>178</v>
      </c>
      <c r="G42" s="346" t="s">
        <v>177</v>
      </c>
      <c r="H42" s="346">
        <v>0</v>
      </c>
    </row>
    <row r="43" spans="1:8" x14ac:dyDescent="0.3">
      <c r="A43" s="346" t="s">
        <v>178</v>
      </c>
      <c r="B43" s="346" t="s">
        <v>177</v>
      </c>
      <c r="C43" s="346">
        <v>139.14749994707387</v>
      </c>
      <c r="F43" s="346" t="s">
        <v>178</v>
      </c>
      <c r="G43" s="346" t="s">
        <v>177</v>
      </c>
      <c r="H43" s="346">
        <v>139.14749994707387</v>
      </c>
    </row>
    <row r="44" spans="1:8" x14ac:dyDescent="0.3">
      <c r="A44" s="346" t="s">
        <v>178</v>
      </c>
      <c r="B44" s="346" t="s">
        <v>177</v>
      </c>
      <c r="C44" s="346">
        <v>0.65361666243836503</v>
      </c>
      <c r="F44" s="346" t="s">
        <v>178</v>
      </c>
      <c r="G44" s="346" t="s">
        <v>177</v>
      </c>
      <c r="H44" s="346">
        <v>0.65361666243836503</v>
      </c>
    </row>
    <row r="45" spans="1:8" x14ac:dyDescent="0.3">
      <c r="A45" s="346" t="s">
        <v>178</v>
      </c>
      <c r="B45" s="346" t="s">
        <v>177</v>
      </c>
      <c r="C45" s="346">
        <v>29.169400730545281</v>
      </c>
      <c r="F45" s="346" t="s">
        <v>178</v>
      </c>
      <c r="G45" s="346" t="s">
        <v>177</v>
      </c>
      <c r="H45" s="346">
        <v>29.169400730545281</v>
      </c>
    </row>
    <row r="46" spans="1:8" x14ac:dyDescent="0.3">
      <c r="A46" s="346" t="s">
        <v>178</v>
      </c>
      <c r="B46" s="346" t="s">
        <v>177</v>
      </c>
      <c r="C46" s="346">
        <v>3.0423912588243249</v>
      </c>
      <c r="F46" s="346" t="s">
        <v>178</v>
      </c>
      <c r="G46" s="346" t="s">
        <v>177</v>
      </c>
      <c r="H46" s="346">
        <v>3.0423912588243249</v>
      </c>
    </row>
    <row r="47" spans="1:8" x14ac:dyDescent="0.3">
      <c r="A47" s="346" t="s">
        <v>178</v>
      </c>
      <c r="B47" s="346" t="s">
        <v>177</v>
      </c>
      <c r="C47" s="346">
        <v>0.93190905906937349</v>
      </c>
      <c r="F47" s="346" t="s">
        <v>178</v>
      </c>
      <c r="G47" s="346" t="s">
        <v>177</v>
      </c>
      <c r="H47" s="346">
        <v>0.93190905906937349</v>
      </c>
    </row>
    <row r="48" spans="1:8" x14ac:dyDescent="0.3">
      <c r="A48" s="346" t="s">
        <v>178</v>
      </c>
      <c r="B48" s="346" t="s">
        <v>177</v>
      </c>
      <c r="C48" s="346">
        <v>47.983742524384652</v>
      </c>
      <c r="F48" s="346" t="s">
        <v>178</v>
      </c>
      <c r="G48" s="346" t="s">
        <v>177</v>
      </c>
      <c r="H48" s="346">
        <v>47.983742524384652</v>
      </c>
    </row>
    <row r="49" spans="1:8" x14ac:dyDescent="0.3">
      <c r="A49" s="346" t="s">
        <v>178</v>
      </c>
      <c r="B49" s="346" t="s">
        <v>177</v>
      </c>
      <c r="C49" s="346">
        <v>42.091620894275387</v>
      </c>
      <c r="F49" s="346" t="s">
        <v>178</v>
      </c>
      <c r="G49" s="346" t="s">
        <v>177</v>
      </c>
      <c r="H49" s="346">
        <v>42.091620894275387</v>
      </c>
    </row>
    <row r="50" spans="1:8" x14ac:dyDescent="0.3">
      <c r="A50" s="346" t="s">
        <v>178</v>
      </c>
      <c r="B50" s="346" t="s">
        <v>177</v>
      </c>
      <c r="C50" s="346">
        <v>1.2523501605667399E-4</v>
      </c>
      <c r="F50" s="346" t="s">
        <v>178</v>
      </c>
      <c r="G50" s="346" t="s">
        <v>177</v>
      </c>
      <c r="H50" s="346">
        <v>1.0609943655497086E-3</v>
      </c>
    </row>
    <row r="51" spans="1:8" x14ac:dyDescent="0.3">
      <c r="A51" s="346" t="s">
        <v>178</v>
      </c>
      <c r="B51" s="346" t="s">
        <v>177</v>
      </c>
      <c r="C51" s="346">
        <v>2.6946808047950265E-4</v>
      </c>
      <c r="F51" s="346" t="s">
        <v>178</v>
      </c>
      <c r="G51" s="346" t="s">
        <v>177</v>
      </c>
      <c r="H51" s="346">
        <v>2.30240780024595E-3</v>
      </c>
    </row>
    <row r="52" spans="1:8" x14ac:dyDescent="0.3">
      <c r="A52" s="346" t="s">
        <v>178</v>
      </c>
      <c r="B52" s="346" t="s">
        <v>177</v>
      </c>
      <c r="C52" s="346">
        <v>368.97260178004672</v>
      </c>
      <c r="F52" s="346" t="s">
        <v>178</v>
      </c>
      <c r="G52" s="346" t="s">
        <v>177</v>
      </c>
      <c r="H52" s="346">
        <v>5835.0415758979707</v>
      </c>
    </row>
    <row r="53" spans="1:8" x14ac:dyDescent="0.3">
      <c r="A53" s="346" t="s">
        <v>178</v>
      </c>
      <c r="B53" s="346" t="s">
        <v>177</v>
      </c>
      <c r="C53" s="346">
        <v>15.027274841194272</v>
      </c>
      <c r="F53" s="346" t="s">
        <v>178</v>
      </c>
      <c r="G53" s="346" t="s">
        <v>177</v>
      </c>
      <c r="H53" s="346">
        <v>152.11064725689388</v>
      </c>
    </row>
    <row r="54" spans="1:8" x14ac:dyDescent="0.3">
      <c r="A54" s="346" t="s">
        <v>178</v>
      </c>
      <c r="B54" s="346" t="s">
        <v>177</v>
      </c>
      <c r="C54" s="346">
        <v>55.715070431138244</v>
      </c>
      <c r="F54" s="346" t="s">
        <v>178</v>
      </c>
      <c r="G54" s="346" t="s">
        <v>177</v>
      </c>
      <c r="H54" s="346">
        <v>684.94842347637439</v>
      </c>
    </row>
    <row r="55" spans="1:8" x14ac:dyDescent="0.3">
      <c r="A55" s="346" t="s">
        <v>178</v>
      </c>
      <c r="B55" s="346" t="s">
        <v>177</v>
      </c>
      <c r="C55" s="346">
        <v>949.15409495104143</v>
      </c>
      <c r="F55" s="346" t="s">
        <v>178</v>
      </c>
      <c r="G55" s="346" t="s">
        <v>177</v>
      </c>
      <c r="H55" s="346">
        <v>9323.5305848749013</v>
      </c>
    </row>
    <row r="56" spans="1:8" x14ac:dyDescent="0.3">
      <c r="A56" s="346" t="s">
        <v>178</v>
      </c>
      <c r="B56" s="346" t="s">
        <v>177</v>
      </c>
      <c r="C56" s="346">
        <v>2292.3646293235151</v>
      </c>
      <c r="F56" s="346" t="s">
        <v>178</v>
      </c>
      <c r="G56" s="346" t="s">
        <v>177</v>
      </c>
      <c r="H56" s="346">
        <v>33124.178546113784</v>
      </c>
    </row>
    <row r="57" spans="1:8" x14ac:dyDescent="0.3">
      <c r="A57" s="346" t="s">
        <v>178</v>
      </c>
      <c r="B57" s="346" t="s">
        <v>177</v>
      </c>
      <c r="C57" s="346">
        <v>86.946842328031593</v>
      </c>
      <c r="F57" s="346" t="s">
        <v>178</v>
      </c>
      <c r="G57" s="346" t="s">
        <v>177</v>
      </c>
      <c r="H57" s="346">
        <v>2196.8192560540433</v>
      </c>
    </row>
    <row r="58" spans="1:8" x14ac:dyDescent="0.3">
      <c r="A58" s="346" t="s">
        <v>178</v>
      </c>
      <c r="B58" s="346" t="s">
        <v>177</v>
      </c>
      <c r="C58" s="346">
        <v>127.77372141346233</v>
      </c>
      <c r="F58" s="346" t="s">
        <v>178</v>
      </c>
      <c r="G58" s="346" t="s">
        <v>177</v>
      </c>
      <c r="H58" s="346">
        <v>3845.071702187377</v>
      </c>
    </row>
    <row r="59" spans="1:8" x14ac:dyDescent="0.3">
      <c r="A59" s="346" t="s">
        <v>178</v>
      </c>
      <c r="B59" s="346" t="s">
        <v>177</v>
      </c>
      <c r="C59" s="346">
        <v>341.98877834672521</v>
      </c>
      <c r="F59" s="346" t="s">
        <v>178</v>
      </c>
      <c r="G59" s="346" t="s">
        <v>177</v>
      </c>
      <c r="H59" s="346">
        <v>2849.0989220948777</v>
      </c>
    </row>
    <row r="60" spans="1:8" x14ac:dyDescent="0.3">
      <c r="A60" s="346" t="s">
        <v>178</v>
      </c>
      <c r="B60" s="346" t="s">
        <v>177</v>
      </c>
      <c r="C60" s="346">
        <v>70.381716041628067</v>
      </c>
      <c r="F60" s="346" t="s">
        <v>178</v>
      </c>
      <c r="G60" s="346" t="s">
        <v>177</v>
      </c>
      <c r="H60" s="346">
        <v>576.49047597466802</v>
      </c>
    </row>
    <row r="61" spans="1:8" x14ac:dyDescent="0.3">
      <c r="A61" s="346" t="s">
        <v>178</v>
      </c>
      <c r="B61" s="346" t="s">
        <v>177</v>
      </c>
      <c r="C61" s="346">
        <v>99.720517408457923</v>
      </c>
      <c r="F61" s="346" t="s">
        <v>178</v>
      </c>
      <c r="G61" s="346" t="s">
        <v>177</v>
      </c>
      <c r="H61" s="346">
        <v>578.95099097357286</v>
      </c>
    </row>
    <row r="62" spans="1:8" x14ac:dyDescent="0.3">
      <c r="A62" s="346" t="s">
        <v>178</v>
      </c>
      <c r="B62" s="346" t="s">
        <v>177</v>
      </c>
      <c r="C62" s="346">
        <v>250.87971800717114</v>
      </c>
      <c r="F62" s="346" t="s">
        <v>178</v>
      </c>
      <c r="G62" s="346" t="s">
        <v>177</v>
      </c>
      <c r="H62" s="346">
        <v>1953.2778523430482</v>
      </c>
    </row>
    <row r="63" spans="1:8" x14ac:dyDescent="0.3">
      <c r="A63" s="346" t="s">
        <v>178</v>
      </c>
      <c r="B63" s="346" t="s">
        <v>177</v>
      </c>
      <c r="C63" s="346">
        <v>30.128096796516942</v>
      </c>
      <c r="F63" s="346" t="s">
        <v>178</v>
      </c>
      <c r="G63" s="346" t="s">
        <v>177</v>
      </c>
      <c r="H63" s="346">
        <v>286.0484161492538</v>
      </c>
    </row>
    <row r="64" spans="1:8" x14ac:dyDescent="0.3">
      <c r="A64" s="346" t="s">
        <v>178</v>
      </c>
      <c r="B64" s="346" t="s">
        <v>177</v>
      </c>
      <c r="C64" s="346">
        <v>82.480705963083167</v>
      </c>
      <c r="F64" s="346" t="s">
        <v>178</v>
      </c>
      <c r="G64" s="346" t="s">
        <v>177</v>
      </c>
      <c r="H64" s="346">
        <v>487.69440871931789</v>
      </c>
    </row>
    <row r="65" spans="1:8" x14ac:dyDescent="0.3">
      <c r="A65" s="346" t="s">
        <v>178</v>
      </c>
      <c r="B65" s="346" t="s">
        <v>177</v>
      </c>
      <c r="C65" s="346">
        <v>675.26027714692589</v>
      </c>
      <c r="F65" s="346" t="s">
        <v>178</v>
      </c>
      <c r="G65" s="346" t="s">
        <v>177</v>
      </c>
      <c r="H65" s="346">
        <v>4367.4948975918596</v>
      </c>
    </row>
    <row r="66" spans="1:8" x14ac:dyDescent="0.3">
      <c r="A66" s="346" t="s">
        <v>178</v>
      </c>
      <c r="B66" s="346" t="s">
        <v>177</v>
      </c>
      <c r="C66" s="346">
        <v>79.939823432997159</v>
      </c>
      <c r="F66" s="346" t="s">
        <v>178</v>
      </c>
      <c r="G66" s="346" t="s">
        <v>177</v>
      </c>
      <c r="H66" s="346">
        <v>578.63778702510933</v>
      </c>
    </row>
    <row r="67" spans="1:8" x14ac:dyDescent="0.3">
      <c r="A67" s="346" t="s">
        <v>178</v>
      </c>
      <c r="B67" s="346" t="s">
        <v>177</v>
      </c>
      <c r="C67" s="346">
        <v>8.9289782338973964</v>
      </c>
      <c r="F67" s="346" t="s">
        <v>178</v>
      </c>
      <c r="G67" s="346" t="s">
        <v>177</v>
      </c>
      <c r="H67" s="346">
        <v>87.223465422837663</v>
      </c>
    </row>
    <row r="68" spans="1:8" x14ac:dyDescent="0.3">
      <c r="A68" s="346" t="s">
        <v>178</v>
      </c>
      <c r="B68" s="346" t="s">
        <v>177</v>
      </c>
      <c r="C68" s="346">
        <v>6.8419087023937823</v>
      </c>
      <c r="F68" s="346" t="s">
        <v>178</v>
      </c>
      <c r="G68" s="346" t="s">
        <v>177</v>
      </c>
      <c r="H68" s="346">
        <v>43.708781497299427</v>
      </c>
    </row>
    <row r="69" spans="1:8" x14ac:dyDescent="0.3">
      <c r="A69" s="346" t="s">
        <v>178</v>
      </c>
      <c r="B69" s="346" t="s">
        <v>177</v>
      </c>
      <c r="C69" s="346">
        <v>23.299423902394381</v>
      </c>
      <c r="F69" s="346" t="s">
        <v>178</v>
      </c>
      <c r="G69" s="346" t="s">
        <v>177</v>
      </c>
      <c r="H69" s="346">
        <v>147.67109958030116</v>
      </c>
    </row>
    <row r="70" spans="1:8" x14ac:dyDescent="0.3">
      <c r="A70" s="346" t="s">
        <v>178</v>
      </c>
      <c r="B70" s="346" t="s">
        <v>177</v>
      </c>
      <c r="C70" s="346">
        <v>52.627565156963705</v>
      </c>
      <c r="F70" s="346" t="s">
        <v>178</v>
      </c>
      <c r="G70" s="346" t="s">
        <v>177</v>
      </c>
      <c r="H70" s="346">
        <v>294.5058547436841</v>
      </c>
    </row>
    <row r="71" spans="1:8" x14ac:dyDescent="0.3">
      <c r="A71" s="346" t="s">
        <v>178</v>
      </c>
      <c r="B71" s="346" t="s">
        <v>177</v>
      </c>
      <c r="C71" s="346">
        <v>8.4776061145242476</v>
      </c>
      <c r="F71" s="346" t="s">
        <v>178</v>
      </c>
      <c r="G71" s="346" t="s">
        <v>177</v>
      </c>
      <c r="H71" s="346">
        <v>39.580719909211957</v>
      </c>
    </row>
    <row r="72" spans="1:8" x14ac:dyDescent="0.3">
      <c r="A72" s="346" t="s">
        <v>178</v>
      </c>
      <c r="B72" s="346" t="s">
        <v>177</v>
      </c>
      <c r="C72" s="346">
        <v>3.4054068556110448</v>
      </c>
      <c r="F72" s="346" t="s">
        <v>178</v>
      </c>
      <c r="G72" s="346" t="s">
        <v>177</v>
      </c>
      <c r="H72" s="346">
        <v>21.865930555625145</v>
      </c>
    </row>
    <row r="73" spans="1:8" x14ac:dyDescent="0.3">
      <c r="A73" s="346" t="s">
        <v>178</v>
      </c>
      <c r="B73" s="346" t="s">
        <v>177</v>
      </c>
      <c r="C73" s="346">
        <v>1.0749481270258348</v>
      </c>
      <c r="F73" s="346" t="s">
        <v>178</v>
      </c>
      <c r="G73" s="346" t="s">
        <v>177</v>
      </c>
      <c r="H73" s="346">
        <v>3.0026396225292236</v>
      </c>
    </row>
    <row r="74" spans="1:8" x14ac:dyDescent="0.3">
      <c r="A74" s="346" t="s">
        <v>178</v>
      </c>
      <c r="B74" s="346" t="s">
        <v>177</v>
      </c>
      <c r="C74" s="346">
        <v>1.6599218854055395</v>
      </c>
      <c r="F74" s="346" t="s">
        <v>178</v>
      </c>
      <c r="G74" s="346" t="s">
        <v>177</v>
      </c>
      <c r="H74" s="346">
        <v>11.573411410933652</v>
      </c>
    </row>
    <row r="75" spans="1:8" x14ac:dyDescent="0.3">
      <c r="A75" s="346" t="s">
        <v>178</v>
      </c>
      <c r="B75" s="346" t="s">
        <v>177</v>
      </c>
      <c r="C75" s="346">
        <v>0.6724441954462943</v>
      </c>
      <c r="F75" s="346" t="s">
        <v>178</v>
      </c>
      <c r="G75" s="346" t="s">
        <v>177</v>
      </c>
      <c r="H75" s="346">
        <v>4.4036972782682682</v>
      </c>
    </row>
    <row r="76" spans="1:8" x14ac:dyDescent="0.3">
      <c r="A76" s="346" t="s">
        <v>178</v>
      </c>
      <c r="B76" s="346" t="s">
        <v>177</v>
      </c>
      <c r="C76" s="346">
        <v>119.17362023062334</v>
      </c>
      <c r="F76" s="346" t="s">
        <v>178</v>
      </c>
      <c r="G76" s="346" t="s">
        <v>177</v>
      </c>
      <c r="H76" s="346">
        <v>785.95351917942946</v>
      </c>
    </row>
    <row r="77" spans="1:8" x14ac:dyDescent="0.3">
      <c r="A77" s="346" t="s">
        <v>178</v>
      </c>
      <c r="B77" s="346" t="s">
        <v>177</v>
      </c>
      <c r="C77" s="346">
        <v>196.55837112060345</v>
      </c>
      <c r="F77" s="346" t="s">
        <v>178</v>
      </c>
      <c r="G77" s="346" t="s">
        <v>177</v>
      </c>
      <c r="H77" s="346">
        <v>1318.6208061526431</v>
      </c>
    </row>
    <row r="78" spans="1:8" x14ac:dyDescent="0.3">
      <c r="A78" s="346" t="s">
        <v>178</v>
      </c>
      <c r="B78" s="346" t="s">
        <v>177</v>
      </c>
      <c r="C78" s="346">
        <v>0.11786318518259634</v>
      </c>
      <c r="F78" s="346" t="s">
        <v>178</v>
      </c>
      <c r="G78" s="346" t="s">
        <v>177</v>
      </c>
      <c r="H78" s="346">
        <v>1.3677584697300262</v>
      </c>
    </row>
    <row r="79" spans="1:8" x14ac:dyDescent="0.3">
      <c r="A79" s="346" t="s">
        <v>178</v>
      </c>
      <c r="B79" s="346" t="s">
        <v>177</v>
      </c>
      <c r="C79" s="346">
        <v>126.25332288891751</v>
      </c>
      <c r="F79" s="346" t="s">
        <v>178</v>
      </c>
      <c r="G79" s="346" t="s">
        <v>177</v>
      </c>
      <c r="H79" s="346">
        <v>1267.842619093256</v>
      </c>
    </row>
    <row r="80" spans="1:8" x14ac:dyDescent="0.3">
      <c r="A80" s="346" t="s">
        <v>178</v>
      </c>
      <c r="B80" s="346" t="s">
        <v>177</v>
      </c>
      <c r="C80" s="346">
        <v>4.6517154998110364</v>
      </c>
      <c r="F80" s="346" t="s">
        <v>178</v>
      </c>
      <c r="G80" s="346" t="s">
        <v>177</v>
      </c>
      <c r="H80" s="346">
        <v>57.938283624886758</v>
      </c>
    </row>
    <row r="81" spans="1:8" x14ac:dyDescent="0.3">
      <c r="A81" s="346" t="s">
        <v>178</v>
      </c>
      <c r="B81" s="346" t="s">
        <v>177</v>
      </c>
      <c r="C81" s="346">
        <v>89.7068896064971</v>
      </c>
      <c r="F81" s="346" t="s">
        <v>178</v>
      </c>
      <c r="G81" s="346" t="s">
        <v>177</v>
      </c>
      <c r="H81" s="346">
        <v>580.12128704079521</v>
      </c>
    </row>
    <row r="82" spans="1:8" x14ac:dyDescent="0.3">
      <c r="A82" s="346" t="s">
        <v>178</v>
      </c>
      <c r="B82" s="346" t="s">
        <v>177</v>
      </c>
      <c r="C82" s="346">
        <v>220.64538324432155</v>
      </c>
      <c r="F82" s="346" t="s">
        <v>178</v>
      </c>
      <c r="G82" s="346" t="s">
        <v>177</v>
      </c>
      <c r="H82" s="346">
        <v>1451.4928604604452</v>
      </c>
    </row>
    <row r="83" spans="1:8" x14ac:dyDescent="0.3">
      <c r="A83" s="346" t="s">
        <v>178</v>
      </c>
      <c r="B83" s="346" t="s">
        <v>177</v>
      </c>
      <c r="C83" s="346">
        <v>4.6383408482777497</v>
      </c>
      <c r="F83" s="346" t="s">
        <v>178</v>
      </c>
      <c r="G83" s="346" t="s">
        <v>177</v>
      </c>
      <c r="H83" s="346">
        <v>33.4231162763068</v>
      </c>
    </row>
    <row r="84" spans="1:8" x14ac:dyDescent="0.3">
      <c r="A84" s="346" t="s">
        <v>178</v>
      </c>
      <c r="B84" s="346" t="s">
        <v>177</v>
      </c>
      <c r="C84" s="346">
        <v>117.1570732841042</v>
      </c>
      <c r="F84" s="346" t="s">
        <v>178</v>
      </c>
      <c r="G84" s="346" t="s">
        <v>177</v>
      </c>
      <c r="H84" s="346">
        <v>692.9778479609015</v>
      </c>
    </row>
    <row r="85" spans="1:8" x14ac:dyDescent="0.3">
      <c r="A85" s="346" t="s">
        <v>178</v>
      </c>
      <c r="B85" s="346" t="s">
        <v>177</v>
      </c>
      <c r="C85" s="346">
        <v>8.1170429782557694</v>
      </c>
      <c r="F85" s="346" t="s">
        <v>178</v>
      </c>
      <c r="G85" s="346" t="s">
        <v>177</v>
      </c>
      <c r="H85" s="346">
        <v>36.961425283266479</v>
      </c>
    </row>
    <row r="86" spans="1:8" x14ac:dyDescent="0.3">
      <c r="A86" s="346" t="s">
        <v>178</v>
      </c>
      <c r="B86" s="346" t="s">
        <v>177</v>
      </c>
      <c r="C86" s="346">
        <v>14.096903985577047</v>
      </c>
      <c r="F86" s="346" t="s">
        <v>178</v>
      </c>
      <c r="G86" s="346" t="s">
        <v>177</v>
      </c>
      <c r="H86" s="346">
        <v>53.439480631626196</v>
      </c>
    </row>
    <row r="87" spans="1:8" x14ac:dyDescent="0.3">
      <c r="A87" s="346" t="s">
        <v>178</v>
      </c>
      <c r="B87" s="346" t="s">
        <v>177</v>
      </c>
      <c r="C87" s="346">
        <v>60.640405571176288</v>
      </c>
      <c r="F87" s="346" t="s">
        <v>178</v>
      </c>
      <c r="G87" s="346" t="s">
        <v>177</v>
      </c>
      <c r="H87" s="346">
        <v>136.01040438319575</v>
      </c>
    </row>
    <row r="88" spans="1:8" x14ac:dyDescent="0.3">
      <c r="A88" s="346" t="s">
        <v>178</v>
      </c>
      <c r="B88" s="346" t="s">
        <v>177</v>
      </c>
      <c r="C88" s="346">
        <v>17.620622052311042</v>
      </c>
      <c r="F88" s="346" t="s">
        <v>178</v>
      </c>
      <c r="G88" s="346" t="s">
        <v>177</v>
      </c>
      <c r="H88" s="346">
        <v>142.85116034191483</v>
      </c>
    </row>
    <row r="89" spans="1:8" x14ac:dyDescent="0.3">
      <c r="A89" s="346" t="s">
        <v>178</v>
      </c>
      <c r="B89" s="346" t="s">
        <v>177</v>
      </c>
      <c r="C89" s="346">
        <v>7.5857490113079191E-3</v>
      </c>
      <c r="F89" s="346" t="s">
        <v>178</v>
      </c>
      <c r="G89" s="346" t="s">
        <v>177</v>
      </c>
      <c r="H89" s="346">
        <v>0.26275432299863066</v>
      </c>
    </row>
    <row r="90" spans="1:8" x14ac:dyDescent="0.3">
      <c r="A90" s="346" t="s">
        <v>178</v>
      </c>
      <c r="B90" s="346" t="s">
        <v>177</v>
      </c>
      <c r="C90" s="346">
        <v>5.5671619498516272</v>
      </c>
      <c r="F90" s="346" t="s">
        <v>178</v>
      </c>
      <c r="G90" s="346" t="s">
        <v>177</v>
      </c>
      <c r="H90" s="346">
        <v>30.913083144049473</v>
      </c>
    </row>
    <row r="91" spans="1:8" x14ac:dyDescent="0.3">
      <c r="A91" s="346" t="s">
        <v>178</v>
      </c>
      <c r="B91" s="346" t="s">
        <v>177</v>
      </c>
      <c r="C91" s="346">
        <v>77.580453678433415</v>
      </c>
      <c r="F91" s="346" t="s">
        <v>178</v>
      </c>
      <c r="G91" s="346" t="s">
        <v>177</v>
      </c>
      <c r="H91" s="346">
        <v>604.75058739608937</v>
      </c>
    </row>
    <row r="92" spans="1:8" x14ac:dyDescent="0.3">
      <c r="A92" s="346" t="s">
        <v>178</v>
      </c>
      <c r="B92" s="346" t="s">
        <v>177</v>
      </c>
      <c r="C92" s="346">
        <v>11.258879083965082</v>
      </c>
      <c r="F92" s="346" t="s">
        <v>178</v>
      </c>
      <c r="G92" s="346" t="s">
        <v>177</v>
      </c>
      <c r="H92" s="346">
        <v>100.05924390614049</v>
      </c>
    </row>
    <row r="93" spans="1:8" x14ac:dyDescent="0.3">
      <c r="A93" s="346" t="s">
        <v>178</v>
      </c>
      <c r="B93" s="346" t="s">
        <v>177</v>
      </c>
      <c r="C93" s="346">
        <v>40.992336852667499</v>
      </c>
      <c r="F93" s="346" t="s">
        <v>178</v>
      </c>
      <c r="G93" s="346" t="s">
        <v>177</v>
      </c>
      <c r="H93" s="346">
        <v>299.54867613013346</v>
      </c>
    </row>
    <row r="94" spans="1:8" x14ac:dyDescent="0.3">
      <c r="A94" s="346" t="s">
        <v>178</v>
      </c>
      <c r="B94" s="346" t="s">
        <v>177</v>
      </c>
      <c r="C94" s="346">
        <v>7.4401541438304335</v>
      </c>
      <c r="F94" s="346" t="s">
        <v>178</v>
      </c>
      <c r="G94" s="346" t="s">
        <v>177</v>
      </c>
      <c r="H94" s="346">
        <v>57.627791432680198</v>
      </c>
    </row>
    <row r="95" spans="1:8" x14ac:dyDescent="0.3">
      <c r="A95" s="346" t="s">
        <v>178</v>
      </c>
      <c r="B95" s="346" t="s">
        <v>177</v>
      </c>
      <c r="C95" s="346">
        <v>3.8080972946617004</v>
      </c>
      <c r="F95" s="346" t="s">
        <v>178</v>
      </c>
      <c r="G95" s="346" t="s">
        <v>177</v>
      </c>
      <c r="H95" s="346">
        <v>38.923232928275873</v>
      </c>
    </row>
    <row r="96" spans="1:8" x14ac:dyDescent="0.3">
      <c r="A96" s="346" t="s">
        <v>178</v>
      </c>
      <c r="B96" s="346" t="s">
        <v>177</v>
      </c>
      <c r="C96" s="346">
        <v>19.721575658254455</v>
      </c>
      <c r="F96" s="346" t="s">
        <v>178</v>
      </c>
      <c r="G96" s="346" t="s">
        <v>177</v>
      </c>
      <c r="H96" s="346">
        <v>119.71398809963843</v>
      </c>
    </row>
    <row r="97" spans="1:8" x14ac:dyDescent="0.3">
      <c r="A97" s="346" t="s">
        <v>178</v>
      </c>
      <c r="B97" s="346" t="s">
        <v>177</v>
      </c>
      <c r="C97" s="346">
        <v>16.464707228637504</v>
      </c>
      <c r="F97" s="346" t="s">
        <v>178</v>
      </c>
      <c r="G97" s="346" t="s">
        <v>177</v>
      </c>
      <c r="H97" s="346">
        <v>121.59810477944298</v>
      </c>
    </row>
    <row r="98" spans="1:8" x14ac:dyDescent="0.3">
      <c r="C98">
        <f>SUM(C2:C97)</f>
        <v>67587.682893190082</v>
      </c>
      <c r="H98">
        <f>SUM(H2:H97)</f>
        <v>136217.07340216008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A1C9A-A650-4E20-B34A-1D28EC7581A7}">
  <dimension ref="A1:H20"/>
  <sheetViews>
    <sheetView workbookViewId="0">
      <selection activeCell="C2" sqref="C2:C20"/>
    </sheetView>
  </sheetViews>
  <sheetFormatPr defaultRowHeight="14.4" x14ac:dyDescent="0.3"/>
  <cols>
    <col min="1" max="1" width="10.44140625" bestFit="1" customWidth="1"/>
    <col min="2" max="2" width="8.6640625" bestFit="1" customWidth="1"/>
    <col min="3" max="3" width="13.44140625" bestFit="1" customWidth="1"/>
    <col min="6" max="6" width="10.44140625" bestFit="1" customWidth="1"/>
    <col min="7" max="7" width="8.6640625" bestFit="1" customWidth="1"/>
    <col min="8" max="8" width="13.33203125" bestFit="1" customWidth="1"/>
  </cols>
  <sheetData>
    <row r="1" spans="1:8" x14ac:dyDescent="0.3">
      <c r="A1" s="343" t="s">
        <v>173</v>
      </c>
      <c r="B1" s="343" t="s">
        <v>174</v>
      </c>
      <c r="C1" s="343" t="s">
        <v>176</v>
      </c>
      <c r="F1" s="343" t="s">
        <v>173</v>
      </c>
      <c r="G1" s="343" t="s">
        <v>174</v>
      </c>
      <c r="H1" s="343" t="s">
        <v>175</v>
      </c>
    </row>
    <row r="2" spans="1:8" x14ac:dyDescent="0.3">
      <c r="A2" s="344" t="s">
        <v>178</v>
      </c>
      <c r="B2" s="344" t="s">
        <v>177</v>
      </c>
      <c r="C2" s="344">
        <v>0</v>
      </c>
      <c r="F2" s="344" t="s">
        <v>178</v>
      </c>
      <c r="G2" s="344" t="s">
        <v>177</v>
      </c>
      <c r="H2" s="344">
        <v>0</v>
      </c>
    </row>
    <row r="3" spans="1:8" x14ac:dyDescent="0.3">
      <c r="A3" s="344" t="s">
        <v>178</v>
      </c>
      <c r="B3" s="344" t="s">
        <v>177</v>
      </c>
      <c r="C3" s="344">
        <v>0</v>
      </c>
      <c r="F3" s="344" t="s">
        <v>178</v>
      </c>
      <c r="G3" s="344" t="s">
        <v>177</v>
      </c>
      <c r="H3" s="344">
        <v>7.9615619435367518E-2</v>
      </c>
    </row>
    <row r="4" spans="1:8" x14ac:dyDescent="0.3">
      <c r="A4" s="344" t="s">
        <v>178</v>
      </c>
      <c r="B4" s="344" t="s">
        <v>177</v>
      </c>
      <c r="C4" s="344">
        <v>0</v>
      </c>
      <c r="F4" s="344" t="s">
        <v>178</v>
      </c>
      <c r="G4" s="344" t="s">
        <v>177</v>
      </c>
      <c r="H4" s="344">
        <v>0</v>
      </c>
    </row>
    <row r="5" spans="1:8" x14ac:dyDescent="0.3">
      <c r="A5" s="344" t="s">
        <v>178</v>
      </c>
      <c r="B5" s="344" t="s">
        <v>177</v>
      </c>
      <c r="C5" s="344">
        <v>7.1311911830821445E-2</v>
      </c>
      <c r="F5" s="344" t="s">
        <v>178</v>
      </c>
      <c r="G5" s="344" t="s">
        <v>177</v>
      </c>
      <c r="H5" s="344">
        <v>6.5846876235437639</v>
      </c>
    </row>
    <row r="6" spans="1:8" x14ac:dyDescent="0.3">
      <c r="A6" s="344" t="s">
        <v>178</v>
      </c>
      <c r="B6" s="344" t="s">
        <v>177</v>
      </c>
      <c r="C6" s="344">
        <v>4.1736641847777631E-3</v>
      </c>
      <c r="F6" s="344" t="s">
        <v>178</v>
      </c>
      <c r="G6" s="344" t="s">
        <v>177</v>
      </c>
      <c r="H6" s="344">
        <v>0.23868357785529243</v>
      </c>
    </row>
    <row r="7" spans="1:8" x14ac:dyDescent="0.3">
      <c r="A7" s="344" t="s">
        <v>178</v>
      </c>
      <c r="B7" s="344" t="s">
        <v>177</v>
      </c>
      <c r="C7" s="344">
        <v>5.4546307655511999E-7</v>
      </c>
      <c r="F7" s="344" t="s">
        <v>178</v>
      </c>
      <c r="G7" s="344" t="s">
        <v>177</v>
      </c>
      <c r="H7" s="344">
        <v>1.2768993255286467E-5</v>
      </c>
    </row>
    <row r="8" spans="1:8" x14ac:dyDescent="0.3">
      <c r="A8" s="344" t="s">
        <v>178</v>
      </c>
      <c r="B8" s="344" t="s">
        <v>177</v>
      </c>
      <c r="C8" s="344">
        <v>1.3034416900821869E-5</v>
      </c>
      <c r="F8" s="344" t="s">
        <v>178</v>
      </c>
      <c r="G8" s="344" t="s">
        <v>177</v>
      </c>
      <c r="H8" s="344">
        <v>3.0512859375251899E-4</v>
      </c>
    </row>
    <row r="9" spans="1:8" x14ac:dyDescent="0.3">
      <c r="A9" s="344" t="s">
        <v>178</v>
      </c>
      <c r="B9" s="344" t="s">
        <v>177</v>
      </c>
      <c r="C9" s="344">
        <v>2.3961266751352037E-4</v>
      </c>
      <c r="F9" s="344" t="s">
        <v>178</v>
      </c>
      <c r="G9" s="344" t="s">
        <v>177</v>
      </c>
      <c r="H9" s="344">
        <v>0.80702018362394712</v>
      </c>
    </row>
    <row r="10" spans="1:8" x14ac:dyDescent="0.3">
      <c r="A10" s="344" t="s">
        <v>178</v>
      </c>
      <c r="B10" s="344" t="s">
        <v>177</v>
      </c>
      <c r="C10" s="344">
        <v>1.4851706630401383E-6</v>
      </c>
      <c r="F10" s="344" t="s">
        <v>178</v>
      </c>
      <c r="G10" s="344" t="s">
        <v>177</v>
      </c>
      <c r="H10" s="344">
        <v>4.7505149478135741E-3</v>
      </c>
    </row>
    <row r="11" spans="1:8" x14ac:dyDescent="0.3">
      <c r="A11" s="344" t="s">
        <v>178</v>
      </c>
      <c r="B11" s="344" t="s">
        <v>177</v>
      </c>
      <c r="C11" s="344">
        <v>4.3941297884372357E-2</v>
      </c>
      <c r="F11" s="344" t="s">
        <v>178</v>
      </c>
      <c r="G11" s="344" t="s">
        <v>177</v>
      </c>
      <c r="H11" s="344">
        <v>0.29841618010595039</v>
      </c>
    </row>
    <row r="12" spans="1:8" x14ac:dyDescent="0.3">
      <c r="A12" s="344" t="s">
        <v>178</v>
      </c>
      <c r="B12" s="344" t="s">
        <v>177</v>
      </c>
      <c r="C12" s="344">
        <v>0.82517652824367493</v>
      </c>
      <c r="F12" s="344" t="s">
        <v>178</v>
      </c>
      <c r="G12" s="344" t="s">
        <v>177</v>
      </c>
      <c r="H12" s="344">
        <v>4.0589863426926334</v>
      </c>
    </row>
    <row r="13" spans="1:8" x14ac:dyDescent="0.3">
      <c r="A13" s="344" t="s">
        <v>178</v>
      </c>
      <c r="B13" s="344" t="s">
        <v>177</v>
      </c>
      <c r="C13" s="344">
        <v>5.0921601043869424</v>
      </c>
      <c r="F13" s="344" t="s">
        <v>178</v>
      </c>
      <c r="G13" s="344" t="s">
        <v>177</v>
      </c>
      <c r="H13" s="344">
        <v>22.876475980722429</v>
      </c>
    </row>
    <row r="14" spans="1:8" x14ac:dyDescent="0.3">
      <c r="A14" s="344" t="s">
        <v>178</v>
      </c>
      <c r="B14" s="344" t="s">
        <v>177</v>
      </c>
      <c r="C14" s="344">
        <v>20.886319089958231</v>
      </c>
      <c r="F14" s="344" t="s">
        <v>178</v>
      </c>
      <c r="G14" s="344" t="s">
        <v>177</v>
      </c>
      <c r="H14" s="344">
        <v>36.392046969992116</v>
      </c>
    </row>
    <row r="15" spans="1:8" x14ac:dyDescent="0.3">
      <c r="A15" s="344" t="s">
        <v>178</v>
      </c>
      <c r="B15" s="344" t="s">
        <v>177</v>
      </c>
      <c r="C15" s="344">
        <v>2.538916049765882</v>
      </c>
      <c r="F15" s="344" t="s">
        <v>178</v>
      </c>
      <c r="G15" s="344" t="s">
        <v>177</v>
      </c>
      <c r="H15" s="344">
        <v>8.4287343944444082</v>
      </c>
    </row>
    <row r="16" spans="1:8" x14ac:dyDescent="0.3">
      <c r="A16" s="344" t="s">
        <v>178</v>
      </c>
      <c r="B16" s="344" t="s">
        <v>177</v>
      </c>
      <c r="C16" s="344">
        <v>1.0348235957228691E-4</v>
      </c>
      <c r="F16" s="344" t="s">
        <v>178</v>
      </c>
      <c r="G16" s="344" t="s">
        <v>177</v>
      </c>
      <c r="H16" s="344">
        <v>1.3983527147104653E-4</v>
      </c>
    </row>
    <row r="17" spans="1:8" x14ac:dyDescent="0.3">
      <c r="A17" s="344" t="s">
        <v>178</v>
      </c>
      <c r="B17" s="344" t="s">
        <v>177</v>
      </c>
      <c r="C17" s="344">
        <v>7.8826414968906321E-3</v>
      </c>
      <c r="F17" s="344" t="s">
        <v>178</v>
      </c>
      <c r="G17" s="344" t="s">
        <v>177</v>
      </c>
      <c r="H17" s="344">
        <v>4.6209785009494221E-2</v>
      </c>
    </row>
    <row r="18" spans="1:8" x14ac:dyDescent="0.3">
      <c r="A18" s="344" t="s">
        <v>178</v>
      </c>
      <c r="B18" s="344" t="s">
        <v>177</v>
      </c>
      <c r="C18" s="344">
        <v>2.2876650346958072</v>
      </c>
      <c r="F18" s="344" t="s">
        <v>178</v>
      </c>
      <c r="G18" s="344" t="s">
        <v>177</v>
      </c>
      <c r="H18" s="344">
        <v>14.776093668249437</v>
      </c>
    </row>
    <row r="19" spans="1:8" x14ac:dyDescent="0.3">
      <c r="A19" s="344" t="s">
        <v>178</v>
      </c>
      <c r="B19" s="344" t="s">
        <v>177</v>
      </c>
      <c r="C19" s="344">
        <v>0.17839217172549565</v>
      </c>
      <c r="F19" s="344" t="s">
        <v>178</v>
      </c>
      <c r="G19" s="344" t="s">
        <v>177</v>
      </c>
      <c r="H19" s="344">
        <v>1.0588330203725758</v>
      </c>
    </row>
    <row r="20" spans="1:8" x14ac:dyDescent="0.3">
      <c r="C20">
        <f>SUM(C2:C19)</f>
        <v>31.936296654250622</v>
      </c>
      <c r="H20">
        <f>SUM(H2:H19)</f>
        <v>95.65101159385371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973A-598A-42CB-87AF-AE5942E19E76}">
  <dimension ref="A1:H4"/>
  <sheetViews>
    <sheetView workbookViewId="0">
      <selection activeCell="C2" sqref="C2:C4"/>
    </sheetView>
  </sheetViews>
  <sheetFormatPr defaultRowHeight="14.4" x14ac:dyDescent="0.3"/>
  <sheetData>
    <row r="1" spans="1:8" x14ac:dyDescent="0.3">
      <c r="A1" s="160" t="s">
        <v>170</v>
      </c>
      <c r="B1" s="160" t="s">
        <v>171</v>
      </c>
      <c r="C1" s="160" t="s">
        <v>172</v>
      </c>
      <c r="F1" s="133" t="s">
        <v>170</v>
      </c>
      <c r="G1" s="133" t="s">
        <v>171</v>
      </c>
      <c r="H1" s="133" t="s">
        <v>172</v>
      </c>
    </row>
    <row r="2" spans="1:8" x14ac:dyDescent="0.3">
      <c r="A2" s="161">
        <v>1</v>
      </c>
      <c r="B2" s="161">
        <v>70</v>
      </c>
      <c r="C2" s="162">
        <v>4.0189663792926869</v>
      </c>
      <c r="F2" s="134">
        <v>1</v>
      </c>
      <c r="G2" s="134">
        <v>70</v>
      </c>
      <c r="H2" s="135">
        <v>112.7705316411807</v>
      </c>
    </row>
    <row r="3" spans="1:8" x14ac:dyDescent="0.3">
      <c r="A3" s="205">
        <v>1</v>
      </c>
      <c r="B3" s="205">
        <v>70</v>
      </c>
      <c r="C3" s="206">
        <v>16.526063703256099</v>
      </c>
      <c r="F3" s="187">
        <v>1</v>
      </c>
      <c r="G3" s="187">
        <v>70</v>
      </c>
      <c r="H3" s="188">
        <v>108.49316163222065</v>
      </c>
    </row>
    <row r="4" spans="1:8" x14ac:dyDescent="0.3">
      <c r="C4">
        <f>SUM(C2:C3)</f>
        <v>20.545030082548784</v>
      </c>
      <c r="H4">
        <f>SUM(H2:H3)</f>
        <v>221.26369327340134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6C398-EEDC-477D-86C0-79BBCFF004A0}">
  <dimension ref="A1:H4"/>
  <sheetViews>
    <sheetView workbookViewId="0">
      <selection activeCell="C2" sqref="C2:C4"/>
    </sheetView>
  </sheetViews>
  <sheetFormatPr defaultRowHeight="14.4" x14ac:dyDescent="0.3"/>
  <sheetData>
    <row r="1" spans="1:8" x14ac:dyDescent="0.3">
      <c r="A1" s="163" t="s">
        <v>170</v>
      </c>
      <c r="B1" s="163" t="s">
        <v>171</v>
      </c>
      <c r="C1" s="163" t="s">
        <v>172</v>
      </c>
      <c r="F1" s="136" t="s">
        <v>170</v>
      </c>
      <c r="G1" s="136" t="s">
        <v>171</v>
      </c>
      <c r="H1" s="136" t="s">
        <v>172</v>
      </c>
    </row>
    <row r="2" spans="1:8" x14ac:dyDescent="0.3">
      <c r="A2" s="164">
        <v>1</v>
      </c>
      <c r="B2" s="164">
        <v>36</v>
      </c>
      <c r="C2" s="165">
        <v>7.8129420272984265E-2</v>
      </c>
      <c r="F2" s="137">
        <v>1</v>
      </c>
      <c r="G2" s="137">
        <v>36</v>
      </c>
      <c r="H2" s="138">
        <v>25.777922405360716</v>
      </c>
    </row>
    <row r="3" spans="1:8" x14ac:dyDescent="0.3">
      <c r="A3" s="207">
        <v>1</v>
      </c>
      <c r="B3" s="207">
        <v>36</v>
      </c>
      <c r="C3" s="208">
        <v>6.471168333048646</v>
      </c>
      <c r="F3" s="189">
        <v>1</v>
      </c>
      <c r="G3" s="189">
        <v>36</v>
      </c>
      <c r="H3" s="190">
        <v>37.06142011192685</v>
      </c>
    </row>
    <row r="4" spans="1:8" x14ac:dyDescent="0.3">
      <c r="C4">
        <f>SUM(C2:C3)</f>
        <v>6.5492977533216301</v>
      </c>
      <c r="H4">
        <f>SUM(H2:H3)</f>
        <v>62.839342517287562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97213-D861-4009-8780-D7D31F877A2D}">
  <dimension ref="A1:H4"/>
  <sheetViews>
    <sheetView workbookViewId="0">
      <selection activeCell="C2" sqref="C2:C4"/>
    </sheetView>
  </sheetViews>
  <sheetFormatPr defaultRowHeight="14.4" x14ac:dyDescent="0.3"/>
  <sheetData>
    <row r="1" spans="1:8" x14ac:dyDescent="0.3">
      <c r="A1" s="166" t="s">
        <v>170</v>
      </c>
      <c r="B1" s="166" t="s">
        <v>171</v>
      </c>
      <c r="C1" s="166" t="s">
        <v>172</v>
      </c>
      <c r="F1" s="139" t="s">
        <v>170</v>
      </c>
      <c r="G1" s="139" t="s">
        <v>171</v>
      </c>
      <c r="H1" s="139" t="s">
        <v>172</v>
      </c>
    </row>
    <row r="2" spans="1:8" x14ac:dyDescent="0.3">
      <c r="A2" s="167">
        <v>1</v>
      </c>
      <c r="B2" s="167">
        <v>635</v>
      </c>
      <c r="C2" s="168">
        <v>26.557988872783355</v>
      </c>
      <c r="F2" s="140">
        <v>1</v>
      </c>
      <c r="G2" s="140">
        <v>635</v>
      </c>
      <c r="H2" s="141">
        <v>456.53981829494467</v>
      </c>
    </row>
    <row r="3" spans="1:8" x14ac:dyDescent="0.3">
      <c r="A3" s="209">
        <v>1</v>
      </c>
      <c r="B3" s="209">
        <v>635</v>
      </c>
      <c r="C3" s="210">
        <v>104.79571821822751</v>
      </c>
      <c r="F3" s="191">
        <v>1</v>
      </c>
      <c r="G3" s="191">
        <v>635</v>
      </c>
      <c r="H3" s="192">
        <v>663.05559910382647</v>
      </c>
    </row>
    <row r="4" spans="1:8" x14ac:dyDescent="0.3">
      <c r="C4">
        <f>SUM(C2:C3)</f>
        <v>131.35370709101085</v>
      </c>
      <c r="H4">
        <f>SUM(H2:H3)</f>
        <v>1119.5954173987711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33C60-B83B-4662-B432-BCC33D63561C}">
  <dimension ref="A1:H4"/>
  <sheetViews>
    <sheetView workbookViewId="0">
      <selection activeCell="C2" sqref="C2:C4"/>
    </sheetView>
  </sheetViews>
  <sheetFormatPr defaultRowHeight="14.4" x14ac:dyDescent="0.3"/>
  <sheetData>
    <row r="1" spans="1:8" x14ac:dyDescent="0.3">
      <c r="A1" s="169" t="s">
        <v>170</v>
      </c>
      <c r="B1" s="169" t="s">
        <v>171</v>
      </c>
      <c r="C1" s="169" t="s">
        <v>172</v>
      </c>
      <c r="F1" s="142" t="s">
        <v>170</v>
      </c>
      <c r="G1" s="142" t="s">
        <v>171</v>
      </c>
      <c r="H1" s="142" t="s">
        <v>172</v>
      </c>
    </row>
    <row r="2" spans="1:8" x14ac:dyDescent="0.3">
      <c r="A2" s="170">
        <v>1</v>
      </c>
      <c r="B2" s="170">
        <v>14</v>
      </c>
      <c r="C2" s="171">
        <v>3.14103810480373E-3</v>
      </c>
      <c r="F2" s="143">
        <v>1</v>
      </c>
      <c r="G2" s="143">
        <v>14</v>
      </c>
      <c r="H2" s="144">
        <v>5.3542207202099248E-2</v>
      </c>
    </row>
    <row r="3" spans="1:8" x14ac:dyDescent="0.3">
      <c r="A3" s="211">
        <v>1</v>
      </c>
      <c r="B3" s="211">
        <v>14</v>
      </c>
      <c r="C3" s="212">
        <v>0.43712143619054866</v>
      </c>
      <c r="F3" s="193">
        <v>1</v>
      </c>
      <c r="G3" s="193">
        <v>14</v>
      </c>
      <c r="H3" s="194">
        <v>3.7016291706534474</v>
      </c>
    </row>
    <row r="4" spans="1:8" x14ac:dyDescent="0.3">
      <c r="C4">
        <f>SUM(C2:C3)</f>
        <v>0.44026247429535237</v>
      </c>
      <c r="H4">
        <f>SUM(H2:H3)</f>
        <v>3.7551713778555467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7"/>
  <sheetViews>
    <sheetView topLeftCell="A31" workbookViewId="0">
      <selection activeCell="A55" sqref="A55:XFD55"/>
    </sheetView>
  </sheetViews>
  <sheetFormatPr defaultRowHeight="14.4" x14ac:dyDescent="0.3"/>
  <cols>
    <col min="1" max="1" width="19.33203125" bestFit="1" customWidth="1"/>
    <col min="2" max="2" width="12.44140625" customWidth="1"/>
  </cols>
  <sheetData>
    <row r="1" spans="1:9" x14ac:dyDescent="0.3">
      <c r="A1" s="5" t="s">
        <v>50</v>
      </c>
    </row>
    <row r="2" spans="1:9" x14ac:dyDescent="0.3">
      <c r="B2" t="s">
        <v>43</v>
      </c>
      <c r="D2" t="s">
        <v>44</v>
      </c>
      <c r="F2" t="s">
        <v>45</v>
      </c>
    </row>
    <row r="3" spans="1:9" x14ac:dyDescent="0.3">
      <c r="A3" t="s">
        <v>46</v>
      </c>
      <c r="B3">
        <v>21.5</v>
      </c>
      <c r="C3" t="s">
        <v>47</v>
      </c>
      <c r="D3">
        <v>21</v>
      </c>
      <c r="E3" t="s">
        <v>47</v>
      </c>
    </row>
    <row r="4" spans="1:9" x14ac:dyDescent="0.3">
      <c r="A4" t="s">
        <v>48</v>
      </c>
      <c r="B4" s="6">
        <f>(ROUND((43.75*B3)/(4.38+B3),1))/100</f>
        <v>0.36299999999999999</v>
      </c>
      <c r="C4" s="6"/>
      <c r="D4" s="6">
        <f>(ROUND((43.75*D3)/(4.38+D3),1))/100</f>
        <v>0.36200000000000004</v>
      </c>
      <c r="E4" s="6"/>
      <c r="F4" s="6">
        <f>B4-D4</f>
        <v>9.9999999999994538E-4</v>
      </c>
    </row>
    <row r="5" spans="1:9" x14ac:dyDescent="0.3">
      <c r="A5" t="s">
        <v>49</v>
      </c>
      <c r="B5" s="6">
        <f>(ROUND(44.53+6.146*LN(B3)+0.145*(LN(B3)^2),1))/100</f>
        <v>0.64800000000000002</v>
      </c>
      <c r="C5" s="6"/>
      <c r="D5" s="6">
        <f>(ROUND(44.53+6.146*LN(D3)+0.145*(LN(D3)^2),1))/100</f>
        <v>0.64599999999999991</v>
      </c>
      <c r="E5" s="6"/>
      <c r="F5" s="6">
        <f>B5-D5</f>
        <v>2.0000000000001128E-3</v>
      </c>
    </row>
    <row r="7" spans="1:9" x14ac:dyDescent="0.3">
      <c r="A7" s="5" t="s">
        <v>29</v>
      </c>
    </row>
    <row r="8" spans="1:9" x14ac:dyDescent="0.3">
      <c r="A8" t="s">
        <v>51</v>
      </c>
      <c r="B8" t="s">
        <v>43</v>
      </c>
      <c r="D8" t="s">
        <v>44</v>
      </c>
      <c r="F8" t="s">
        <v>45</v>
      </c>
    </row>
    <row r="9" spans="1:9" x14ac:dyDescent="0.3">
      <c r="A9" t="s">
        <v>46</v>
      </c>
      <c r="B9">
        <v>68</v>
      </c>
      <c r="C9" t="s">
        <v>47</v>
      </c>
      <c r="D9">
        <v>21</v>
      </c>
      <c r="E9" t="s">
        <v>47</v>
      </c>
    </row>
    <row r="10" spans="1:9" x14ac:dyDescent="0.3">
      <c r="A10" t="s">
        <v>48</v>
      </c>
      <c r="B10" s="6">
        <f>(ROUND((43.75*B9)/(4.38+B9),1))/100</f>
        <v>0.41100000000000003</v>
      </c>
      <c r="C10" s="6"/>
      <c r="D10" s="6">
        <f>(ROUND((43.75*D9)/(4.38+D9),1))/100</f>
        <v>0.36200000000000004</v>
      </c>
      <c r="E10" s="6"/>
      <c r="F10" s="6">
        <f>B10-D10</f>
        <v>4.8999999999999988E-2</v>
      </c>
      <c r="H10" t="s">
        <v>52</v>
      </c>
      <c r="I10" s="6">
        <f>(F10+F15)/2</f>
        <v>4.5999999999999985E-2</v>
      </c>
    </row>
    <row r="11" spans="1:9" x14ac:dyDescent="0.3">
      <c r="A11" t="s">
        <v>49</v>
      </c>
      <c r="B11" s="6">
        <f>(ROUND(44.53+6.146*LN(B9)+0.145*(LN(B9)^2),1))/100</f>
        <v>0.73</v>
      </c>
      <c r="C11" s="6"/>
      <c r="D11" s="6">
        <f>(ROUND(44.53+6.146*LN(D9)+0.145*(LN(D9)^2),1))/100</f>
        <v>0.64599999999999991</v>
      </c>
      <c r="E11" s="6"/>
      <c r="F11" s="6">
        <f>B11-D11</f>
        <v>8.4000000000000075E-2</v>
      </c>
      <c r="H11" t="s">
        <v>53</v>
      </c>
      <c r="I11" s="6">
        <f>(F11+F16)/2</f>
        <v>7.6500000000000068E-2</v>
      </c>
    </row>
    <row r="13" spans="1:9" x14ac:dyDescent="0.3">
      <c r="A13" t="s">
        <v>54</v>
      </c>
      <c r="B13" t="s">
        <v>43</v>
      </c>
      <c r="D13" t="s">
        <v>44</v>
      </c>
      <c r="F13" t="s">
        <v>45</v>
      </c>
    </row>
    <row r="14" spans="1:9" x14ac:dyDescent="0.3">
      <c r="A14" t="s">
        <v>46</v>
      </c>
      <c r="B14">
        <v>55</v>
      </c>
      <c r="C14" t="s">
        <v>47</v>
      </c>
      <c r="D14">
        <v>21</v>
      </c>
      <c r="E14" t="s">
        <v>47</v>
      </c>
    </row>
    <row r="15" spans="1:9" x14ac:dyDescent="0.3">
      <c r="A15" t="s">
        <v>48</v>
      </c>
      <c r="B15" s="6">
        <f>(ROUND((43.75*B14)/(4.38+B14),1))/100</f>
        <v>0.40500000000000003</v>
      </c>
      <c r="C15" s="6"/>
      <c r="D15" s="6">
        <f>(ROUND((43.75*D14)/(4.38+D14),1))/100</f>
        <v>0.36200000000000004</v>
      </c>
      <c r="E15" s="6"/>
      <c r="F15" s="6">
        <f>B15-D15</f>
        <v>4.2999999999999983E-2</v>
      </c>
    </row>
    <row r="16" spans="1:9" x14ac:dyDescent="0.3">
      <c r="A16" t="s">
        <v>49</v>
      </c>
      <c r="B16" s="6">
        <f>(ROUND(44.53+6.146*LN(B14)+0.145*(LN(B14)^2),1))/100</f>
        <v>0.71499999999999997</v>
      </c>
      <c r="C16" s="6"/>
      <c r="D16" s="6">
        <f>(ROUND(44.53+6.146*LN(D14)+0.145*(LN(D14)^2),1))/100</f>
        <v>0.64599999999999991</v>
      </c>
      <c r="E16" s="6"/>
      <c r="F16" s="6">
        <f>B16-D16</f>
        <v>6.9000000000000061E-2</v>
      </c>
    </row>
    <row r="18" spans="1:6" x14ac:dyDescent="0.3">
      <c r="A18" s="5" t="s">
        <v>30</v>
      </c>
    </row>
    <row r="19" spans="1:6" x14ac:dyDescent="0.3">
      <c r="B19" t="s">
        <v>43</v>
      </c>
      <c r="D19" t="s">
        <v>44</v>
      </c>
      <c r="F19" t="s">
        <v>45</v>
      </c>
    </row>
    <row r="20" spans="1:6" x14ac:dyDescent="0.3">
      <c r="A20" t="s">
        <v>46</v>
      </c>
      <c r="B20">
        <v>58.7</v>
      </c>
      <c r="C20" t="s">
        <v>47</v>
      </c>
      <c r="D20">
        <v>8.9</v>
      </c>
      <c r="E20" t="s">
        <v>47</v>
      </c>
    </row>
    <row r="21" spans="1:6" x14ac:dyDescent="0.3">
      <c r="A21" t="s">
        <v>48</v>
      </c>
      <c r="B21" s="6">
        <f>(ROUND((43.75*B20)/(4.38+B20),1))/100</f>
        <v>0.40700000000000003</v>
      </c>
      <c r="C21" s="6"/>
      <c r="D21" s="6">
        <f>(ROUND((43.75*D20)/(4.38+D20),1))/100</f>
        <v>0.29299999999999998</v>
      </c>
      <c r="E21" s="6"/>
      <c r="F21" s="6">
        <f>B21-D21</f>
        <v>0.11400000000000005</v>
      </c>
    </row>
    <row r="22" spans="1:6" x14ac:dyDescent="0.3">
      <c r="A22" t="s">
        <v>49</v>
      </c>
      <c r="B22" s="6">
        <f>(ROUND(44.53+6.146*LN(B20)+0.145*(LN(B20)^2),1))/100</f>
        <v>0.72</v>
      </c>
      <c r="C22" s="6"/>
      <c r="D22" s="6">
        <f>(ROUND(44.53+6.146*LN(D20)+0.145*(LN(D20)^2),1))/100</f>
        <v>0.58700000000000008</v>
      </c>
      <c r="E22" s="6"/>
      <c r="F22" s="6">
        <f>B22-D22</f>
        <v>0.1329999999999999</v>
      </c>
    </row>
    <row r="24" spans="1:6" x14ac:dyDescent="0.3">
      <c r="A24" s="5" t="s">
        <v>31</v>
      </c>
    </row>
    <row r="25" spans="1:6" x14ac:dyDescent="0.3">
      <c r="B25" t="s">
        <v>43</v>
      </c>
      <c r="D25" t="s">
        <v>44</v>
      </c>
      <c r="F25" t="s">
        <v>45</v>
      </c>
    </row>
    <row r="26" spans="1:6" x14ac:dyDescent="0.3">
      <c r="A26" t="s">
        <v>46</v>
      </c>
      <c r="B26">
        <v>98.4</v>
      </c>
      <c r="C26" t="s">
        <v>47</v>
      </c>
      <c r="D26">
        <v>16.5</v>
      </c>
      <c r="E26" t="s">
        <v>47</v>
      </c>
    </row>
    <row r="27" spans="1:6" x14ac:dyDescent="0.3">
      <c r="A27" t="s">
        <v>48</v>
      </c>
      <c r="B27" s="6">
        <f>(ROUND((43.75*B26)/(4.38+B26),1))/100</f>
        <v>0.41899999999999998</v>
      </c>
      <c r="C27" s="6"/>
      <c r="D27" s="6">
        <f>(ROUND((43.75*D26)/(4.38+D26),1))/100</f>
        <v>0.34600000000000003</v>
      </c>
      <c r="E27" s="6"/>
      <c r="F27" s="6">
        <f>B27-D27</f>
        <v>7.2999999999999954E-2</v>
      </c>
    </row>
    <row r="28" spans="1:6" x14ac:dyDescent="0.3">
      <c r="A28" t="s">
        <v>49</v>
      </c>
      <c r="B28" s="6">
        <f>(ROUND(44.53+6.146*LN(B26)+0.145*(LN(B26)^2),1))/100</f>
        <v>0.75800000000000001</v>
      </c>
      <c r="C28" s="6"/>
      <c r="D28" s="6">
        <f>(ROUND(44.53+6.146*LN(D26)+0.145*(LN(D26)^2),1))/100</f>
        <v>0.629</v>
      </c>
      <c r="E28" s="6"/>
      <c r="F28" s="6">
        <f>B28-D28</f>
        <v>0.129</v>
      </c>
    </row>
    <row r="30" spans="1:6" x14ac:dyDescent="0.3">
      <c r="A30" s="5" t="s">
        <v>32</v>
      </c>
    </row>
    <row r="31" spans="1:6" x14ac:dyDescent="0.3">
      <c r="B31" t="s">
        <v>43</v>
      </c>
      <c r="D31" t="s">
        <v>44</v>
      </c>
      <c r="F31" t="s">
        <v>45</v>
      </c>
    </row>
    <row r="32" spans="1:6" x14ac:dyDescent="0.3">
      <c r="A32" t="s">
        <v>46</v>
      </c>
      <c r="B32">
        <v>49.2</v>
      </c>
      <c r="C32" t="s">
        <v>47</v>
      </c>
      <c r="D32">
        <v>18.3</v>
      </c>
      <c r="E32" t="s">
        <v>47</v>
      </c>
    </row>
    <row r="33" spans="1:6" x14ac:dyDescent="0.3">
      <c r="A33" t="s">
        <v>48</v>
      </c>
      <c r="B33" s="6">
        <f>(ROUND((43.75*B32)/(4.38+B32),1))/100</f>
        <v>0.40200000000000002</v>
      </c>
      <c r="C33" s="6"/>
      <c r="D33" s="6">
        <f>(ROUND((43.75*D32)/(4.38+D32),1))/100</f>
        <v>0.35299999999999998</v>
      </c>
      <c r="E33" s="6"/>
      <c r="F33" s="6">
        <f>B33-D33</f>
        <v>4.9000000000000044E-2</v>
      </c>
    </row>
    <row r="34" spans="1:6" x14ac:dyDescent="0.3">
      <c r="A34" t="s">
        <v>49</v>
      </c>
      <c r="B34" s="6">
        <f>(ROUND(44.53+6.146*LN(B32)+0.145*(LN(B32)^2),1))/100</f>
        <v>0.70700000000000007</v>
      </c>
      <c r="C34" s="6"/>
      <c r="D34" s="6">
        <f>(ROUND(44.53+6.146*LN(D32)+0.145*(LN(D32)^2),1))/100</f>
        <v>0.63600000000000001</v>
      </c>
      <c r="E34" s="6"/>
      <c r="F34" s="6">
        <f>B34-D34</f>
        <v>7.1000000000000063E-2</v>
      </c>
    </row>
    <row r="35" spans="1:6" x14ac:dyDescent="0.3">
      <c r="B35" s="6"/>
      <c r="C35" s="6"/>
      <c r="D35" s="6"/>
      <c r="E35" s="6"/>
      <c r="F35" s="6"/>
    </row>
    <row r="36" spans="1:6" x14ac:dyDescent="0.3">
      <c r="A36" s="5" t="s">
        <v>60</v>
      </c>
      <c r="B36" s="6"/>
      <c r="C36" s="6"/>
      <c r="D36" s="6"/>
      <c r="E36" s="6"/>
      <c r="F36" s="6"/>
    </row>
    <row r="37" spans="1:6" x14ac:dyDescent="0.3">
      <c r="A37" t="s">
        <v>61</v>
      </c>
      <c r="B37" s="6" t="s">
        <v>62</v>
      </c>
      <c r="C37" s="6"/>
      <c r="D37" s="6"/>
      <c r="E37" s="6"/>
      <c r="F37" s="6"/>
    </row>
    <row r="38" spans="1:6" x14ac:dyDescent="0.3">
      <c r="B38" s="6" t="s">
        <v>43</v>
      </c>
      <c r="C38" s="6"/>
      <c r="D38" s="6"/>
      <c r="E38" s="6"/>
      <c r="F38" s="6"/>
    </row>
    <row r="39" spans="1:6" x14ac:dyDescent="0.3">
      <c r="A39" t="s">
        <v>63</v>
      </c>
      <c r="B39" s="7">
        <f>7.1+4.4+7.9</f>
        <v>19.399999999999999</v>
      </c>
      <c r="C39" s="6" t="s">
        <v>64</v>
      </c>
      <c r="D39" s="6"/>
      <c r="E39" s="6"/>
      <c r="F39" s="6"/>
    </row>
    <row r="40" spans="1:6" x14ac:dyDescent="0.3">
      <c r="A40" t="s">
        <v>65</v>
      </c>
      <c r="B40" s="14">
        <v>63.9</v>
      </c>
      <c r="C40" s="6" t="s">
        <v>64</v>
      </c>
      <c r="D40" s="6"/>
      <c r="E40" s="6"/>
      <c r="F40" s="6"/>
    </row>
    <row r="41" spans="1:6" x14ac:dyDescent="0.3">
      <c r="A41" t="s">
        <v>46</v>
      </c>
      <c r="B41" s="14">
        <f>ROUND(B39/B40*365,0)</f>
        <v>111</v>
      </c>
      <c r="C41" s="6" t="s">
        <v>47</v>
      </c>
      <c r="D41" s="6"/>
      <c r="E41" s="6"/>
      <c r="F41" s="6"/>
    </row>
    <row r="42" spans="1:6" x14ac:dyDescent="0.3">
      <c r="A42" t="s">
        <v>49</v>
      </c>
      <c r="B42" s="6">
        <f>(ROUND(44.53+6.146*LN(B41)+0.145*(LN(B41)^2),1))/100</f>
        <v>0.76700000000000002</v>
      </c>
      <c r="C42" s="6"/>
      <c r="D42" s="6"/>
      <c r="E42" s="6"/>
      <c r="F42" s="6"/>
    </row>
    <row r="43" spans="1:6" x14ac:dyDescent="0.3">
      <c r="A43" t="s">
        <v>48</v>
      </c>
      <c r="B43" s="6">
        <f>(ROUND((43.75*B41)/(4.38+B41),1))/100</f>
        <v>0.42100000000000004</v>
      </c>
      <c r="C43" s="6"/>
      <c r="D43" s="6"/>
      <c r="E43" s="6"/>
      <c r="F43" s="6"/>
    </row>
    <row r="44" spans="1:6" x14ac:dyDescent="0.3">
      <c r="B44" s="6"/>
      <c r="C44" s="6"/>
      <c r="D44" s="6"/>
      <c r="E44" s="6"/>
      <c r="F44" s="6"/>
    </row>
    <row r="45" spans="1:6" x14ac:dyDescent="0.3">
      <c r="A45" s="5" t="s">
        <v>55</v>
      </c>
    </row>
    <row r="46" spans="1:6" x14ac:dyDescent="0.3">
      <c r="B46" t="s">
        <v>43</v>
      </c>
    </row>
    <row r="47" spans="1:6" x14ac:dyDescent="0.3">
      <c r="A47" t="s">
        <v>46</v>
      </c>
      <c r="B47">
        <v>17</v>
      </c>
      <c r="C47" t="s">
        <v>47</v>
      </c>
    </row>
    <row r="48" spans="1:6" x14ac:dyDescent="0.3">
      <c r="A48" t="s">
        <v>48</v>
      </c>
      <c r="B48" s="6">
        <f>(ROUND((43.75*B47)/(4.38+B47),1))/100</f>
        <v>0.34799999999999998</v>
      </c>
    </row>
    <row r="49" spans="1:6" x14ac:dyDescent="0.3">
      <c r="A49" t="s">
        <v>49</v>
      </c>
      <c r="B49" s="6">
        <f>(ROUND(44.53+6.146*LN(B47)+0.145*(LN(B47)^2),1))/100</f>
        <v>0.63100000000000001</v>
      </c>
    </row>
    <row r="51" spans="1:6" x14ac:dyDescent="0.3">
      <c r="A51" s="5" t="s">
        <v>82</v>
      </c>
    </row>
    <row r="52" spans="1:6" x14ac:dyDescent="0.3">
      <c r="A52" t="s">
        <v>61</v>
      </c>
      <c r="B52" t="s">
        <v>62</v>
      </c>
    </row>
    <row r="53" spans="1:6" x14ac:dyDescent="0.3">
      <c r="B53" t="s">
        <v>115</v>
      </c>
      <c r="D53" t="s">
        <v>116</v>
      </c>
      <c r="F53" t="s">
        <v>45</v>
      </c>
    </row>
    <row r="54" spans="1:6" x14ac:dyDescent="0.3">
      <c r="A54" t="s">
        <v>63</v>
      </c>
      <c r="B54" s="14">
        <f>130.68+29.72</f>
        <v>160.4</v>
      </c>
      <c r="C54" s="6" t="s">
        <v>64</v>
      </c>
      <c r="D54" s="14">
        <f>67.48+53.64</f>
        <v>121.12</v>
      </c>
      <c r="E54" s="6" t="s">
        <v>64</v>
      </c>
      <c r="F54" s="6"/>
    </row>
    <row r="55" spans="1:6" x14ac:dyDescent="0.3">
      <c r="A55" t="s">
        <v>46</v>
      </c>
      <c r="B55" s="14">
        <v>174</v>
      </c>
      <c r="C55" t="s">
        <v>47</v>
      </c>
      <c r="D55" s="14">
        <v>132</v>
      </c>
      <c r="E55" t="s">
        <v>47</v>
      </c>
    </row>
    <row r="56" spans="1:6" x14ac:dyDescent="0.3">
      <c r="A56" t="s">
        <v>49</v>
      </c>
      <c r="B56" s="6">
        <f>(ROUND(44.53+6.146*LN(B55)+0.145*(LN(B55)^2),1))/100</f>
        <v>0.80099999999999993</v>
      </c>
      <c r="C56" s="6"/>
      <c r="D56" s="6">
        <f>(ROUND(44.53+6.146*LN(D55)+0.145*(LN(D55)^2),1))/100</f>
        <v>0.78</v>
      </c>
      <c r="E56" s="6"/>
      <c r="F56" s="6">
        <f>B56-D56</f>
        <v>2.0999999999999908E-2</v>
      </c>
    </row>
    <row r="57" spans="1:6" x14ac:dyDescent="0.3">
      <c r="A57" t="s">
        <v>48</v>
      </c>
      <c r="B57" s="6">
        <f>(ROUND((43.75*B55)/(4.38+B55),1))/100</f>
        <v>0.42700000000000005</v>
      </c>
      <c r="C57" s="6"/>
      <c r="D57" s="6">
        <f>(ROUND((43.75*D55)/(4.38+D55),1))/100</f>
        <v>0.42299999999999999</v>
      </c>
      <c r="E57" s="6"/>
      <c r="F57" s="6">
        <f>B57-D57</f>
        <v>4.0000000000000591E-3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97CE0-D290-468B-99B9-FC75A368B1B4}">
  <dimension ref="A1:H4"/>
  <sheetViews>
    <sheetView workbookViewId="0">
      <selection activeCell="C2" sqref="C2:C4"/>
    </sheetView>
  </sheetViews>
  <sheetFormatPr defaultRowHeight="14.4" x14ac:dyDescent="0.3"/>
  <sheetData>
    <row r="1" spans="1:8" x14ac:dyDescent="0.3">
      <c r="A1" s="172" t="s">
        <v>170</v>
      </c>
      <c r="B1" s="172" t="s">
        <v>171</v>
      </c>
      <c r="C1" s="172" t="s">
        <v>172</v>
      </c>
      <c r="F1" s="145" t="s">
        <v>170</v>
      </c>
      <c r="G1" s="145" t="s">
        <v>171</v>
      </c>
      <c r="H1" s="145" t="s">
        <v>172</v>
      </c>
    </row>
    <row r="2" spans="1:8" x14ac:dyDescent="0.3">
      <c r="A2" s="173">
        <v>1</v>
      </c>
      <c r="B2" s="173">
        <v>137</v>
      </c>
      <c r="C2" s="174">
        <v>3.3103676618406754</v>
      </c>
      <c r="F2" s="146">
        <v>1</v>
      </c>
      <c r="G2" s="146">
        <v>137</v>
      </c>
      <c r="H2" s="147">
        <v>52.930489462529927</v>
      </c>
    </row>
    <row r="3" spans="1:8" x14ac:dyDescent="0.3">
      <c r="A3" s="213">
        <v>1</v>
      </c>
      <c r="B3" s="213">
        <v>137</v>
      </c>
      <c r="C3" s="214">
        <v>27.650503516933799</v>
      </c>
      <c r="F3" s="195">
        <v>1</v>
      </c>
      <c r="G3" s="195">
        <v>137</v>
      </c>
      <c r="H3" s="196">
        <v>147.52633909972732</v>
      </c>
    </row>
    <row r="4" spans="1:8" x14ac:dyDescent="0.3">
      <c r="C4">
        <f>SUM(C2:C3)</f>
        <v>30.960871178774475</v>
      </c>
      <c r="H4">
        <f>SUM(H2:H3)</f>
        <v>200.45682856225724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843F-89E0-4954-88E6-85FA441BFA89}">
  <dimension ref="A1:H4"/>
  <sheetViews>
    <sheetView workbookViewId="0">
      <selection activeCell="C2" sqref="C2:C4"/>
    </sheetView>
  </sheetViews>
  <sheetFormatPr defaultRowHeight="14.4" x14ac:dyDescent="0.3"/>
  <sheetData>
    <row r="1" spans="1:8" x14ac:dyDescent="0.3">
      <c r="A1" s="175" t="s">
        <v>170</v>
      </c>
      <c r="B1" s="175" t="s">
        <v>171</v>
      </c>
      <c r="C1" s="175" t="s">
        <v>172</v>
      </c>
      <c r="F1" s="148" t="s">
        <v>170</v>
      </c>
      <c r="G1" s="148" t="s">
        <v>171</v>
      </c>
      <c r="H1" s="148" t="s">
        <v>172</v>
      </c>
    </row>
    <row r="2" spans="1:8" x14ac:dyDescent="0.3">
      <c r="A2" s="176">
        <v>1</v>
      </c>
      <c r="B2" s="176">
        <v>131</v>
      </c>
      <c r="C2" s="177">
        <v>0.64398303213405339</v>
      </c>
      <c r="F2" s="149">
        <v>1</v>
      </c>
      <c r="G2" s="149">
        <v>131</v>
      </c>
      <c r="H2" s="150">
        <v>16.609901281670709</v>
      </c>
    </row>
    <row r="3" spans="1:8" x14ac:dyDescent="0.3">
      <c r="A3" s="215">
        <v>1</v>
      </c>
      <c r="B3" s="215">
        <v>131</v>
      </c>
      <c r="C3" s="216">
        <v>12.068198009589613</v>
      </c>
      <c r="F3" s="197">
        <v>1</v>
      </c>
      <c r="G3" s="197">
        <v>131</v>
      </c>
      <c r="H3" s="198">
        <v>86.709397613581388</v>
      </c>
    </row>
    <row r="4" spans="1:8" x14ac:dyDescent="0.3">
      <c r="C4">
        <f>SUM(C2:C3)</f>
        <v>12.712181041723667</v>
      </c>
      <c r="H4">
        <f>SUM(H2:H3)</f>
        <v>103.3192988952521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35469-ED97-4C93-85F0-653CEC9AA029}">
  <dimension ref="A1:H4"/>
  <sheetViews>
    <sheetView workbookViewId="0">
      <selection activeCell="C2" sqref="C2:C4"/>
    </sheetView>
  </sheetViews>
  <sheetFormatPr defaultRowHeight="14.4" x14ac:dyDescent="0.3"/>
  <sheetData>
    <row r="1" spans="1:8" x14ac:dyDescent="0.3">
      <c r="A1" s="178" t="s">
        <v>170</v>
      </c>
      <c r="B1" s="178" t="s">
        <v>171</v>
      </c>
      <c r="C1" s="178" t="s">
        <v>172</v>
      </c>
      <c r="F1" s="151" t="s">
        <v>170</v>
      </c>
      <c r="G1" s="151" t="s">
        <v>171</v>
      </c>
      <c r="H1" s="151" t="s">
        <v>172</v>
      </c>
    </row>
    <row r="2" spans="1:8" x14ac:dyDescent="0.3">
      <c r="A2" s="179">
        <v>1</v>
      </c>
      <c r="B2" s="179">
        <v>218</v>
      </c>
      <c r="C2" s="180">
        <v>8.2112289493443367</v>
      </c>
      <c r="F2" s="152">
        <v>1</v>
      </c>
      <c r="G2" s="152">
        <v>218</v>
      </c>
      <c r="H2" s="153">
        <v>135.9893402381586</v>
      </c>
    </row>
    <row r="3" spans="1:8" x14ac:dyDescent="0.3">
      <c r="A3" s="217">
        <v>1</v>
      </c>
      <c r="B3" s="217">
        <v>218</v>
      </c>
      <c r="C3" s="218">
        <v>46.129683076071302</v>
      </c>
      <c r="F3" s="199">
        <v>1</v>
      </c>
      <c r="G3" s="199">
        <v>219</v>
      </c>
      <c r="H3" s="200">
        <v>313.68711954356542</v>
      </c>
    </row>
    <row r="4" spans="1:8" x14ac:dyDescent="0.3">
      <c r="C4">
        <f>SUM(C2:C3)</f>
        <v>54.340912025415641</v>
      </c>
      <c r="H4">
        <f>SUM(H2:H3)</f>
        <v>449.67645978172402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B1586-7BFD-4256-A26B-CE0D27BA1E4E}">
  <dimension ref="A1:H4"/>
  <sheetViews>
    <sheetView workbookViewId="0">
      <selection activeCell="C2" sqref="C2:C4"/>
    </sheetView>
  </sheetViews>
  <sheetFormatPr defaultRowHeight="14.4" x14ac:dyDescent="0.3"/>
  <sheetData>
    <row r="1" spans="1:8" x14ac:dyDescent="0.3">
      <c r="A1" s="181" t="s">
        <v>170</v>
      </c>
      <c r="B1" s="181" t="s">
        <v>171</v>
      </c>
      <c r="C1" s="181" t="s">
        <v>172</v>
      </c>
      <c r="F1" s="154" t="s">
        <v>170</v>
      </c>
      <c r="G1" s="154" t="s">
        <v>171</v>
      </c>
      <c r="H1" s="154" t="s">
        <v>172</v>
      </c>
    </row>
    <row r="2" spans="1:8" x14ac:dyDescent="0.3">
      <c r="A2" s="182">
        <v>1</v>
      </c>
      <c r="B2" s="182">
        <v>10</v>
      </c>
      <c r="C2" s="183">
        <v>0</v>
      </c>
      <c r="F2" s="155">
        <v>1</v>
      </c>
      <c r="G2" s="155">
        <v>10</v>
      </c>
      <c r="H2" s="156">
        <v>1.6758577390542137E-2</v>
      </c>
    </row>
    <row r="3" spans="1:8" x14ac:dyDescent="0.3">
      <c r="A3" s="219">
        <v>1</v>
      </c>
      <c r="B3" s="219">
        <v>10</v>
      </c>
      <c r="C3" s="220">
        <v>2.6487058068421869</v>
      </c>
      <c r="F3" s="201">
        <v>1</v>
      </c>
      <c r="G3" s="201">
        <v>10</v>
      </c>
      <c r="H3" s="202">
        <v>24.860740793085043</v>
      </c>
    </row>
    <row r="4" spans="1:8" x14ac:dyDescent="0.3">
      <c r="C4">
        <f>SUM(C2:C3)</f>
        <v>2.6487058068421869</v>
      </c>
      <c r="H4">
        <f>SUM(H2:H3)</f>
        <v>24.877499370475586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729DC-F93C-4511-BEC3-751BD7B6F363}">
  <dimension ref="A1:H4"/>
  <sheetViews>
    <sheetView workbookViewId="0">
      <selection activeCell="C2" sqref="C2:C4"/>
    </sheetView>
  </sheetViews>
  <sheetFormatPr defaultRowHeight="14.4" x14ac:dyDescent="0.3"/>
  <sheetData>
    <row r="1" spans="1:8" x14ac:dyDescent="0.3">
      <c r="A1" s="184" t="s">
        <v>170</v>
      </c>
      <c r="B1" s="184" t="s">
        <v>171</v>
      </c>
      <c r="C1" s="184" t="s">
        <v>172</v>
      </c>
      <c r="F1" s="157" t="s">
        <v>170</v>
      </c>
      <c r="G1" s="157" t="s">
        <v>171</v>
      </c>
      <c r="H1" s="157" t="s">
        <v>172</v>
      </c>
    </row>
    <row r="2" spans="1:8" x14ac:dyDescent="0.3">
      <c r="A2" s="185">
        <v>1</v>
      </c>
      <c r="B2" s="185">
        <v>2531</v>
      </c>
      <c r="C2" s="186">
        <v>64.441870436802716</v>
      </c>
      <c r="F2" s="158">
        <v>1</v>
      </c>
      <c r="G2" s="158">
        <v>2531</v>
      </c>
      <c r="H2" s="159">
        <v>4491.7907274942008</v>
      </c>
    </row>
    <row r="3" spans="1:8" x14ac:dyDescent="0.3">
      <c r="A3" s="221">
        <v>1</v>
      </c>
      <c r="B3" s="221">
        <v>2531</v>
      </c>
      <c r="C3" s="222">
        <v>870.1560131486732</v>
      </c>
      <c r="F3" s="203">
        <v>1</v>
      </c>
      <c r="G3" s="203">
        <v>2531</v>
      </c>
      <c r="H3" s="204">
        <v>7083.3389298327356</v>
      </c>
    </row>
    <row r="4" spans="1:8" x14ac:dyDescent="0.3">
      <c r="C4">
        <f>SUM(C2:C3)</f>
        <v>934.59788358547587</v>
      </c>
      <c r="H4">
        <f>SUM(H2:H3)</f>
        <v>11575.129657326936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00012-F148-4655-B21B-A9AF3255CF17}">
  <dimension ref="A1:H4"/>
  <sheetViews>
    <sheetView workbookViewId="0">
      <selection activeCell="C2" sqref="C2:C4"/>
    </sheetView>
  </sheetViews>
  <sheetFormatPr defaultRowHeight="14.4" x14ac:dyDescent="0.3"/>
  <sheetData>
    <row r="1" spans="1:8" x14ac:dyDescent="0.3">
      <c r="A1" s="259" t="s">
        <v>170</v>
      </c>
      <c r="B1" s="259" t="s">
        <v>171</v>
      </c>
      <c r="C1" s="259" t="s">
        <v>172</v>
      </c>
      <c r="F1" s="223" t="s">
        <v>170</v>
      </c>
      <c r="G1" s="223" t="s">
        <v>171</v>
      </c>
      <c r="H1" s="223" t="s">
        <v>172</v>
      </c>
    </row>
    <row r="2" spans="1:8" x14ac:dyDescent="0.3">
      <c r="A2" s="260">
        <v>1</v>
      </c>
      <c r="B2" s="260">
        <v>259</v>
      </c>
      <c r="C2" s="261">
        <v>10.72812257425103</v>
      </c>
      <c r="F2" s="224">
        <v>1</v>
      </c>
      <c r="G2" s="224">
        <v>259</v>
      </c>
      <c r="H2" s="225">
        <v>167.79948700765959</v>
      </c>
    </row>
    <row r="3" spans="1:8" x14ac:dyDescent="0.3">
      <c r="A3" s="319">
        <v>1</v>
      </c>
      <c r="B3" s="319">
        <v>259</v>
      </c>
      <c r="C3" s="320">
        <v>71.498674596834334</v>
      </c>
      <c r="F3" s="295">
        <v>1</v>
      </c>
      <c r="G3" s="295">
        <v>259</v>
      </c>
      <c r="H3" s="296">
        <v>448.26127955349017</v>
      </c>
    </row>
    <row r="4" spans="1:8" x14ac:dyDescent="0.3">
      <c r="C4">
        <f>SUM(C2:C3)</f>
        <v>82.226797171085366</v>
      </c>
      <c r="H4">
        <f>SUM(H2:H3)</f>
        <v>616.06076656114976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29764-D99B-4FAC-8D91-2CCA284D7FE5}">
  <dimension ref="A1:H4"/>
  <sheetViews>
    <sheetView workbookViewId="0">
      <selection activeCell="C2" sqref="C2:C4"/>
    </sheetView>
  </sheetViews>
  <sheetFormatPr defaultRowHeight="14.4" x14ac:dyDescent="0.3"/>
  <sheetData>
    <row r="1" spans="1:8" x14ac:dyDescent="0.3">
      <c r="A1" s="262" t="s">
        <v>170</v>
      </c>
      <c r="B1" s="262" t="s">
        <v>171</v>
      </c>
      <c r="C1" s="262" t="s">
        <v>172</v>
      </c>
      <c r="F1" s="226" t="s">
        <v>170</v>
      </c>
      <c r="G1" s="226" t="s">
        <v>171</v>
      </c>
      <c r="H1" s="226" t="s">
        <v>172</v>
      </c>
    </row>
    <row r="2" spans="1:8" x14ac:dyDescent="0.3">
      <c r="A2" s="263">
        <v>1</v>
      </c>
      <c r="B2" s="263">
        <v>28</v>
      </c>
      <c r="C2" s="264">
        <v>5.7996998330615661E-2</v>
      </c>
      <c r="F2" s="227">
        <v>1</v>
      </c>
      <c r="G2" s="227">
        <v>28</v>
      </c>
      <c r="H2" s="228">
        <v>1.2158984074191665</v>
      </c>
    </row>
    <row r="3" spans="1:8" x14ac:dyDescent="0.3">
      <c r="A3" s="321">
        <v>1</v>
      </c>
      <c r="B3" s="321">
        <v>28</v>
      </c>
      <c r="C3" s="322">
        <v>1.3055648754661713</v>
      </c>
      <c r="F3" s="297">
        <v>1</v>
      </c>
      <c r="G3" s="297">
        <v>28</v>
      </c>
      <c r="H3" s="298">
        <v>7.1893779526895152</v>
      </c>
    </row>
    <row r="4" spans="1:8" x14ac:dyDescent="0.3">
      <c r="C4">
        <f>SUM(C2:C3)</f>
        <v>1.3635618737967869</v>
      </c>
      <c r="H4">
        <f>SUM(H2:H3)</f>
        <v>8.4052763601086813</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1EC6C-48A4-4783-876C-F81E5178CCD4}">
  <dimension ref="A1:H4"/>
  <sheetViews>
    <sheetView workbookViewId="0">
      <selection activeCell="C2" sqref="C2:C4"/>
    </sheetView>
  </sheetViews>
  <sheetFormatPr defaultRowHeight="14.4" x14ac:dyDescent="0.3"/>
  <sheetData>
    <row r="1" spans="1:8" x14ac:dyDescent="0.3">
      <c r="A1" s="265" t="s">
        <v>170</v>
      </c>
      <c r="B1" s="265" t="s">
        <v>171</v>
      </c>
      <c r="C1" s="265" t="s">
        <v>172</v>
      </c>
      <c r="F1" s="229" t="s">
        <v>170</v>
      </c>
      <c r="G1" s="229" t="s">
        <v>171</v>
      </c>
      <c r="H1" s="229" t="s">
        <v>172</v>
      </c>
    </row>
    <row r="2" spans="1:8" x14ac:dyDescent="0.3">
      <c r="A2" s="266">
        <v>1</v>
      </c>
      <c r="B2" s="266">
        <v>70</v>
      </c>
      <c r="C2" s="267">
        <v>4.0189663522038188</v>
      </c>
      <c r="F2" s="230">
        <v>1</v>
      </c>
      <c r="G2" s="230">
        <v>70</v>
      </c>
      <c r="H2" s="231">
        <v>112.77052932070758</v>
      </c>
    </row>
    <row r="3" spans="1:8" x14ac:dyDescent="0.3">
      <c r="A3" s="323">
        <v>1</v>
      </c>
      <c r="B3" s="323">
        <v>70</v>
      </c>
      <c r="C3" s="324">
        <v>16.526063520086471</v>
      </c>
      <c r="F3" s="299">
        <v>1</v>
      </c>
      <c r="G3" s="299">
        <v>70</v>
      </c>
      <c r="H3" s="300">
        <v>108.49316002251803</v>
      </c>
    </row>
    <row r="4" spans="1:8" x14ac:dyDescent="0.3">
      <c r="C4">
        <f>SUM(C2:C3)</f>
        <v>20.545029872290289</v>
      </c>
      <c r="H4">
        <f>SUM(H2:H3)</f>
        <v>221.26368934322562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5DFB2-2F81-40A7-B123-00A57B8CFD6E}">
  <dimension ref="A1:H4"/>
  <sheetViews>
    <sheetView workbookViewId="0">
      <selection activeCell="F15" sqref="F15"/>
    </sheetView>
  </sheetViews>
  <sheetFormatPr defaultRowHeight="14.4" x14ac:dyDescent="0.3"/>
  <sheetData>
    <row r="1" spans="1:8" x14ac:dyDescent="0.3">
      <c r="A1" s="268" t="s">
        <v>170</v>
      </c>
      <c r="B1" s="268" t="s">
        <v>171</v>
      </c>
      <c r="C1" s="268" t="s">
        <v>172</v>
      </c>
      <c r="F1" s="232" t="s">
        <v>170</v>
      </c>
      <c r="G1" s="232" t="s">
        <v>171</v>
      </c>
      <c r="H1" s="232" t="s">
        <v>172</v>
      </c>
    </row>
    <row r="2" spans="1:8" x14ac:dyDescent="0.3">
      <c r="A2" s="269">
        <v>1</v>
      </c>
      <c r="B2" s="269">
        <v>7</v>
      </c>
      <c r="C2" s="270">
        <v>9.686904419905798E-2</v>
      </c>
      <c r="F2" s="233">
        <v>1</v>
      </c>
      <c r="G2" s="233">
        <v>7</v>
      </c>
      <c r="H2" s="234">
        <v>1.4897921357625394</v>
      </c>
    </row>
    <row r="3" spans="1:8" x14ac:dyDescent="0.3">
      <c r="A3" s="325">
        <v>1</v>
      </c>
      <c r="B3" s="325">
        <v>7</v>
      </c>
      <c r="C3" s="326">
        <v>0.96689647921162625</v>
      </c>
      <c r="F3" s="301">
        <v>1</v>
      </c>
      <c r="G3" s="301">
        <v>7</v>
      </c>
      <c r="H3" s="302">
        <v>4.0493750178173</v>
      </c>
    </row>
    <row r="4" spans="1:8" x14ac:dyDescent="0.3">
      <c r="C4">
        <f>SUM(C2:C3)</f>
        <v>1.0637655234106842</v>
      </c>
      <c r="H4">
        <f>SUM(H2:H3)</f>
        <v>5.5391671535798395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A44E3-8C57-47DE-A565-A0E63D2552BC}">
  <dimension ref="A1:H4"/>
  <sheetViews>
    <sheetView workbookViewId="0">
      <selection activeCell="C2" sqref="C2:C4"/>
    </sheetView>
  </sheetViews>
  <sheetFormatPr defaultRowHeight="14.4" x14ac:dyDescent="0.3"/>
  <sheetData>
    <row r="1" spans="1:8" x14ac:dyDescent="0.3">
      <c r="A1" s="271" t="s">
        <v>170</v>
      </c>
      <c r="B1" s="271" t="s">
        <v>171</v>
      </c>
      <c r="C1" s="271" t="s">
        <v>172</v>
      </c>
      <c r="F1" s="235" t="s">
        <v>170</v>
      </c>
      <c r="G1" s="235" t="s">
        <v>171</v>
      </c>
      <c r="H1" s="235" t="s">
        <v>172</v>
      </c>
    </row>
    <row r="2" spans="1:8" x14ac:dyDescent="0.3">
      <c r="A2" s="272">
        <v>1</v>
      </c>
      <c r="B2" s="272">
        <v>7</v>
      </c>
      <c r="C2" s="273">
        <v>9.686904419905798E-2</v>
      </c>
      <c r="F2" s="236">
        <v>1</v>
      </c>
      <c r="G2" s="236">
        <v>36</v>
      </c>
      <c r="H2" s="237">
        <v>25.77792530617911</v>
      </c>
    </row>
    <row r="3" spans="1:8" x14ac:dyDescent="0.3">
      <c r="A3" s="327">
        <v>1</v>
      </c>
      <c r="B3" s="327">
        <v>36</v>
      </c>
      <c r="C3" s="328">
        <v>6.4711687033492575</v>
      </c>
      <c r="F3" s="303">
        <v>1</v>
      </c>
      <c r="G3" s="303">
        <v>36</v>
      </c>
      <c r="H3" s="304">
        <v>37.061419283376324</v>
      </c>
    </row>
    <row r="4" spans="1:8" x14ac:dyDescent="0.3">
      <c r="C4">
        <f>SUM(C2:C3)</f>
        <v>6.5680377475483152</v>
      </c>
      <c r="H4">
        <f>SUM(H2:H3)</f>
        <v>62.839344589555438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3"/>
  <sheetViews>
    <sheetView workbookViewId="0">
      <selection activeCell="I32" sqref="I32"/>
    </sheetView>
  </sheetViews>
  <sheetFormatPr defaultRowHeight="14.4" x14ac:dyDescent="0.3"/>
  <sheetData>
    <row r="1" spans="1:7" x14ac:dyDescent="0.3">
      <c r="A1" s="5" t="s">
        <v>38</v>
      </c>
    </row>
    <row r="2" spans="1:7" x14ac:dyDescent="0.3">
      <c r="A2" t="s">
        <v>56</v>
      </c>
      <c r="B2">
        <v>4.62</v>
      </c>
      <c r="C2" t="s">
        <v>57</v>
      </c>
      <c r="D2">
        <f>(B2/B3)*D3</f>
        <v>0.99354838709677418</v>
      </c>
      <c r="E2" t="s">
        <v>58</v>
      </c>
      <c r="F2" s="6">
        <f>0.3178*LN(D2)+0.7405</f>
        <v>0.73844303489011476</v>
      </c>
      <c r="G2" s="6"/>
    </row>
    <row r="3" spans="1:7" x14ac:dyDescent="0.3">
      <c r="A3" t="s">
        <v>59</v>
      </c>
      <c r="B3">
        <v>4.6500000000000004</v>
      </c>
      <c r="C3" t="s">
        <v>57</v>
      </c>
      <c r="D3">
        <v>1</v>
      </c>
      <c r="E3" t="s">
        <v>58</v>
      </c>
      <c r="F3" s="6">
        <f>0.3178*LN(D3)+0.7405</f>
        <v>0.74050000000000005</v>
      </c>
      <c r="G3" s="6">
        <f>F3-F2</f>
        <v>2.0569651098852892E-3</v>
      </c>
    </row>
    <row r="5" spans="1:7" x14ac:dyDescent="0.3">
      <c r="A5" s="5" t="s">
        <v>76</v>
      </c>
    </row>
    <row r="6" spans="1:7" x14ac:dyDescent="0.3">
      <c r="B6" t="s">
        <v>43</v>
      </c>
      <c r="D6" t="s">
        <v>44</v>
      </c>
      <c r="F6" t="s">
        <v>45</v>
      </c>
    </row>
    <row r="7" spans="1:7" x14ac:dyDescent="0.3">
      <c r="A7" t="s">
        <v>74</v>
      </c>
      <c r="B7" s="7">
        <f>ROUND((C21/D21)*12,2)</f>
        <v>0.8</v>
      </c>
      <c r="C7" t="s">
        <v>58</v>
      </c>
      <c r="D7">
        <f>ROUND((B21/D21)*12,2)</f>
        <v>0.75</v>
      </c>
      <c r="E7" t="s">
        <v>58</v>
      </c>
      <c r="F7">
        <f>B7-D7</f>
        <v>5.0000000000000044E-2</v>
      </c>
      <c r="G7" t="s">
        <v>58</v>
      </c>
    </row>
    <row r="8" spans="1:7" x14ac:dyDescent="0.3">
      <c r="A8" t="s">
        <v>75</v>
      </c>
      <c r="B8" s="6">
        <f>(0.3178*LN(B7)+0.7405)/2</f>
        <v>0.33479248969617209</v>
      </c>
      <c r="C8" s="6"/>
      <c r="D8" s="6">
        <f>(0.3178*LN(D7)+0.7405)/2</f>
        <v>0.32453731868741204</v>
      </c>
      <c r="E8" s="6"/>
      <c r="F8" s="6">
        <f>B8-D8</f>
        <v>1.0255171008760056E-2</v>
      </c>
    </row>
    <row r="10" spans="1:7" x14ac:dyDescent="0.3">
      <c r="A10" s="5" t="s">
        <v>77</v>
      </c>
    </row>
    <row r="11" spans="1:7" x14ac:dyDescent="0.3">
      <c r="B11" t="s">
        <v>43</v>
      </c>
      <c r="D11" t="s">
        <v>44</v>
      </c>
      <c r="F11" t="s">
        <v>45</v>
      </c>
    </row>
    <row r="12" spans="1:7" x14ac:dyDescent="0.3">
      <c r="A12" t="s">
        <v>74</v>
      </c>
      <c r="B12" s="7">
        <f>ROUND((C22/D22)*12,2)</f>
        <v>7.94</v>
      </c>
      <c r="C12" t="s">
        <v>58</v>
      </c>
      <c r="D12">
        <f>ROUND((B22/D22)*12,2)</f>
        <v>0.97</v>
      </c>
      <c r="E12" t="s">
        <v>58</v>
      </c>
      <c r="F12">
        <f>B12-D12</f>
        <v>6.9700000000000006</v>
      </c>
      <c r="G12" t="s">
        <v>58</v>
      </c>
    </row>
    <row r="13" spans="1:7" x14ac:dyDescent="0.3">
      <c r="A13" t="s">
        <v>75</v>
      </c>
      <c r="B13" s="6">
        <f>(0.3178*LN(B12)+0.7405)/2</f>
        <v>0.69947701943866214</v>
      </c>
      <c r="C13" s="6"/>
      <c r="D13" s="6">
        <f>(0.3178*LN(D12)+0.7405)/2</f>
        <v>0.36541003193067984</v>
      </c>
      <c r="E13" s="6"/>
      <c r="F13" s="6">
        <f>B13-D13</f>
        <v>0.3340669875079823</v>
      </c>
    </row>
    <row r="14" spans="1:7" x14ac:dyDescent="0.3">
      <c r="B14" s="6"/>
      <c r="C14" s="6"/>
      <c r="D14" s="6"/>
      <c r="E14" s="6"/>
      <c r="F14" s="6"/>
    </row>
    <row r="15" spans="1:7" x14ac:dyDescent="0.3">
      <c r="A15" s="5" t="s">
        <v>78</v>
      </c>
      <c r="B15" s="6"/>
      <c r="C15" s="6"/>
      <c r="D15" s="6"/>
      <c r="E15" s="6"/>
      <c r="F15" s="6"/>
    </row>
    <row r="16" spans="1:7" x14ac:dyDescent="0.3">
      <c r="B16" s="6" t="s">
        <v>43</v>
      </c>
      <c r="C16" s="6"/>
      <c r="D16" s="6" t="s">
        <v>44</v>
      </c>
      <c r="E16" s="6"/>
      <c r="F16" s="6" t="s">
        <v>45</v>
      </c>
    </row>
    <row r="17" spans="1:7" x14ac:dyDescent="0.3">
      <c r="A17" t="s">
        <v>74</v>
      </c>
      <c r="B17" s="7">
        <f>ROUND((C23/D23)*12,2)</f>
        <v>4.99</v>
      </c>
      <c r="C17" s="6" t="s">
        <v>58</v>
      </c>
      <c r="D17" s="7">
        <f>ROUND((B23/D23)*12,2)</f>
        <v>1.01</v>
      </c>
      <c r="E17" s="6" t="s">
        <v>58</v>
      </c>
      <c r="F17" s="7">
        <f>B17-D17</f>
        <v>3.9800000000000004</v>
      </c>
      <c r="G17" t="s">
        <v>58</v>
      </c>
    </row>
    <row r="18" spans="1:7" x14ac:dyDescent="0.3">
      <c r="A18" t="s">
        <v>75</v>
      </c>
      <c r="B18" s="6">
        <f>(0.3178*LN(B17)+0.7405)/2</f>
        <v>0.62567156606140872</v>
      </c>
      <c r="C18" s="6"/>
      <c r="D18" s="6">
        <f>(0.3178*LN(D17)+0.7405)/2</f>
        <v>0.37183110757256843</v>
      </c>
      <c r="E18" s="6"/>
      <c r="F18" s="6">
        <f>B18-D18</f>
        <v>0.25384045848884029</v>
      </c>
    </row>
    <row r="19" spans="1:7" x14ac:dyDescent="0.3">
      <c r="B19" s="6"/>
      <c r="C19" s="6"/>
      <c r="D19" s="6"/>
      <c r="E19" s="6"/>
      <c r="F19" s="6"/>
    </row>
    <row r="20" spans="1:7" x14ac:dyDescent="0.3">
      <c r="A20" t="s">
        <v>67</v>
      </c>
      <c r="B20" t="s">
        <v>68</v>
      </c>
      <c r="C20" t="s">
        <v>69</v>
      </c>
      <c r="D20" t="s">
        <v>70</v>
      </c>
    </row>
    <row r="21" spans="1:7" x14ac:dyDescent="0.3">
      <c r="A21" t="s">
        <v>71</v>
      </c>
      <c r="B21">
        <v>0.89</v>
      </c>
      <c r="C21">
        <v>0.95</v>
      </c>
      <c r="D21">
        <v>14.21</v>
      </c>
    </row>
    <row r="22" spans="1:7" x14ac:dyDescent="0.3">
      <c r="A22" t="s">
        <v>72</v>
      </c>
      <c r="B22">
        <v>1.57</v>
      </c>
      <c r="C22">
        <v>12.87</v>
      </c>
      <c r="D22">
        <v>19.440000000000001</v>
      </c>
    </row>
    <row r="23" spans="1:7" x14ac:dyDescent="0.3">
      <c r="A23" t="s">
        <v>73</v>
      </c>
      <c r="B23">
        <v>1.41</v>
      </c>
      <c r="C23">
        <v>6.95</v>
      </c>
      <c r="D23">
        <v>16.71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84AFB-DE5F-406E-B4CB-D0AB478F2B8A}">
  <dimension ref="A1:H4"/>
  <sheetViews>
    <sheetView workbookViewId="0">
      <selection activeCell="C2" sqref="C2:C4"/>
    </sheetView>
  </sheetViews>
  <sheetFormatPr defaultRowHeight="14.4" x14ac:dyDescent="0.3"/>
  <sheetData>
    <row r="1" spans="1:8" x14ac:dyDescent="0.3">
      <c r="A1" s="274" t="s">
        <v>170</v>
      </c>
      <c r="B1" s="274" t="s">
        <v>171</v>
      </c>
      <c r="C1" s="274" t="s">
        <v>172</v>
      </c>
      <c r="F1" s="238" t="s">
        <v>170</v>
      </c>
      <c r="G1" s="238" t="s">
        <v>171</v>
      </c>
      <c r="H1" s="238" t="s">
        <v>172</v>
      </c>
    </row>
    <row r="2" spans="1:8" x14ac:dyDescent="0.3">
      <c r="A2" s="275">
        <v>1</v>
      </c>
      <c r="B2" s="275">
        <v>2</v>
      </c>
      <c r="C2" s="276">
        <v>4.8163377073366223E-2</v>
      </c>
      <c r="F2" s="239">
        <v>1</v>
      </c>
      <c r="G2" s="239">
        <v>2</v>
      </c>
      <c r="H2" s="240">
        <v>0.72755927509899543</v>
      </c>
    </row>
    <row r="3" spans="1:8" x14ac:dyDescent="0.3">
      <c r="A3" s="329">
        <v>1</v>
      </c>
      <c r="B3" s="329">
        <v>2</v>
      </c>
      <c r="C3" s="330">
        <v>0.18850818198913771</v>
      </c>
      <c r="F3" s="305">
        <v>1</v>
      </c>
      <c r="G3" s="305">
        <v>2</v>
      </c>
      <c r="H3" s="306">
        <v>1.1024089227026983</v>
      </c>
    </row>
    <row r="4" spans="1:8" x14ac:dyDescent="0.3">
      <c r="C4">
        <f>SUM(C2:C3)</f>
        <v>0.23667155906250392</v>
      </c>
      <c r="H4">
        <f>SUM(H2:H3)</f>
        <v>1.8299681978016937</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00775-0B4A-42A4-92E2-508D4493A7FC}">
  <dimension ref="A1:H4"/>
  <sheetViews>
    <sheetView workbookViewId="0">
      <selection activeCell="G11" sqref="G11"/>
    </sheetView>
  </sheetViews>
  <sheetFormatPr defaultRowHeight="14.4" x14ac:dyDescent="0.3"/>
  <sheetData>
    <row r="1" spans="1:8" x14ac:dyDescent="0.3">
      <c r="A1" s="277" t="s">
        <v>170</v>
      </c>
      <c r="B1" s="277" t="s">
        <v>171</v>
      </c>
      <c r="C1" s="277" t="s">
        <v>172</v>
      </c>
      <c r="F1" s="241" t="s">
        <v>170</v>
      </c>
      <c r="G1" s="241" t="s">
        <v>171</v>
      </c>
      <c r="H1" s="241" t="s">
        <v>172</v>
      </c>
    </row>
    <row r="2" spans="1:8" x14ac:dyDescent="0.3">
      <c r="A2" s="278">
        <v>1</v>
      </c>
      <c r="B2" s="278">
        <v>635</v>
      </c>
      <c r="C2" s="279">
        <v>26.557989057801979</v>
      </c>
      <c r="F2" s="242">
        <v>1</v>
      </c>
      <c r="G2" s="242">
        <v>635</v>
      </c>
      <c r="H2" s="243">
        <v>456.5398213478054</v>
      </c>
    </row>
    <row r="3" spans="1:8" x14ac:dyDescent="0.3">
      <c r="A3" s="331">
        <v>1</v>
      </c>
      <c r="B3" s="331">
        <v>635</v>
      </c>
      <c r="C3" s="332">
        <v>104.79572235142189</v>
      </c>
      <c r="F3" s="307">
        <v>1</v>
      </c>
      <c r="G3" s="307">
        <v>635</v>
      </c>
      <c r="H3" s="308">
        <v>663.05560586731121</v>
      </c>
    </row>
    <row r="4" spans="1:8" x14ac:dyDescent="0.3">
      <c r="C4">
        <f>SUM(C2:C3)</f>
        <v>131.35371140922388</v>
      </c>
      <c r="H4">
        <f>SUM(H2:H3)</f>
        <v>1119.5954272151166</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A4F48-8588-4629-8895-9D636BE3721B}">
  <dimension ref="A1:H4"/>
  <sheetViews>
    <sheetView workbookViewId="0">
      <selection activeCell="O12" sqref="O12"/>
    </sheetView>
  </sheetViews>
  <sheetFormatPr defaultRowHeight="14.4" x14ac:dyDescent="0.3"/>
  <sheetData>
    <row r="1" spans="1:8" x14ac:dyDescent="0.3">
      <c r="A1" s="280" t="s">
        <v>170</v>
      </c>
      <c r="B1" s="280" t="s">
        <v>171</v>
      </c>
      <c r="C1" s="280" t="s">
        <v>172</v>
      </c>
      <c r="F1" s="244" t="s">
        <v>170</v>
      </c>
      <c r="G1" s="244" t="s">
        <v>171</v>
      </c>
      <c r="H1" s="244" t="s">
        <v>172</v>
      </c>
    </row>
    <row r="2" spans="1:8" x14ac:dyDescent="0.3">
      <c r="A2" s="281">
        <v>1</v>
      </c>
      <c r="B2" s="281">
        <v>41</v>
      </c>
      <c r="C2" s="282">
        <v>0</v>
      </c>
      <c r="F2" s="245">
        <v>1</v>
      </c>
      <c r="G2" s="245">
        <v>41</v>
      </c>
      <c r="H2" s="246">
        <v>21.381512013780107</v>
      </c>
    </row>
    <row r="3" spans="1:8" x14ac:dyDescent="0.3">
      <c r="A3" s="333">
        <v>1</v>
      </c>
      <c r="B3" s="333">
        <v>41</v>
      </c>
      <c r="C3" s="334">
        <v>0.9885912007885006</v>
      </c>
      <c r="F3" s="309">
        <v>1</v>
      </c>
      <c r="G3" s="309">
        <v>41</v>
      </c>
      <c r="H3" s="310">
        <v>10.137081383906192</v>
      </c>
    </row>
    <row r="4" spans="1:8" x14ac:dyDescent="0.3">
      <c r="C4">
        <f>SUM(C2:C3)</f>
        <v>0.9885912007885006</v>
      </c>
      <c r="H4">
        <f>SUM(H2:H3)</f>
        <v>31.518593397686299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2210D-FBEF-4122-9B73-21CB31DA3ADF}">
  <dimension ref="A1:H4"/>
  <sheetViews>
    <sheetView workbookViewId="0">
      <selection activeCell="C2" sqref="C2:C4"/>
    </sheetView>
  </sheetViews>
  <sheetFormatPr defaultRowHeight="14.4" x14ac:dyDescent="0.3"/>
  <sheetData>
    <row r="1" spans="1:8" x14ac:dyDescent="0.3">
      <c r="A1" s="283" t="s">
        <v>170</v>
      </c>
      <c r="B1" s="283" t="s">
        <v>171</v>
      </c>
      <c r="C1" s="283" t="s">
        <v>172</v>
      </c>
      <c r="F1" s="247" t="s">
        <v>170</v>
      </c>
      <c r="G1" s="247" t="s">
        <v>171</v>
      </c>
      <c r="H1" s="247" t="s">
        <v>172</v>
      </c>
    </row>
    <row r="2" spans="1:8" x14ac:dyDescent="0.3">
      <c r="A2" s="284">
        <v>1</v>
      </c>
      <c r="B2" s="284">
        <v>15</v>
      </c>
      <c r="C2" s="285">
        <v>0</v>
      </c>
      <c r="F2" s="248">
        <v>1</v>
      </c>
      <c r="G2" s="248">
        <v>15</v>
      </c>
      <c r="H2" s="249">
        <v>0.26441177560607038</v>
      </c>
    </row>
    <row r="3" spans="1:8" x14ac:dyDescent="0.3">
      <c r="A3" s="335">
        <v>1</v>
      </c>
      <c r="B3" s="335">
        <v>15</v>
      </c>
      <c r="C3" s="336">
        <v>0.6454309102047</v>
      </c>
      <c r="F3" s="311">
        <v>1</v>
      </c>
      <c r="G3" s="311">
        <v>15</v>
      </c>
      <c r="H3" s="312">
        <v>7.0820209484809782</v>
      </c>
    </row>
    <row r="4" spans="1:8" x14ac:dyDescent="0.3">
      <c r="C4">
        <f>SUM(C2:C3)</f>
        <v>0.6454309102047</v>
      </c>
      <c r="H4">
        <f>SUM(H2:H3)</f>
        <v>7.3464327240870482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9129A-C968-4C4D-A4A7-4044C58D67EA}">
  <dimension ref="A1:H4"/>
  <sheetViews>
    <sheetView workbookViewId="0">
      <selection activeCell="D4" sqref="D4"/>
    </sheetView>
  </sheetViews>
  <sheetFormatPr defaultRowHeight="14.4" x14ac:dyDescent="0.3"/>
  <sheetData>
    <row r="1" spans="1:8" x14ac:dyDescent="0.3">
      <c r="A1" s="286" t="s">
        <v>170</v>
      </c>
      <c r="B1" s="286" t="s">
        <v>171</v>
      </c>
      <c r="C1" s="286" t="s">
        <v>172</v>
      </c>
      <c r="F1" s="250" t="s">
        <v>170</v>
      </c>
      <c r="G1" s="250" t="s">
        <v>171</v>
      </c>
      <c r="H1" s="250" t="s">
        <v>172</v>
      </c>
    </row>
    <row r="2" spans="1:8" x14ac:dyDescent="0.3">
      <c r="A2" s="287">
        <v>1</v>
      </c>
      <c r="B2" s="287">
        <v>80</v>
      </c>
      <c r="C2" s="288">
        <v>3.5388056707177658</v>
      </c>
      <c r="F2" s="251">
        <v>1</v>
      </c>
      <c r="G2" s="251">
        <v>80</v>
      </c>
      <c r="H2" s="252">
        <v>58.450406314805335</v>
      </c>
    </row>
    <row r="3" spans="1:8" x14ac:dyDescent="0.3">
      <c r="A3" s="337">
        <v>1</v>
      </c>
      <c r="B3" s="337">
        <v>80</v>
      </c>
      <c r="C3" s="338">
        <v>19.924425078818309</v>
      </c>
      <c r="F3" s="313">
        <v>1</v>
      </c>
      <c r="G3" s="313">
        <v>80</v>
      </c>
      <c r="H3" s="314">
        <v>100.78772357054027</v>
      </c>
    </row>
    <row r="4" spans="1:8" x14ac:dyDescent="0.3">
      <c r="C4">
        <f>SUM(C2:C3)</f>
        <v>23.463230749536073</v>
      </c>
      <c r="H4">
        <f>SUM(H2:H3)</f>
        <v>159.23812988534559</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97090-0F1C-4A37-8E79-E8D7D1CEC03C}">
  <dimension ref="A1:H4"/>
  <sheetViews>
    <sheetView workbookViewId="0">
      <selection activeCell="I7" sqref="I7"/>
    </sheetView>
  </sheetViews>
  <sheetFormatPr defaultRowHeight="14.4" x14ac:dyDescent="0.3"/>
  <sheetData>
    <row r="1" spans="1:8" x14ac:dyDescent="0.3">
      <c r="A1" s="289" t="s">
        <v>170</v>
      </c>
      <c r="B1" s="289" t="s">
        <v>171</v>
      </c>
      <c r="C1" s="289" t="s">
        <v>172</v>
      </c>
      <c r="F1" s="253" t="s">
        <v>170</v>
      </c>
      <c r="G1" s="253" t="s">
        <v>171</v>
      </c>
      <c r="H1" s="253" t="s">
        <v>172</v>
      </c>
    </row>
    <row r="2" spans="1:8" x14ac:dyDescent="0.3">
      <c r="A2" s="290">
        <v>1</v>
      </c>
      <c r="B2" s="290">
        <v>16</v>
      </c>
      <c r="C2" s="291">
        <v>0</v>
      </c>
      <c r="F2" s="254">
        <v>1</v>
      </c>
      <c r="G2" s="254">
        <v>16</v>
      </c>
      <c r="H2" s="255">
        <v>0</v>
      </c>
    </row>
    <row r="3" spans="1:8" x14ac:dyDescent="0.3">
      <c r="A3" s="339">
        <v>1</v>
      </c>
      <c r="B3" s="339">
        <v>16</v>
      </c>
      <c r="C3" s="340">
        <v>0.63976151701863315</v>
      </c>
      <c r="F3" s="315">
        <v>1</v>
      </c>
      <c r="G3" s="315">
        <v>16</v>
      </c>
      <c r="H3" s="316">
        <v>5.713919272888532</v>
      </c>
    </row>
    <row r="4" spans="1:8" x14ac:dyDescent="0.3">
      <c r="C4">
        <f>SUM(C2:C3)</f>
        <v>0.63976151701863315</v>
      </c>
      <c r="H4">
        <f>SUM(H2:H3)</f>
        <v>5.713919272888532</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380E9-2A65-43F8-88B1-6DBF15689096}">
  <dimension ref="A1:H4"/>
  <sheetViews>
    <sheetView workbookViewId="0">
      <selection activeCell="B23" sqref="B23"/>
    </sheetView>
  </sheetViews>
  <sheetFormatPr defaultRowHeight="14.4" x14ac:dyDescent="0.3"/>
  <sheetData>
    <row r="1" spans="1:8" x14ac:dyDescent="0.3">
      <c r="A1" s="292" t="s">
        <v>170</v>
      </c>
      <c r="B1" s="292" t="s">
        <v>171</v>
      </c>
      <c r="C1" s="292" t="s">
        <v>172</v>
      </c>
      <c r="F1" s="256" t="s">
        <v>170</v>
      </c>
      <c r="G1" s="256" t="s">
        <v>171</v>
      </c>
      <c r="H1" s="256" t="s">
        <v>172</v>
      </c>
    </row>
    <row r="2" spans="1:8" x14ac:dyDescent="0.3">
      <c r="A2" s="293">
        <v>1</v>
      </c>
      <c r="B2" s="293">
        <v>20</v>
      </c>
      <c r="C2" s="294">
        <v>6.2094470646182273E-2</v>
      </c>
      <c r="F2" s="257">
        <v>1</v>
      </c>
      <c r="G2" s="257">
        <v>20</v>
      </c>
      <c r="H2" s="258">
        <v>5.0015094271997551</v>
      </c>
    </row>
    <row r="3" spans="1:8" x14ac:dyDescent="0.3">
      <c r="A3" s="341">
        <v>1</v>
      </c>
      <c r="B3" s="341">
        <v>20</v>
      </c>
      <c r="C3" s="342">
        <v>1.8958324748286763</v>
      </c>
      <c r="F3" s="317">
        <v>1</v>
      </c>
      <c r="G3" s="317">
        <v>20</v>
      </c>
      <c r="H3" s="318">
        <v>9.6666648945929019</v>
      </c>
    </row>
    <row r="4" spans="1:8" x14ac:dyDescent="0.3">
      <c r="C4">
        <f>SUM(C2:C3)</f>
        <v>1.9579269454748587</v>
      </c>
      <c r="H4">
        <f>SUM(H2:H3)</f>
        <v>14.668174321792657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6"/>
  <sheetViews>
    <sheetView workbookViewId="0">
      <selection activeCell="H7" sqref="H7"/>
    </sheetView>
  </sheetViews>
  <sheetFormatPr defaultColWidth="9.109375" defaultRowHeight="13.2" x14ac:dyDescent="0.25"/>
  <cols>
    <col min="1" max="1" width="16.88671875" style="1" bestFit="1" customWidth="1"/>
    <col min="2" max="2" width="12.109375" style="9" bestFit="1" customWidth="1"/>
    <col min="3" max="3" width="9.44140625" style="9" customWidth="1"/>
    <col min="4" max="4" width="9.109375" style="9"/>
    <col min="5" max="5" width="10.44140625" style="1" bestFit="1" customWidth="1"/>
    <col min="6" max="16384" width="9.109375" style="1"/>
  </cols>
  <sheetData>
    <row r="1" spans="1:5" s="8" customFormat="1" ht="26.4" x14ac:dyDescent="0.25">
      <c r="A1" s="12" t="s">
        <v>103</v>
      </c>
      <c r="B1" s="13" t="s">
        <v>106</v>
      </c>
      <c r="C1" s="13" t="s">
        <v>107</v>
      </c>
      <c r="D1" s="13" t="s">
        <v>104</v>
      </c>
      <c r="E1" s="12" t="s">
        <v>108</v>
      </c>
    </row>
    <row r="2" spans="1:5" x14ac:dyDescent="0.25">
      <c r="A2" s="4" t="s">
        <v>98</v>
      </c>
      <c r="B2" s="11">
        <f>4.6822*1000000</f>
        <v>4682200</v>
      </c>
      <c r="C2" s="3">
        <f>B2*0.000003068883233</f>
        <v>14.369125073552601</v>
      </c>
      <c r="D2" s="10">
        <v>0.9</v>
      </c>
      <c r="E2" s="3">
        <f>C2*D2</f>
        <v>12.932212566197341</v>
      </c>
    </row>
    <row r="3" spans="1:5" x14ac:dyDescent="0.25">
      <c r="A3" s="4" t="s">
        <v>109</v>
      </c>
      <c r="B3" s="11">
        <f>1.1518*1000000</f>
        <v>1151800</v>
      </c>
      <c r="C3" s="3">
        <f>B3*0.000003068883233</f>
        <v>3.5347397077694001</v>
      </c>
      <c r="D3" s="10">
        <v>0.9</v>
      </c>
      <c r="E3" s="3">
        <f>C3*D3</f>
        <v>3.1812657369924602</v>
      </c>
    </row>
    <row r="4" spans="1:5" x14ac:dyDescent="0.25">
      <c r="A4" s="4" t="s">
        <v>99</v>
      </c>
      <c r="B4" s="11">
        <f>3.3671*1000000</f>
        <v>3367100</v>
      </c>
      <c r="C4" s="3">
        <f t="shared" ref="C4:C16" si="0">B4*0.000003068883233</f>
        <v>10.333236733834299</v>
      </c>
      <c r="D4" s="10">
        <v>0.9</v>
      </c>
      <c r="E4" s="3">
        <f t="shared" ref="E4:E16" si="1">C4*D4</f>
        <v>9.2999130604508693</v>
      </c>
    </row>
    <row r="5" spans="1:5" x14ac:dyDescent="0.25">
      <c r="A5" s="4" t="s">
        <v>100</v>
      </c>
      <c r="B5" s="11">
        <f>0.2918*1000000</f>
        <v>291800</v>
      </c>
      <c r="C5" s="3">
        <f t="shared" si="0"/>
        <v>0.89550012738939999</v>
      </c>
      <c r="D5" s="10">
        <v>0.9</v>
      </c>
      <c r="E5" s="3">
        <f t="shared" si="1"/>
        <v>0.80595011465045996</v>
      </c>
    </row>
    <row r="6" spans="1:5" ht="26.4" x14ac:dyDescent="0.25">
      <c r="A6" s="4" t="s">
        <v>101</v>
      </c>
      <c r="B6" s="11">
        <f>302*1000000</f>
        <v>302000000</v>
      </c>
      <c r="C6" s="3">
        <f t="shared" si="0"/>
        <v>926.80273636599998</v>
      </c>
      <c r="D6" s="10">
        <v>0.9</v>
      </c>
      <c r="E6" s="3">
        <f t="shared" si="1"/>
        <v>834.12246272940001</v>
      </c>
    </row>
    <row r="7" spans="1:5" ht="26.4" x14ac:dyDescent="0.25">
      <c r="A7" s="4" t="s">
        <v>102</v>
      </c>
      <c r="B7" s="11">
        <f>2.5*1000000</f>
        <v>2500000</v>
      </c>
      <c r="C7" s="3">
        <f t="shared" si="0"/>
        <v>7.6722080825000001</v>
      </c>
      <c r="D7" s="10">
        <v>0.9</v>
      </c>
      <c r="E7" s="3">
        <f t="shared" si="1"/>
        <v>6.9049872742499998</v>
      </c>
    </row>
    <row r="8" spans="1:5" ht="26.4" x14ac:dyDescent="0.25">
      <c r="A8" s="4" t="s">
        <v>105</v>
      </c>
      <c r="B8" s="11">
        <f>79.24437*1000000</f>
        <v>79244370</v>
      </c>
      <c r="C8" s="3">
        <f t="shared" si="0"/>
        <v>243.19171840264821</v>
      </c>
      <c r="D8" s="10">
        <v>1</v>
      </c>
      <c r="E8" s="3">
        <f t="shared" si="1"/>
        <v>243.19171840264821</v>
      </c>
    </row>
    <row r="9" spans="1:5" x14ac:dyDescent="0.25">
      <c r="A9" s="4" t="s">
        <v>79</v>
      </c>
      <c r="B9" s="11">
        <f>174*1000000</f>
        <v>174000000</v>
      </c>
      <c r="C9" s="3">
        <f t="shared" si="0"/>
        <v>533.98568254199995</v>
      </c>
      <c r="D9" s="10">
        <v>0.9</v>
      </c>
      <c r="E9" s="3">
        <f t="shared" si="1"/>
        <v>480.58711428779998</v>
      </c>
    </row>
    <row r="10" spans="1:5" x14ac:dyDescent="0.25">
      <c r="A10" s="4" t="s">
        <v>80</v>
      </c>
      <c r="B10" s="11">
        <f>19.9974*1000000</f>
        <v>19997400</v>
      </c>
      <c r="C10" s="3">
        <f t="shared" si="0"/>
        <v>61.369685563594203</v>
      </c>
      <c r="D10" s="10">
        <v>0.9</v>
      </c>
      <c r="E10" s="3">
        <f t="shared" si="1"/>
        <v>55.232717007234783</v>
      </c>
    </row>
    <row r="11" spans="1:5" x14ac:dyDescent="0.25">
      <c r="A11" s="4" t="s">
        <v>81</v>
      </c>
      <c r="B11" s="11">
        <f>3.1627*1000000</f>
        <v>3162700</v>
      </c>
      <c r="C11" s="3">
        <f t="shared" si="0"/>
        <v>9.7059570010091001</v>
      </c>
      <c r="D11" s="10">
        <v>0.9</v>
      </c>
      <c r="E11" s="3">
        <f t="shared" si="1"/>
        <v>8.7353613009081901</v>
      </c>
    </row>
    <row r="12" spans="1:5" x14ac:dyDescent="0.25">
      <c r="A12" s="4" t="s">
        <v>110</v>
      </c>
      <c r="B12" s="11">
        <f>1460*1000000</f>
        <v>1460000000</v>
      </c>
      <c r="C12" s="3">
        <f t="shared" si="0"/>
        <v>4480.5695201799999</v>
      </c>
      <c r="D12" s="10">
        <v>0.8</v>
      </c>
      <c r="E12" s="3">
        <f t="shared" si="1"/>
        <v>3584.455616144</v>
      </c>
    </row>
    <row r="13" spans="1:5" x14ac:dyDescent="0.25">
      <c r="A13" s="4" t="s">
        <v>89</v>
      </c>
      <c r="B13" s="3">
        <f>102.16*1000000</f>
        <v>102160000</v>
      </c>
      <c r="C13" s="3">
        <f t="shared" si="0"/>
        <v>313.51711108327999</v>
      </c>
      <c r="D13" s="10">
        <v>0.8</v>
      </c>
      <c r="E13" s="2">
        <f t="shared" si="1"/>
        <v>250.81368886662401</v>
      </c>
    </row>
    <row r="14" spans="1:5" ht="26.4" x14ac:dyDescent="0.25">
      <c r="A14" s="4" t="s">
        <v>90</v>
      </c>
      <c r="B14" s="3">
        <f>0.43*1000000</f>
        <v>430000</v>
      </c>
      <c r="C14" s="3">
        <f t="shared" si="0"/>
        <v>1.31961979019</v>
      </c>
      <c r="D14" s="10">
        <v>0.8</v>
      </c>
      <c r="E14" s="2">
        <f t="shared" si="1"/>
        <v>1.055695832152</v>
      </c>
    </row>
    <row r="15" spans="1:5" x14ac:dyDescent="0.25">
      <c r="A15" s="4" t="s">
        <v>92</v>
      </c>
      <c r="B15" s="3">
        <f>3.84*1000000</f>
        <v>3840000</v>
      </c>
      <c r="C15" s="3">
        <f t="shared" si="0"/>
        <v>11.78451161472</v>
      </c>
      <c r="D15" s="10">
        <v>0.8</v>
      </c>
      <c r="E15" s="2">
        <f t="shared" si="1"/>
        <v>9.4276092917759993</v>
      </c>
    </row>
    <row r="16" spans="1:5" ht="26.4" x14ac:dyDescent="0.25">
      <c r="A16" s="4" t="s">
        <v>91</v>
      </c>
      <c r="B16" s="3">
        <f>23.24*1000000</f>
        <v>23240000</v>
      </c>
      <c r="C16" s="3">
        <f t="shared" si="0"/>
        <v>71.320846334920006</v>
      </c>
      <c r="D16" s="10">
        <v>0.8</v>
      </c>
      <c r="E16" s="2">
        <f t="shared" si="1"/>
        <v>57.056677067936008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654FD-C9D3-47C2-9FE8-85F485F21E2C}">
  <dimension ref="A1:H4"/>
  <sheetViews>
    <sheetView workbookViewId="0">
      <selection activeCell="C2" sqref="C2:C4"/>
    </sheetView>
  </sheetViews>
  <sheetFormatPr defaultRowHeight="14.4" x14ac:dyDescent="0.3"/>
  <sheetData>
    <row r="1" spans="1:8" x14ac:dyDescent="0.3">
      <c r="A1" s="70" t="s">
        <v>170</v>
      </c>
      <c r="B1" s="70" t="s">
        <v>171</v>
      </c>
      <c r="C1" s="70" t="s">
        <v>172</v>
      </c>
      <c r="F1" s="43" t="s">
        <v>170</v>
      </c>
      <c r="G1" s="43" t="s">
        <v>171</v>
      </c>
      <c r="H1" s="43" t="s">
        <v>172</v>
      </c>
    </row>
    <row r="2" spans="1:8" x14ac:dyDescent="0.3">
      <c r="A2" s="71">
        <v>1</v>
      </c>
      <c r="B2" s="71">
        <v>44</v>
      </c>
      <c r="C2" s="72">
        <v>0.50831986356900005</v>
      </c>
      <c r="F2" s="44">
        <v>1</v>
      </c>
      <c r="G2" s="44">
        <v>44</v>
      </c>
      <c r="H2" s="45">
        <v>45.667514713625643</v>
      </c>
    </row>
    <row r="3" spans="1:8" x14ac:dyDescent="0.3">
      <c r="A3" s="115">
        <v>1</v>
      </c>
      <c r="B3" s="115">
        <v>44</v>
      </c>
      <c r="C3" s="116">
        <v>4.9318194840729035</v>
      </c>
      <c r="F3" s="97">
        <v>1</v>
      </c>
      <c r="G3" s="97">
        <v>44</v>
      </c>
      <c r="H3" s="98">
        <v>46.561898869076892</v>
      </c>
    </row>
    <row r="4" spans="1:8" x14ac:dyDescent="0.3">
      <c r="C4">
        <f>SUM(C2:C3)</f>
        <v>5.4401393476419031</v>
      </c>
      <c r="H4">
        <f>SUM(H2:H3)</f>
        <v>92.229413582702534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63BC-E1CA-4DA4-9AD3-11694437AEBA}">
  <dimension ref="A1:H4"/>
  <sheetViews>
    <sheetView workbookViewId="0">
      <selection activeCell="C2" sqref="C2:C4"/>
    </sheetView>
  </sheetViews>
  <sheetFormatPr defaultRowHeight="14.4" x14ac:dyDescent="0.3"/>
  <sheetData>
    <row r="1" spans="1:8" x14ac:dyDescent="0.3">
      <c r="A1" s="73" t="s">
        <v>170</v>
      </c>
      <c r="B1" s="73" t="s">
        <v>171</v>
      </c>
      <c r="C1" s="73" t="s">
        <v>172</v>
      </c>
      <c r="F1" s="46" t="s">
        <v>170</v>
      </c>
      <c r="G1" s="46" t="s">
        <v>171</v>
      </c>
      <c r="H1" s="46" t="s">
        <v>172</v>
      </c>
    </row>
    <row r="2" spans="1:8" x14ac:dyDescent="0.3">
      <c r="A2" s="74">
        <v>1</v>
      </c>
      <c r="B2" s="74">
        <v>22</v>
      </c>
      <c r="C2" s="75">
        <v>7.2346330530978789E-2</v>
      </c>
      <c r="F2" s="47">
        <v>1</v>
      </c>
      <c r="G2" s="47">
        <v>22</v>
      </c>
      <c r="H2" s="48">
        <v>2.9182796816264926</v>
      </c>
    </row>
    <row r="3" spans="1:8" x14ac:dyDescent="0.3">
      <c r="A3" s="117">
        <v>1</v>
      </c>
      <c r="B3" s="117">
        <v>22</v>
      </c>
      <c r="C3" s="118">
        <v>2.0834186734628704</v>
      </c>
      <c r="F3" s="99">
        <v>1</v>
      </c>
      <c r="G3" s="99">
        <v>22</v>
      </c>
      <c r="H3" s="100">
        <v>8.2452778202134933</v>
      </c>
    </row>
    <row r="4" spans="1:8" x14ac:dyDescent="0.3">
      <c r="C4">
        <f>SUM(C2:C3)</f>
        <v>2.155765003993849</v>
      </c>
      <c r="H4">
        <f>SUM(H2:H3)</f>
        <v>11.163557501839986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BBCF4-95B1-417C-918C-C96667110BFD}">
  <dimension ref="A1:H4"/>
  <sheetViews>
    <sheetView workbookViewId="0">
      <selection activeCell="C2" sqref="C2:C4"/>
    </sheetView>
  </sheetViews>
  <sheetFormatPr defaultRowHeight="14.4" x14ac:dyDescent="0.3"/>
  <sheetData>
    <row r="1" spans="1:8" x14ac:dyDescent="0.3">
      <c r="A1" s="76" t="s">
        <v>170</v>
      </c>
      <c r="B1" s="76" t="s">
        <v>171</v>
      </c>
      <c r="C1" s="76" t="s">
        <v>172</v>
      </c>
      <c r="F1" s="49" t="s">
        <v>170</v>
      </c>
      <c r="G1" s="49" t="s">
        <v>171</v>
      </c>
      <c r="H1" s="49" t="s">
        <v>172</v>
      </c>
    </row>
    <row r="2" spans="1:8" x14ac:dyDescent="0.3">
      <c r="A2" s="77">
        <v>1</v>
      </c>
      <c r="B2" s="77">
        <v>33</v>
      </c>
      <c r="C2" s="78">
        <v>0.33741949754423806</v>
      </c>
      <c r="F2" s="50">
        <v>1</v>
      </c>
      <c r="G2" s="50">
        <v>33</v>
      </c>
      <c r="H2" s="51">
        <v>32.427990560732887</v>
      </c>
    </row>
    <row r="3" spans="1:8" x14ac:dyDescent="0.3">
      <c r="A3" s="119">
        <v>1</v>
      </c>
      <c r="B3" s="119">
        <v>33</v>
      </c>
      <c r="C3" s="120">
        <v>1.6372129547959426</v>
      </c>
      <c r="F3" s="101">
        <v>1</v>
      </c>
      <c r="G3" s="101">
        <v>33</v>
      </c>
      <c r="H3" s="102">
        <v>22.832680237736881</v>
      </c>
    </row>
    <row r="4" spans="1:8" x14ac:dyDescent="0.3">
      <c r="C4">
        <f>SUM(C2:C3)</f>
        <v>1.9746324523401806</v>
      </c>
      <c r="H4">
        <f>SUM(H2:H3)</f>
        <v>55.260670798469768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BE9FC-058F-4948-84A1-C031F887C8C8}">
  <dimension ref="A1:H4"/>
  <sheetViews>
    <sheetView workbookViewId="0">
      <selection activeCell="C2" sqref="C2:C4"/>
    </sheetView>
  </sheetViews>
  <sheetFormatPr defaultRowHeight="14.4" x14ac:dyDescent="0.3"/>
  <sheetData>
    <row r="1" spans="1:8" x14ac:dyDescent="0.3">
      <c r="A1" s="79" t="s">
        <v>170</v>
      </c>
      <c r="B1" s="79" t="s">
        <v>171</v>
      </c>
      <c r="C1" s="79" t="s">
        <v>172</v>
      </c>
      <c r="F1" s="52" t="s">
        <v>170</v>
      </c>
      <c r="G1" s="52" t="s">
        <v>171</v>
      </c>
      <c r="H1" s="52" t="s">
        <v>172</v>
      </c>
    </row>
    <row r="2" spans="1:8" x14ac:dyDescent="0.3">
      <c r="A2" s="80">
        <v>1</v>
      </c>
      <c r="B2" s="80">
        <v>41</v>
      </c>
      <c r="C2" s="81">
        <v>0.19919137750690158</v>
      </c>
      <c r="F2" s="53">
        <v>1</v>
      </c>
      <c r="G2" s="53">
        <v>41</v>
      </c>
      <c r="H2" s="54">
        <v>23.645343226211889</v>
      </c>
    </row>
    <row r="3" spans="1:8" x14ac:dyDescent="0.3">
      <c r="A3" s="121">
        <v>1</v>
      </c>
      <c r="B3" s="121">
        <v>41</v>
      </c>
      <c r="C3" s="122">
        <v>4.2856519420722332</v>
      </c>
      <c r="F3" s="103">
        <v>1</v>
      </c>
      <c r="G3" s="103">
        <v>41</v>
      </c>
      <c r="H3" s="104">
        <v>23.15698682759507</v>
      </c>
    </row>
    <row r="4" spans="1:8" x14ac:dyDescent="0.3">
      <c r="C4">
        <f>SUM(C2:C3)</f>
        <v>4.4848433195791344</v>
      </c>
      <c r="H4">
        <f>SUM(H2:H3)</f>
        <v>46.802330053806955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F9E24-86BB-4AB9-AB75-25836A8347E9}">
  <dimension ref="A1:H4"/>
  <sheetViews>
    <sheetView workbookViewId="0">
      <selection activeCell="C2" sqref="C2:C4"/>
    </sheetView>
  </sheetViews>
  <sheetFormatPr defaultRowHeight="14.4" x14ac:dyDescent="0.3"/>
  <sheetData>
    <row r="1" spans="1:8" x14ac:dyDescent="0.3">
      <c r="A1" s="82" t="s">
        <v>170</v>
      </c>
      <c r="B1" s="82" t="s">
        <v>171</v>
      </c>
      <c r="C1" s="82" t="s">
        <v>172</v>
      </c>
      <c r="F1" s="55" t="s">
        <v>170</v>
      </c>
      <c r="G1" s="55" t="s">
        <v>171</v>
      </c>
      <c r="H1" s="55" t="s">
        <v>172</v>
      </c>
    </row>
    <row r="2" spans="1:8" x14ac:dyDescent="0.3">
      <c r="A2" s="83">
        <v>1</v>
      </c>
      <c r="B2" s="83">
        <v>157</v>
      </c>
      <c r="C2" s="84">
        <v>4.2221961726963464</v>
      </c>
      <c r="F2" s="56">
        <v>1</v>
      </c>
      <c r="G2" s="56">
        <v>157</v>
      </c>
      <c r="H2" s="57">
        <v>780.68259047758738</v>
      </c>
    </row>
    <row r="3" spans="1:8" x14ac:dyDescent="0.3">
      <c r="A3" s="123">
        <v>1</v>
      </c>
      <c r="B3" s="123">
        <v>157</v>
      </c>
      <c r="C3" s="124">
        <v>30.869803850869587</v>
      </c>
      <c r="F3" s="105">
        <v>1</v>
      </c>
      <c r="G3" s="105">
        <v>157</v>
      </c>
      <c r="H3" s="106">
        <v>656.58050988907985</v>
      </c>
    </row>
    <row r="4" spans="1:8" x14ac:dyDescent="0.3">
      <c r="C4">
        <f>SUM(C2:C3)</f>
        <v>35.09200002356593</v>
      </c>
      <c r="H4">
        <f>SUM(H2:H3)</f>
        <v>1437.2631003666672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Summary</vt:lpstr>
      <vt:lpstr>Wet detention pond calcs</vt:lpstr>
      <vt:lpstr>Retention calcs</vt:lpstr>
      <vt:lpstr>Reuse calcs</vt: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17</vt:lpstr>
      <vt:lpstr>18</vt:lpstr>
      <vt:lpstr>19</vt:lpstr>
      <vt:lpstr>20</vt:lpstr>
      <vt:lpstr>22</vt:lpstr>
      <vt:lpstr>23</vt:lpstr>
      <vt:lpstr>24</vt:lpstr>
      <vt:lpstr>25</vt:lpstr>
      <vt:lpstr>26</vt:lpstr>
      <vt:lpstr>27</vt:lpstr>
      <vt:lpstr>28</vt:lpstr>
      <vt:lpstr>29</vt:lpstr>
      <vt:lpstr>30</vt:lpstr>
      <vt:lpstr>31</vt:lpstr>
      <vt:lpstr>32</vt:lpstr>
      <vt:lpstr>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Marcy</dc:creator>
  <cp:lastModifiedBy>Frick, Marcy</cp:lastModifiedBy>
  <dcterms:created xsi:type="dcterms:W3CDTF">2013-09-17T19:44:31Z</dcterms:created>
  <dcterms:modified xsi:type="dcterms:W3CDTF">2020-01-10T18:07:25Z</dcterms:modified>
</cp:coreProperties>
</file>